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120" windowWidth="11385" windowHeight="9375" tabRatio="899" firstSheet="10" activeTab="1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抵押面积表"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合院" sheetId="79"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土地案例" sheetId="77"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6" hidden="1">'比较法-合院'!$A$1:$L$49</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6">'比较法-合院'!$B$88:$M$88</definedName>
    <definedName name="住宅朝向">'比较法-住宅'!$B$88:$M$88</definedName>
    <definedName name="住宅房型" localSheetId="26">'比较法-合院'!$B$118:$M$118</definedName>
    <definedName name="住宅房型">'比较法-住宅'!$B$118:$M$118</definedName>
    <definedName name="住宅公共部分装修" localSheetId="26">'比较法-合院'!$B$109:$M$109</definedName>
    <definedName name="住宅公共部分装修">'比较法-住宅'!$B$109:$M$109</definedName>
    <definedName name="住宅基础设施水平" localSheetId="26">'比较法-合院'!$B$116:$M$116</definedName>
    <definedName name="住宅基础设施水平">'比较法-住宅'!$B$116:$M$116</definedName>
    <definedName name="住宅建筑结构" localSheetId="26">'比较法-合院'!$B$105:$M$105</definedName>
    <definedName name="住宅建筑结构">'比较法-住宅'!$B$105:$M$105</definedName>
    <definedName name="住宅建筑类型" localSheetId="26">'比较法-合院'!$B$100:$M$100</definedName>
    <definedName name="住宅建筑类型">'比较法-住宅'!$B$100:$M$100</definedName>
    <definedName name="住宅建筑品质" localSheetId="26">'比较法-合院'!$B$107:$M$107</definedName>
    <definedName name="住宅建筑品质">'比较法-住宅'!$B$107:$M$107</definedName>
    <definedName name="住宅交易情况" localSheetId="26">'比较法-合院'!$A$61:$M$61</definedName>
    <definedName name="住宅交易情况">'比较法-住宅'!$A$61:$M$61</definedName>
    <definedName name="住宅楼层" localSheetId="26">'比较法-合院'!$B$86:$M$86</definedName>
    <definedName name="住宅楼层">'比较法-住宅'!$B$86:$M$86</definedName>
    <definedName name="住宅内部装修" localSheetId="26">'比较法-合院'!$B$122:$M$122</definedName>
    <definedName name="住宅内部装修">'比较法-住宅'!$B$122:$M$122</definedName>
    <definedName name="住宅物业管理" localSheetId="26">'比较法-合院'!$B$114:$M$114</definedName>
    <definedName name="住宅物业管理">'比较法-住宅'!$B$114:$M$114</definedName>
    <definedName name="住宅用途" localSheetId="26">'比较法-合院'!$B$63:$M$63</definedName>
    <definedName name="住宅用途">'比较法-住宅'!$B$63:$M$63</definedName>
    <definedName name="住宅主力户型面积" localSheetId="26">'比较法-合院'!$B$120:$M$120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5" i="74" l="1"/>
  <c r="C15" i="74"/>
  <c r="D15" i="74" l="1"/>
  <c r="AS9" i="1" l="1"/>
  <c r="G21" i="6"/>
  <c r="F19" i="6"/>
  <c r="F20" i="6"/>
  <c r="G22" i="6"/>
  <c r="P28" i="3"/>
  <c r="C16" i="74" l="1"/>
  <c r="B16" i="74"/>
  <c r="D16" i="74"/>
  <c r="G16" i="74" s="1"/>
  <c r="G15" i="74"/>
  <c r="C145" i="79"/>
  <c r="K139" i="79"/>
  <c r="K143" i="79"/>
  <c r="J142" i="79"/>
  <c r="J140" i="79"/>
  <c r="B130" i="79"/>
  <c r="B128" i="79"/>
  <c r="F45" i="79"/>
  <c r="AA45" i="79"/>
  <c r="B126" i="79"/>
  <c r="D125" i="79"/>
  <c r="E125" i="79"/>
  <c r="F125" i="79"/>
  <c r="G125" i="79"/>
  <c r="D123" i="79"/>
  <c r="E123" i="79"/>
  <c r="F123" i="79"/>
  <c r="G123" i="79"/>
  <c r="H123" i="79"/>
  <c r="I123" i="79"/>
  <c r="J123" i="79"/>
  <c r="K123" i="79"/>
  <c r="L123" i="79"/>
  <c r="M123" i="79"/>
  <c r="D119" i="79"/>
  <c r="E119" i="79"/>
  <c r="F119" i="79"/>
  <c r="G119" i="79"/>
  <c r="H119" i="79"/>
  <c r="I119" i="79"/>
  <c r="J119" i="79"/>
  <c r="K119" i="79"/>
  <c r="L119" i="79"/>
  <c r="M119" i="79"/>
  <c r="D117" i="79"/>
  <c r="E117" i="79"/>
  <c r="F117" i="79"/>
  <c r="G117" i="79"/>
  <c r="D115" i="79"/>
  <c r="E115" i="79"/>
  <c r="F115" i="79"/>
  <c r="G115" i="79"/>
  <c r="H115" i="79"/>
  <c r="I115" i="79"/>
  <c r="J115" i="79"/>
  <c r="K115" i="79"/>
  <c r="L115" i="79"/>
  <c r="M115" i="79"/>
  <c r="E113" i="79"/>
  <c r="F113" i="79"/>
  <c r="G113" i="79"/>
  <c r="H113" i="79"/>
  <c r="D113" i="79"/>
  <c r="H111" i="79"/>
  <c r="G111" i="79"/>
  <c r="F111" i="79"/>
  <c r="E111" i="79"/>
  <c r="D111" i="79"/>
  <c r="C111" i="79"/>
  <c r="D110" i="79"/>
  <c r="E110" i="79"/>
  <c r="F110" i="79"/>
  <c r="G110" i="79"/>
  <c r="H110" i="79"/>
  <c r="I110" i="79"/>
  <c r="J110" i="79"/>
  <c r="K110" i="79"/>
  <c r="L110" i="79"/>
  <c r="M110" i="79"/>
  <c r="D108" i="79"/>
  <c r="E108" i="79"/>
  <c r="F108" i="79"/>
  <c r="G108" i="79"/>
  <c r="H108" i="79"/>
  <c r="I108" i="79"/>
  <c r="J108" i="79"/>
  <c r="K108" i="79"/>
  <c r="L108" i="79"/>
  <c r="M108" i="79"/>
  <c r="D106" i="79"/>
  <c r="E106" i="79"/>
  <c r="F106" i="79"/>
  <c r="G106" i="79"/>
  <c r="H106" i="79"/>
  <c r="I106" i="79"/>
  <c r="J106" i="79"/>
  <c r="K106" i="79"/>
  <c r="L106" i="79"/>
  <c r="M106" i="79"/>
  <c r="D104" i="79"/>
  <c r="E104" i="79"/>
  <c r="F104" i="79"/>
  <c r="G104" i="79"/>
  <c r="H104" i="79"/>
  <c r="I104" i="79"/>
  <c r="J104" i="79"/>
  <c r="D103" i="79"/>
  <c r="E103" i="79"/>
  <c r="M102" i="79"/>
  <c r="L102" i="79"/>
  <c r="K102" i="79"/>
  <c r="C102" i="79"/>
  <c r="D101" i="79"/>
  <c r="E101" i="79"/>
  <c r="F101" i="79"/>
  <c r="G101" i="79"/>
  <c r="H101" i="79"/>
  <c r="I101" i="79"/>
  <c r="J101" i="79"/>
  <c r="K101" i="79"/>
  <c r="L101" i="79"/>
  <c r="M101" i="79"/>
  <c r="B98" i="79"/>
  <c r="B96" i="79"/>
  <c r="B94" i="79"/>
  <c r="B92" i="79"/>
  <c r="B90" i="79"/>
  <c r="E89" i="79"/>
  <c r="F89" i="79"/>
  <c r="G89" i="79"/>
  <c r="H89" i="79"/>
  <c r="I89" i="79"/>
  <c r="J89" i="79"/>
  <c r="K89" i="79"/>
  <c r="L89" i="79"/>
  <c r="M89" i="79"/>
  <c r="D89" i="79"/>
  <c r="M87" i="79"/>
  <c r="L87" i="79"/>
  <c r="K87" i="79"/>
  <c r="J87" i="79"/>
  <c r="I87" i="79"/>
  <c r="H87" i="79"/>
  <c r="G87" i="79"/>
  <c r="F87" i="79"/>
  <c r="E87" i="79"/>
  <c r="D87" i="79"/>
  <c r="D85" i="79"/>
  <c r="E85" i="79"/>
  <c r="F85" i="79"/>
  <c r="G85" i="79"/>
  <c r="D83" i="79"/>
  <c r="E83" i="79"/>
  <c r="F83" i="79"/>
  <c r="G83" i="79"/>
  <c r="D81" i="79"/>
  <c r="E81" i="79"/>
  <c r="F81" i="79"/>
  <c r="G81" i="79"/>
  <c r="D79" i="79"/>
  <c r="E79" i="79"/>
  <c r="F79" i="79"/>
  <c r="G79" i="79"/>
  <c r="D77" i="79"/>
  <c r="E77" i="79"/>
  <c r="F77" i="79"/>
  <c r="G77" i="79"/>
  <c r="B74" i="79"/>
  <c r="B72" i="79"/>
  <c r="B70" i="79"/>
  <c r="E69" i="79"/>
  <c r="F69" i="79"/>
  <c r="G69" i="79"/>
  <c r="H69" i="79"/>
  <c r="I69" i="79"/>
  <c r="J69" i="79"/>
  <c r="K69" i="79"/>
  <c r="L69" i="79"/>
  <c r="M69" i="79"/>
  <c r="D69" i="79"/>
  <c r="M67" i="79"/>
  <c r="L67" i="79"/>
  <c r="K67" i="79"/>
  <c r="J67" i="79"/>
  <c r="I67" i="79"/>
  <c r="H67" i="79"/>
  <c r="G67" i="79"/>
  <c r="F67" i="79"/>
  <c r="E67" i="79"/>
  <c r="D67" i="79"/>
  <c r="C67" i="79"/>
  <c r="D66" i="79"/>
  <c r="E66" i="79"/>
  <c r="F66" i="79"/>
  <c r="G66" i="79"/>
  <c r="H66" i="79"/>
  <c r="I66" i="79"/>
  <c r="C63" i="79"/>
  <c r="I54" i="79"/>
  <c r="J54" i="79"/>
  <c r="G54" i="79"/>
  <c r="H54" i="79"/>
  <c r="E54" i="79"/>
  <c r="F54" i="79"/>
  <c r="P49" i="79"/>
  <c r="P48" i="79"/>
  <c r="V47" i="79"/>
  <c r="T47" i="79"/>
  <c r="R47" i="79"/>
  <c r="P47" i="79"/>
  <c r="Q46" i="79"/>
  <c r="Z46" i="79"/>
  <c r="J46" i="79"/>
  <c r="AC46" i="79"/>
  <c r="H46" i="79"/>
  <c r="AB46" i="79"/>
  <c r="F46" i="79"/>
  <c r="AA46" i="79"/>
  <c r="Q45" i="79"/>
  <c r="Z45" i="79"/>
  <c r="Q44" i="79"/>
  <c r="Z44" i="79"/>
  <c r="J44" i="79"/>
  <c r="AC44" i="79"/>
  <c r="H44" i="79"/>
  <c r="AB44" i="79"/>
  <c r="F44" i="79"/>
  <c r="AA44" i="79"/>
  <c r="Q43" i="79"/>
  <c r="Z43" i="79"/>
  <c r="J43" i="79"/>
  <c r="AC43" i="79"/>
  <c r="H43" i="79"/>
  <c r="AB43" i="79"/>
  <c r="F43" i="79"/>
  <c r="AA43" i="79"/>
  <c r="Q42" i="79"/>
  <c r="Z42" i="79"/>
  <c r="Q41" i="79"/>
  <c r="Z41" i="79"/>
  <c r="J41" i="79"/>
  <c r="AC41" i="79"/>
  <c r="H41" i="79"/>
  <c r="AB41" i="79"/>
  <c r="F41" i="79"/>
  <c r="AA41" i="79"/>
  <c r="Q40" i="79"/>
  <c r="Z40" i="79"/>
  <c r="J40" i="79"/>
  <c r="AC40" i="79"/>
  <c r="H40" i="79"/>
  <c r="AB40" i="79"/>
  <c r="F40" i="79"/>
  <c r="AA40" i="79"/>
  <c r="Q39" i="79"/>
  <c r="Z39" i="79"/>
  <c r="J39" i="79"/>
  <c r="AC39" i="79"/>
  <c r="H39" i="79"/>
  <c r="AB39" i="79"/>
  <c r="F39" i="79"/>
  <c r="AA39" i="79"/>
  <c r="Q38" i="79"/>
  <c r="Z38" i="79"/>
  <c r="J38" i="79"/>
  <c r="AC38" i="79"/>
  <c r="H38" i="79"/>
  <c r="AB38" i="79"/>
  <c r="F38" i="79"/>
  <c r="AA38" i="79"/>
  <c r="Q37" i="79"/>
  <c r="Z37" i="79"/>
  <c r="J37" i="79"/>
  <c r="AC37" i="79"/>
  <c r="H37" i="79"/>
  <c r="AB37" i="79"/>
  <c r="F37" i="79"/>
  <c r="AA37" i="79"/>
  <c r="Q36" i="79"/>
  <c r="Z36" i="79"/>
  <c r="J36" i="79"/>
  <c r="AC36" i="79"/>
  <c r="H36" i="79"/>
  <c r="AB36" i="79"/>
  <c r="F36" i="79"/>
  <c r="AA36" i="79"/>
  <c r="Q35" i="79"/>
  <c r="Z35" i="79"/>
  <c r="J35" i="79"/>
  <c r="AC35" i="79"/>
  <c r="H35" i="79"/>
  <c r="AB35" i="79"/>
  <c r="F35" i="79"/>
  <c r="AA35" i="79"/>
  <c r="Q34" i="79"/>
  <c r="Z34" i="79"/>
  <c r="J34" i="79"/>
  <c r="AC34" i="79"/>
  <c r="H34" i="79"/>
  <c r="AB34" i="79"/>
  <c r="F34" i="79"/>
  <c r="AA34" i="79"/>
  <c r="Q33" i="79"/>
  <c r="Z33" i="79"/>
  <c r="Q32" i="79"/>
  <c r="Z32" i="79"/>
  <c r="J32" i="79"/>
  <c r="AC32" i="79"/>
  <c r="H32" i="79"/>
  <c r="AB32" i="79"/>
  <c r="F32" i="79"/>
  <c r="AA32" i="79"/>
  <c r="Q31" i="79"/>
  <c r="Z31" i="79"/>
  <c r="J31" i="79"/>
  <c r="AC31" i="79"/>
  <c r="H31" i="79"/>
  <c r="AB31" i="79"/>
  <c r="F31" i="79"/>
  <c r="AA31" i="79"/>
  <c r="Q30" i="79"/>
  <c r="Z30" i="79"/>
  <c r="J30" i="79"/>
  <c r="AC30" i="79"/>
  <c r="H30" i="79"/>
  <c r="AB30" i="79"/>
  <c r="F30" i="79"/>
  <c r="AA30" i="79"/>
  <c r="Q29" i="79"/>
  <c r="Z29" i="79"/>
  <c r="J29" i="79"/>
  <c r="AC29" i="79"/>
  <c r="H29" i="79"/>
  <c r="AB29" i="79"/>
  <c r="F29" i="79"/>
  <c r="AA29" i="79"/>
  <c r="Q28" i="79"/>
  <c r="Z28" i="79"/>
  <c r="J28" i="79"/>
  <c r="AC28" i="79"/>
  <c r="H28" i="79"/>
  <c r="AB28" i="79"/>
  <c r="F28" i="79"/>
  <c r="AA28" i="79"/>
  <c r="Q27" i="79"/>
  <c r="Z27" i="79"/>
  <c r="J27" i="79"/>
  <c r="AC27" i="79"/>
  <c r="H27" i="79"/>
  <c r="AB27" i="79"/>
  <c r="F27" i="79"/>
  <c r="AA27" i="79"/>
  <c r="Q26" i="79"/>
  <c r="Z26" i="79"/>
  <c r="J26" i="79"/>
  <c r="AC26" i="79"/>
  <c r="H26" i="79"/>
  <c r="AB26" i="79"/>
  <c r="F26" i="79"/>
  <c r="AA26" i="79"/>
  <c r="Q25" i="79"/>
  <c r="Z25" i="79"/>
  <c r="J25" i="79"/>
  <c r="AC25" i="79"/>
  <c r="H25" i="79"/>
  <c r="AB25" i="79"/>
  <c r="F25" i="79"/>
  <c r="AA25" i="79"/>
  <c r="Q23" i="79"/>
  <c r="Z23" i="79"/>
  <c r="J23" i="79"/>
  <c r="AC23" i="79"/>
  <c r="H23" i="79"/>
  <c r="AB23" i="79"/>
  <c r="F23" i="79"/>
  <c r="AA23" i="79"/>
  <c r="C23" i="79"/>
  <c r="Q21" i="79"/>
  <c r="Z21" i="79"/>
  <c r="J21" i="79"/>
  <c r="AC21" i="79"/>
  <c r="H21" i="79"/>
  <c r="AB21" i="79"/>
  <c r="F21" i="79"/>
  <c r="AA21" i="79"/>
  <c r="C21" i="79"/>
  <c r="Q19" i="79"/>
  <c r="Z19" i="79"/>
  <c r="J19" i="79"/>
  <c r="AC19" i="79"/>
  <c r="H19" i="79"/>
  <c r="AB19" i="79"/>
  <c r="F19" i="79"/>
  <c r="AA19" i="79"/>
  <c r="C19" i="79"/>
  <c r="Q17" i="79"/>
  <c r="Z17" i="79"/>
  <c r="J17" i="79"/>
  <c r="AC17" i="79"/>
  <c r="H17" i="79"/>
  <c r="AB17" i="79"/>
  <c r="F17" i="79"/>
  <c r="AA17" i="79"/>
  <c r="C17" i="79"/>
  <c r="Q15" i="79"/>
  <c r="Z15" i="79"/>
  <c r="J15" i="79"/>
  <c r="AC15" i="79"/>
  <c r="H15" i="79"/>
  <c r="AB15" i="79"/>
  <c r="F15" i="79"/>
  <c r="AA15" i="79"/>
  <c r="C15" i="79"/>
  <c r="Q14" i="79"/>
  <c r="Z14" i="79"/>
  <c r="J14" i="79"/>
  <c r="AC14" i="79"/>
  <c r="H14" i="79"/>
  <c r="AB14" i="79"/>
  <c r="F14" i="79"/>
  <c r="AA14" i="79"/>
  <c r="Q13" i="79"/>
  <c r="Z13" i="79"/>
  <c r="J13" i="79"/>
  <c r="AC13" i="79"/>
  <c r="H13" i="79"/>
  <c r="AB13" i="79"/>
  <c r="F13" i="79"/>
  <c r="AA13" i="79"/>
  <c r="Q12" i="79"/>
  <c r="Z12" i="79"/>
  <c r="J12" i="79"/>
  <c r="AC12" i="79"/>
  <c r="H12" i="79"/>
  <c r="AB12" i="79"/>
  <c r="F12" i="79"/>
  <c r="AA12" i="79"/>
  <c r="Q11" i="79"/>
  <c r="Z11" i="79"/>
  <c r="Q10" i="79"/>
  <c r="Z10" i="79"/>
  <c r="J10" i="79"/>
  <c r="AC10" i="79"/>
  <c r="H10" i="79"/>
  <c r="AB10" i="79"/>
  <c r="F10" i="79"/>
  <c r="AA10" i="79"/>
  <c r="Q9" i="79"/>
  <c r="Z9" i="79"/>
  <c r="J9" i="79"/>
  <c r="AC9" i="79"/>
  <c r="H9" i="79"/>
  <c r="AB9" i="79"/>
  <c r="F9" i="79"/>
  <c r="AA9" i="79"/>
  <c r="S8" i="79"/>
  <c r="J8" i="79"/>
  <c r="AC8" i="79"/>
  <c r="H8" i="79"/>
  <c r="U8" i="79"/>
  <c r="F8" i="79"/>
  <c r="AA8" i="79"/>
  <c r="N9" i="1"/>
  <c r="N8" i="1"/>
  <c r="G69" i="78"/>
  <c r="G68" i="78"/>
  <c r="F69" i="78"/>
  <c r="E95" i="78"/>
  <c r="F68" i="78"/>
  <c r="B95" i="78"/>
  <c r="F64" i="78"/>
  <c r="F62" i="78"/>
  <c r="H85" i="78"/>
  <c r="G64" i="78"/>
  <c r="E85" i="78"/>
  <c r="F61" i="78"/>
  <c r="G61" i="78"/>
  <c r="B85" i="78"/>
  <c r="AI13" i="3"/>
  <c r="AE13" i="3"/>
  <c r="O28" i="3"/>
  <c r="AG28" i="3"/>
  <c r="AN28" i="3"/>
  <c r="AO28" i="3"/>
  <c r="M25" i="3"/>
  <c r="K25" i="3"/>
  <c r="AN25" i="3"/>
  <c r="AO25" i="3"/>
  <c r="M24" i="3"/>
  <c r="K24" i="3"/>
  <c r="M23" i="3"/>
  <c r="K23" i="3"/>
  <c r="M22" i="3"/>
  <c r="K22" i="3"/>
  <c r="K21" i="3"/>
  <c r="M21" i="3"/>
  <c r="M20" i="3"/>
  <c r="K20" i="3"/>
  <c r="M19" i="3"/>
  <c r="K19" i="3"/>
  <c r="M18" i="3"/>
  <c r="K18" i="3"/>
  <c r="M17" i="3"/>
  <c r="K17" i="3"/>
  <c r="M16" i="3"/>
  <c r="K16" i="3"/>
  <c r="K15" i="3"/>
  <c r="H42" i="79"/>
  <c r="AB42" i="79"/>
  <c r="H45" i="79"/>
  <c r="AB45" i="79"/>
  <c r="J42" i="79"/>
  <c r="AC42" i="79"/>
  <c r="J45" i="79"/>
  <c r="AC45" i="79"/>
  <c r="K145" i="79"/>
  <c r="G62" i="78"/>
  <c r="W8" i="79"/>
  <c r="F42" i="79"/>
  <c r="AA42" i="79"/>
  <c r="AB8" i="79"/>
  <c r="S9" i="79"/>
  <c r="W9" i="79"/>
  <c r="U10" i="79"/>
  <c r="S12" i="79"/>
  <c r="W12" i="79"/>
  <c r="U13" i="79"/>
  <c r="S14" i="79"/>
  <c r="W14" i="79"/>
  <c r="S15" i="79"/>
  <c r="W15" i="79"/>
  <c r="S17" i="79"/>
  <c r="W17" i="79"/>
  <c r="S19" i="79"/>
  <c r="W19" i="79"/>
  <c r="S21" i="79"/>
  <c r="W21" i="79"/>
  <c r="U9" i="79"/>
  <c r="S10" i="79"/>
  <c r="W10" i="79"/>
  <c r="U12" i="79"/>
  <c r="S13" i="79"/>
  <c r="W13" i="79"/>
  <c r="U14" i="79"/>
  <c r="U15" i="79"/>
  <c r="U17" i="79"/>
  <c r="U19" i="79"/>
  <c r="U21" i="79"/>
  <c r="U23" i="79"/>
  <c r="S25" i="79"/>
  <c r="W25" i="79"/>
  <c r="U26" i="79"/>
  <c r="S27" i="79"/>
  <c r="W27" i="79"/>
  <c r="U28" i="79"/>
  <c r="S29" i="79"/>
  <c r="W29" i="79"/>
  <c r="U30" i="79"/>
  <c r="S31" i="79"/>
  <c r="W31" i="79"/>
  <c r="U32" i="79"/>
  <c r="S34" i="79"/>
  <c r="W34" i="79"/>
  <c r="U35" i="79"/>
  <c r="S36" i="79"/>
  <c r="W36" i="79"/>
  <c r="U37" i="79"/>
  <c r="S38" i="79"/>
  <c r="W38" i="79"/>
  <c r="U39" i="79"/>
  <c r="S40" i="79"/>
  <c r="W40" i="79"/>
  <c r="U41" i="79"/>
  <c r="U43" i="79"/>
  <c r="S44" i="79"/>
  <c r="W44" i="79"/>
  <c r="U45" i="79"/>
  <c r="S46" i="79"/>
  <c r="W46" i="79"/>
  <c r="S23" i="79"/>
  <c r="W23" i="79"/>
  <c r="U25" i="79"/>
  <c r="S26" i="79"/>
  <c r="W26" i="79"/>
  <c r="U27" i="79"/>
  <c r="S28" i="79"/>
  <c r="W28" i="79"/>
  <c r="U29" i="79"/>
  <c r="S30" i="79"/>
  <c r="W30" i="79"/>
  <c r="U31" i="79"/>
  <c r="S32" i="79"/>
  <c r="W32" i="79"/>
  <c r="U34" i="79"/>
  <c r="S35" i="79"/>
  <c r="W35" i="79"/>
  <c r="U36" i="79"/>
  <c r="S37" i="79"/>
  <c r="W37" i="79"/>
  <c r="U38" i="79"/>
  <c r="S39" i="79"/>
  <c r="W39" i="79"/>
  <c r="U40" i="79"/>
  <c r="S41" i="79"/>
  <c r="W41" i="79"/>
  <c r="U42" i="79"/>
  <c r="S43" i="79"/>
  <c r="W43" i="79"/>
  <c r="U44" i="79"/>
  <c r="S45" i="79"/>
  <c r="W45" i="79"/>
  <c r="U46" i="79"/>
  <c r="F103" i="79"/>
  <c r="E102" i="79"/>
  <c r="D102" i="79"/>
  <c r="K141" i="79"/>
  <c r="K144" i="79"/>
  <c r="W42" i="79"/>
  <c r="S42" i="79"/>
  <c r="G103" i="79"/>
  <c r="H103" i="79"/>
  <c r="G102" i="79"/>
  <c r="F102" i="79"/>
  <c r="I103" i="79"/>
  <c r="H102" i="79"/>
  <c r="J103" i="79"/>
  <c r="J102" i="79"/>
  <c r="I102" i="79"/>
  <c r="D104" i="21"/>
  <c r="E104" i="21"/>
  <c r="F104" i="21"/>
  <c r="G104" i="21"/>
  <c r="H104" i="21"/>
  <c r="I104" i="21"/>
  <c r="J104" i="21"/>
  <c r="E103" i="21"/>
  <c r="F103" i="21"/>
  <c r="G103" i="21"/>
  <c r="H103" i="21"/>
  <c r="I103" i="21"/>
  <c r="J103" i="21"/>
  <c r="D103" i="21"/>
  <c r="N7" i="1"/>
  <c r="L7" i="1"/>
  <c r="D33" i="77"/>
  <c r="D31" i="77"/>
  <c r="E32" i="77"/>
  <c r="I7" i="39"/>
  <c r="G7" i="39"/>
  <c r="I6" i="39"/>
  <c r="G6" i="39"/>
  <c r="I5" i="39"/>
  <c r="G5" i="39"/>
  <c r="I46" i="39"/>
  <c r="G46" i="39"/>
  <c r="I38" i="39"/>
  <c r="G38" i="39"/>
  <c r="E46" i="39"/>
  <c r="E38" i="39"/>
  <c r="C38" i="39"/>
  <c r="D118" i="39"/>
  <c r="E118" i="39"/>
  <c r="F118" i="39"/>
  <c r="G118" i="39"/>
  <c r="H118" i="39"/>
  <c r="D117" i="39"/>
  <c r="E117" i="39"/>
  <c r="F117" i="39"/>
  <c r="G117" i="39"/>
  <c r="H117" i="39"/>
  <c r="D71" i="39"/>
  <c r="E71" i="39"/>
  <c r="F71" i="39"/>
  <c r="G71" i="39"/>
  <c r="H71" i="39"/>
  <c r="I71" i="39"/>
  <c r="J71" i="39"/>
  <c r="K71" i="39"/>
  <c r="L71" i="39"/>
  <c r="M71" i="39"/>
  <c r="N71" i="39"/>
  <c r="E7" i="39"/>
  <c r="E6" i="39"/>
  <c r="E5" i="39"/>
  <c r="D32" i="77"/>
  <c r="E33" i="77"/>
  <c r="D3" i="4"/>
  <c r="AH5" i="71"/>
  <c r="AG5" i="71"/>
  <c r="AE5" i="71"/>
  <c r="AF5" i="71"/>
  <c r="AD5" i="71"/>
  <c r="Q5" i="71"/>
  <c r="P5" i="71"/>
  <c r="O5" i="71"/>
  <c r="N5" i="71"/>
  <c r="Q7" i="71"/>
  <c r="P7" i="71"/>
  <c r="O7" i="71"/>
  <c r="N7" i="71"/>
  <c r="AH6" i="71"/>
  <c r="AG6" i="71"/>
  <c r="AE6" i="71"/>
  <c r="AF6" i="71"/>
  <c r="AD6" i="71"/>
  <c r="Q6" i="71"/>
  <c r="P6" i="71"/>
  <c r="O6" i="71"/>
  <c r="N6" i="71"/>
  <c r="AH7" i="71"/>
  <c r="AG7" i="71"/>
  <c r="AE7" i="71"/>
  <c r="AF7" i="71"/>
  <c r="AD7" i="71"/>
  <c r="Q8" i="71"/>
  <c r="Q9" i="71"/>
  <c r="P8" i="71"/>
  <c r="P9" i="71"/>
  <c r="O8" i="71"/>
  <c r="O9" i="71"/>
  <c r="N8" i="71"/>
  <c r="N9" i="71"/>
  <c r="AH8" i="71"/>
  <c r="AG8" i="71"/>
  <c r="AE8" i="71"/>
  <c r="AF8" i="71"/>
  <c r="AD8" i="71"/>
  <c r="F24" i="12"/>
  <c r="F7" i="69"/>
  <c r="F7" i="68"/>
  <c r="M15" i="45"/>
  <c r="L15" i="45"/>
  <c r="K15" i="45"/>
  <c r="J15" i="45"/>
  <c r="I15" i="45"/>
  <c r="H15" i="45"/>
  <c r="G15" i="45"/>
  <c r="F15" i="45"/>
  <c r="E15" i="45"/>
  <c r="D15" i="45"/>
  <c r="C15" i="45"/>
  <c r="B15" i="45"/>
  <c r="AH9" i="71"/>
  <c r="AG9" i="71"/>
  <c r="AE9" i="71"/>
  <c r="AF9" i="71"/>
  <c r="AD9" i="71"/>
  <c r="AD10" i="71"/>
  <c r="AH10" i="71"/>
  <c r="AG10" i="71"/>
  <c r="AE10" i="71"/>
  <c r="AF10" i="71"/>
  <c r="Q10" i="71"/>
  <c r="P10" i="71"/>
  <c r="O10" i="71"/>
  <c r="N10" i="71"/>
  <c r="L3" i="71"/>
  <c r="AH3" i="71"/>
  <c r="K3" i="71"/>
  <c r="AG3" i="71"/>
  <c r="J3" i="71"/>
  <c r="AE3" i="71"/>
  <c r="I3" i="71"/>
  <c r="AH11" i="71"/>
  <c r="AG11" i="71"/>
  <c r="AE11" i="71"/>
  <c r="AF11" i="71"/>
  <c r="AD11" i="71"/>
  <c r="Q11" i="71"/>
  <c r="Q12" i="71"/>
  <c r="P11" i="71"/>
  <c r="P12" i="71"/>
  <c r="O11" i="71"/>
  <c r="O12" i="71"/>
  <c r="N11" i="71"/>
  <c r="N12" i="71"/>
  <c r="N13" i="71"/>
  <c r="AH12" i="71"/>
  <c r="AG12" i="71"/>
  <c r="AE12" i="71"/>
  <c r="AF12" i="71"/>
  <c r="AD12" i="71"/>
  <c r="Q13" i="71"/>
  <c r="P13" i="71"/>
  <c r="O13" i="71"/>
  <c r="M19" i="43"/>
  <c r="D15" i="71"/>
  <c r="AH13" i="71"/>
  <c r="AG13" i="71"/>
  <c r="AE13" i="71"/>
  <c r="AF13" i="71"/>
  <c r="AD13" i="71"/>
  <c r="AD14" i="71"/>
  <c r="AG14" i="71"/>
  <c r="AH14" i="71"/>
  <c r="AE14" i="71"/>
  <c r="AF14" i="71"/>
  <c r="N14" i="71"/>
  <c r="Q14" i="71"/>
  <c r="P14" i="71"/>
  <c r="O14" i="71"/>
  <c r="Q15" i="71"/>
  <c r="F14" i="71"/>
  <c r="F13" i="71"/>
  <c r="F12" i="71"/>
  <c r="P15" i="71"/>
  <c r="E14" i="71"/>
  <c r="E13" i="71"/>
  <c r="E12" i="71"/>
  <c r="O15" i="71"/>
  <c r="N15" i="71"/>
  <c r="A2" i="53"/>
  <c r="B19" i="72"/>
  <c r="K59" i="67"/>
  <c r="P61" i="67"/>
  <c r="K59" i="15"/>
  <c r="P74" i="15"/>
  <c r="D116" i="39"/>
  <c r="E116" i="39"/>
  <c r="F116" i="39"/>
  <c r="G116" i="39"/>
  <c r="H116" i="39"/>
  <c r="I116" i="39"/>
  <c r="J116" i="39"/>
  <c r="K116" i="39"/>
  <c r="L116" i="39"/>
  <c r="M116" i="39"/>
  <c r="C116" i="39"/>
  <c r="A21" i="62"/>
  <c r="A20" i="62"/>
  <c r="A22" i="51"/>
  <c r="A21" i="51"/>
  <c r="A20" i="51"/>
  <c r="A14" i="62"/>
  <c r="A13" i="62"/>
  <c r="B59" i="72"/>
  <c r="A19" i="62"/>
  <c r="A12" i="62"/>
  <c r="B58" i="72"/>
  <c r="A120" i="9"/>
  <c r="H2" i="52"/>
  <c r="A1" i="52"/>
  <c r="A3" i="53"/>
  <c r="Q16" i="71"/>
  <c r="P16" i="71"/>
  <c r="O16" i="71"/>
  <c r="N16" i="71"/>
  <c r="A15" i="51"/>
  <c r="B12" i="72"/>
  <c r="C76" i="9"/>
  <c r="I107" i="40"/>
  <c r="K6" i="4"/>
  <c r="M56" i="9"/>
  <c r="B22" i="31"/>
  <c r="N56" i="9"/>
  <c r="E15" i="74"/>
  <c r="F15" i="74"/>
  <c r="E17" i="74"/>
  <c r="F17" i="74"/>
  <c r="E18" i="74"/>
  <c r="F18" i="74"/>
  <c r="E19" i="74"/>
  <c r="F19" i="74"/>
  <c r="E20" i="74"/>
  <c r="F20" i="74"/>
  <c r="E21" i="74"/>
  <c r="F21" i="74"/>
  <c r="E22" i="74"/>
  <c r="F22" i="74"/>
  <c r="E23" i="74"/>
  <c r="F23" i="74"/>
  <c r="B3" i="74"/>
  <c r="C91" i="9"/>
  <c r="B8" i="72"/>
  <c r="O17" i="71"/>
  <c r="P17" i="71"/>
  <c r="Q17" i="71"/>
  <c r="N17"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H29" i="71"/>
  <c r="AG29" i="71"/>
  <c r="AE29" i="71"/>
  <c r="AF29" i="71"/>
  <c r="AD29" i="71"/>
  <c r="AD30" i="71"/>
  <c r="AE30" i="71"/>
  <c r="AF30" i="71"/>
  <c r="AG30" i="71"/>
  <c r="AH30" i="71"/>
  <c r="S2" i="31"/>
  <c r="M2" i="31"/>
  <c r="N2" i="31"/>
  <c r="O2" i="31"/>
  <c r="P2" i="31"/>
  <c r="Q2" i="31"/>
  <c r="R2" i="31"/>
  <c r="C1" i="73"/>
  <c r="L1" i="73"/>
  <c r="B74" i="72"/>
  <c r="Y12" i="43"/>
  <c r="Y10" i="43"/>
  <c r="AJ9" i="43"/>
  <c r="AJ12" i="43"/>
  <c r="AI9" i="43"/>
  <c r="AH9" i="43"/>
  <c r="AH12" i="43"/>
  <c r="AG9" i="43"/>
  <c r="AF9" i="43"/>
  <c r="AF12" i="43"/>
  <c r="AE9" i="43"/>
  <c r="AD9" i="43"/>
  <c r="AD12" i="43"/>
  <c r="AC9" i="43"/>
  <c r="AB9" i="43"/>
  <c r="AB12" i="43"/>
  <c r="AA9" i="43"/>
  <c r="Z9" i="43"/>
  <c r="Z12" i="43"/>
  <c r="AB10" i="43"/>
  <c r="AF10" i="43"/>
  <c r="AJ10" i="43"/>
  <c r="K49" i="9"/>
  <c r="E107" i="9"/>
  <c r="A122" i="9"/>
  <c r="A8" i="52"/>
  <c r="B54" i="72"/>
  <c r="E111" i="9"/>
  <c r="A126" i="9"/>
  <c r="A12" i="52"/>
  <c r="B56" i="72"/>
  <c r="E109" i="9"/>
  <c r="A124" i="9"/>
  <c r="B44" i="72"/>
  <c r="B42" i="72"/>
  <c r="B69" i="72"/>
  <c r="B68" i="72"/>
  <c r="B63" i="72"/>
  <c r="B62" i="72"/>
  <c r="B16" i="72"/>
  <c r="B65" i="72"/>
  <c r="B60" i="72"/>
  <c r="B67" i="72"/>
  <c r="B66" i="72"/>
  <c r="B10" i="72"/>
  <c r="C53" i="10"/>
  <c r="B51" i="10"/>
  <c r="A18" i="51"/>
  <c r="B13" i="72"/>
  <c r="B49" i="48"/>
  <c r="B5" i="72"/>
  <c r="I19" i="43"/>
  <c r="D79" i="71"/>
  <c r="F78" i="71"/>
  <c r="F77" i="71"/>
  <c r="F76" i="71"/>
  <c r="E78" i="71"/>
  <c r="E77" i="71"/>
  <c r="E76" i="71"/>
  <c r="C78" i="71"/>
  <c r="D78" i="71"/>
  <c r="B78" i="71"/>
  <c r="B77" i="71"/>
  <c r="B76" i="71"/>
  <c r="D75" i="71"/>
  <c r="F74" i="71"/>
  <c r="E74" i="71"/>
  <c r="E73" i="71"/>
  <c r="E72" i="71"/>
  <c r="C74" i="71"/>
  <c r="B74" i="71"/>
  <c r="F73" i="71"/>
  <c r="F72" i="71"/>
  <c r="B73" i="71"/>
  <c r="B72" i="71"/>
  <c r="D71" i="71"/>
  <c r="Q70" i="71"/>
  <c r="P70" i="71"/>
  <c r="O70" i="71"/>
  <c r="N70" i="71"/>
  <c r="F70" i="71"/>
  <c r="E70" i="71"/>
  <c r="U70" i="71"/>
  <c r="C70" i="71"/>
  <c r="B70" i="71"/>
  <c r="S70" i="71"/>
  <c r="Q69" i="71"/>
  <c r="P69" i="71"/>
  <c r="O69" i="71"/>
  <c r="N69"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F58" i="71"/>
  <c r="F57" i="71"/>
  <c r="F56" i="71"/>
  <c r="Q55" i="71"/>
  <c r="E58" i="71"/>
  <c r="P58" i="71"/>
  <c r="C58" i="71"/>
  <c r="O58" i="71"/>
  <c r="B58" i="71"/>
  <c r="Q56"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Q47" i="71"/>
  <c r="F48" i="71"/>
  <c r="F49" i="71"/>
  <c r="F50" i="71"/>
  <c r="V50" i="71"/>
  <c r="P47" i="71"/>
  <c r="E48" i="71"/>
  <c r="E49" i="71"/>
  <c r="E50" i="71"/>
  <c r="U50" i="71"/>
  <c r="O47" i="71"/>
  <c r="C48" i="71"/>
  <c r="N47" i="71"/>
  <c r="B48" i="71"/>
  <c r="B49" i="71"/>
  <c r="B50" i="71"/>
  <c r="S50" i="71"/>
  <c r="D47" i="71"/>
  <c r="Q46" i="71"/>
  <c r="P46" i="71"/>
  <c r="O46" i="71"/>
  <c r="N46" i="71"/>
  <c r="Q45" i="71"/>
  <c r="P45" i="71"/>
  <c r="O45" i="71"/>
  <c r="N45" i="71"/>
  <c r="Q44" i="71"/>
  <c r="P44" i="71"/>
  <c r="O44" i="71"/>
  <c r="C45" i="71"/>
  <c r="C46" i="71"/>
  <c r="D46" i="71"/>
  <c r="N44" i="71"/>
  <c r="Q43" i="71"/>
  <c r="F44" i="71"/>
  <c r="F45" i="71"/>
  <c r="F46" i="71"/>
  <c r="V46" i="71"/>
  <c r="P43" i="71"/>
  <c r="E44" i="71"/>
  <c r="E45" i="71"/>
  <c r="O43" i="71"/>
  <c r="C44" i="71"/>
  <c r="N43" i="71"/>
  <c r="B44" i="71"/>
  <c r="B45" i="71"/>
  <c r="B46" i="71"/>
  <c r="S46" i="71"/>
  <c r="D43" i="71"/>
  <c r="Q42" i="71"/>
  <c r="P42" i="71"/>
  <c r="O42" i="71"/>
  <c r="N42" i="71"/>
  <c r="Q41" i="71"/>
  <c r="P41" i="71"/>
  <c r="O41" i="71"/>
  <c r="N41" i="71"/>
  <c r="Q40" i="71"/>
  <c r="P40" i="71"/>
  <c r="O40" i="71"/>
  <c r="N40" i="71"/>
  <c r="Q39" i="71"/>
  <c r="F40" i="71"/>
  <c r="F41" i="71"/>
  <c r="P39" i="71"/>
  <c r="E40" i="71"/>
  <c r="E41" i="71"/>
  <c r="E42" i="71"/>
  <c r="U42" i="71"/>
  <c r="O39" i="71"/>
  <c r="C40" i="71"/>
  <c r="C41" i="71"/>
  <c r="C42" i="71"/>
  <c r="N39" i="71"/>
  <c r="B40" i="71"/>
  <c r="B41" i="71"/>
  <c r="B42" i="71"/>
  <c r="S42" i="71"/>
  <c r="D39" i="71"/>
  <c r="T38" i="71"/>
  <c r="Q38" i="71"/>
  <c r="P38" i="71"/>
  <c r="O38" i="71"/>
  <c r="N38" i="71"/>
  <c r="D38" i="71"/>
  <c r="Q37" i="71"/>
  <c r="P37" i="71"/>
  <c r="O37" i="71"/>
  <c r="N37" i="71"/>
  <c r="Q36" i="71"/>
  <c r="P36" i="71"/>
  <c r="O36" i="71"/>
  <c r="N36" i="71"/>
  <c r="F38" i="71"/>
  <c r="V38" i="71"/>
  <c r="Q35" i="71"/>
  <c r="F36" i="71"/>
  <c r="F37" i="71"/>
  <c r="P35" i="71"/>
  <c r="E36" i="71"/>
  <c r="E37" i="71"/>
  <c r="E38" i="71"/>
  <c r="U38" i="71"/>
  <c r="O35" i="71"/>
  <c r="C36" i="71"/>
  <c r="N35" i="71"/>
  <c r="B36" i="71"/>
  <c r="B37" i="71"/>
  <c r="B38" i="71"/>
  <c r="S38" i="71"/>
  <c r="D35" i="71"/>
  <c r="Q34" i="71"/>
  <c r="P34" i="71"/>
  <c r="O34" i="71"/>
  <c r="N34" i="71"/>
  <c r="Q33" i="71"/>
  <c r="P33" i="71"/>
  <c r="O33" i="71"/>
  <c r="N33" i="71"/>
  <c r="Q32" i="71"/>
  <c r="P32" i="71"/>
  <c r="O32" i="71"/>
  <c r="N32" i="71"/>
  <c r="F32" i="71"/>
  <c r="F33" i="71"/>
  <c r="F34" i="71"/>
  <c r="V34" i="71"/>
  <c r="Q31" i="71"/>
  <c r="P31" i="71"/>
  <c r="E32" i="71"/>
  <c r="O31" i="71"/>
  <c r="C32" i="71"/>
  <c r="C33" i="71"/>
  <c r="C34" i="71"/>
  <c r="D34" i="71"/>
  <c r="N31" i="71"/>
  <c r="B32" i="71"/>
  <c r="B33" i="71"/>
  <c r="B34" i="71"/>
  <c r="S34" i="71"/>
  <c r="D31" i="71"/>
  <c r="Q30" i="71"/>
  <c r="P30" i="71"/>
  <c r="O30" i="71"/>
  <c r="N30" i="71"/>
  <c r="AB29" i="71"/>
  <c r="Q29" i="71"/>
  <c r="P29" i="71"/>
  <c r="AA29" i="71"/>
  <c r="O29" i="71"/>
  <c r="Y29" i="71"/>
  <c r="Z29" i="71"/>
  <c r="N29" i="71"/>
  <c r="X29" i="71"/>
  <c r="Q28" i="71"/>
  <c r="AB28" i="71"/>
  <c r="P28" i="71"/>
  <c r="O28" i="71"/>
  <c r="Y28" i="71"/>
  <c r="Z28" i="71"/>
  <c r="N28" i="71"/>
  <c r="F30" i="71"/>
  <c r="V30" i="71"/>
  <c r="Q27" i="71"/>
  <c r="F28" i="71"/>
  <c r="F29" i="71"/>
  <c r="P27" i="71"/>
  <c r="O27" i="71"/>
  <c r="N27" i="71"/>
  <c r="D27" i="71"/>
  <c r="Q26" i="71"/>
  <c r="AB26" i="71"/>
  <c r="P26" i="71"/>
  <c r="O26" i="71"/>
  <c r="N26" i="71"/>
  <c r="X26" i="71"/>
  <c r="Q25" i="71"/>
  <c r="AB25" i="71"/>
  <c r="P25" i="71"/>
  <c r="O25" i="71"/>
  <c r="N25" i="71"/>
  <c r="B26" i="71"/>
  <c r="S26" i="71"/>
  <c r="Q24" i="71"/>
  <c r="AB24" i="71"/>
  <c r="P24" i="71"/>
  <c r="O24" i="71"/>
  <c r="C25" i="71"/>
  <c r="Y24" i="71"/>
  <c r="Z24" i="71"/>
  <c r="N24" i="71"/>
  <c r="Q23" i="71"/>
  <c r="P23" i="71"/>
  <c r="O23" i="71"/>
  <c r="N23" i="71"/>
  <c r="D23" i="71"/>
  <c r="Q22" i="71"/>
  <c r="P22" i="71"/>
  <c r="O22" i="71"/>
  <c r="Y22" i="71"/>
  <c r="Z22" i="71"/>
  <c r="N22" i="71"/>
  <c r="Q21" i="71"/>
  <c r="P21" i="71"/>
  <c r="O21" i="71"/>
  <c r="N21" i="71"/>
  <c r="Q20" i="71"/>
  <c r="P20" i="71"/>
  <c r="O20" i="71"/>
  <c r="Y20" i="71"/>
  <c r="Z20" i="71"/>
  <c r="N20" i="71"/>
  <c r="V22" i="71"/>
  <c r="Q19" i="71"/>
  <c r="F20" i="71"/>
  <c r="F21" i="71"/>
  <c r="F22" i="71"/>
  <c r="P19" i="71"/>
  <c r="O19" i="71"/>
  <c r="N19" i="71"/>
  <c r="D19" i="71"/>
  <c r="O18" i="71"/>
  <c r="N18" i="71"/>
  <c r="B20" i="71"/>
  <c r="B21" i="71"/>
  <c r="B22" i="71"/>
  <c r="S22" i="71"/>
  <c r="E20" i="71"/>
  <c r="E21" i="71"/>
  <c r="E22" i="71"/>
  <c r="U22" i="71"/>
  <c r="B24" i="71"/>
  <c r="B25" i="71"/>
  <c r="B28" i="71"/>
  <c r="B29" i="71"/>
  <c r="B30" i="71"/>
  <c r="S30" i="71"/>
  <c r="X27" i="71"/>
  <c r="E28" i="71"/>
  <c r="C20" i="71"/>
  <c r="C24" i="71"/>
  <c r="Y23" i="71"/>
  <c r="Z23" i="71"/>
  <c r="AB27" i="71"/>
  <c r="X28" i="71"/>
  <c r="F42" i="71"/>
  <c r="V42" i="71"/>
  <c r="C18" i="71"/>
  <c r="Y16" i="71"/>
  <c r="Z16" i="71"/>
  <c r="D24" i="71"/>
  <c r="D40" i="71"/>
  <c r="P18" i="71"/>
  <c r="E46" i="71"/>
  <c r="U46" i="71"/>
  <c r="E53" i="71"/>
  <c r="E54" i="71"/>
  <c r="U54" i="71"/>
  <c r="U58" i="71"/>
  <c r="E57" i="71"/>
  <c r="Q18" i="71"/>
  <c r="D44" i="71"/>
  <c r="D48" i="71"/>
  <c r="C53" i="71"/>
  <c r="D52" i="71"/>
  <c r="Q57" i="71"/>
  <c r="T58" i="71"/>
  <c r="D58" i="71"/>
  <c r="C57" i="71"/>
  <c r="Q58" i="71"/>
  <c r="C61" i="71"/>
  <c r="E61" i="71"/>
  <c r="E60" i="71"/>
  <c r="D62" i="71"/>
  <c r="C65" i="71"/>
  <c r="E65" i="71"/>
  <c r="E64" i="71"/>
  <c r="D66" i="71"/>
  <c r="E69" i="71"/>
  <c r="E68" i="71"/>
  <c r="D70" i="71"/>
  <c r="C77" i="71"/>
  <c r="T18" i="71"/>
  <c r="C17" i="71"/>
  <c r="D17" i="71"/>
  <c r="AB18" i="71"/>
  <c r="E18" i="71"/>
  <c r="E17" i="71"/>
  <c r="E16" i="71"/>
  <c r="AA18" i="71"/>
  <c r="D18" i="71"/>
  <c r="U18" i="71"/>
  <c r="C56" i="71"/>
  <c r="O57" i="71"/>
  <c r="D57" i="71"/>
  <c r="C54" i="71"/>
  <c r="D54" i="71"/>
  <c r="D53" i="71"/>
  <c r="D65" i="71"/>
  <c r="C64" i="71"/>
  <c r="D64" i="71"/>
  <c r="D61" i="71"/>
  <c r="C60" i="71"/>
  <c r="D60" i="71"/>
  <c r="D45" i="71"/>
  <c r="P57" i="71"/>
  <c r="E56" i="71"/>
  <c r="P55" i="71"/>
  <c r="D41" i="71"/>
  <c r="D33" i="71"/>
  <c r="C26" i="71"/>
  <c r="D25" i="71"/>
  <c r="V18" i="71"/>
  <c r="P56" i="71"/>
  <c r="O56" i="71"/>
  <c r="D56" i="71"/>
  <c r="O55" i="71"/>
  <c r="T26" i="71"/>
  <c r="D26" i="71"/>
  <c r="T34" i="71"/>
  <c r="T46" i="71"/>
  <c r="T54"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A10" i="70"/>
  <c r="E10" i="70"/>
  <c r="A11" i="70"/>
  <c r="E11" i="70"/>
  <c r="A12" i="70"/>
  <c r="E12" i="70"/>
  <c r="A13" i="70"/>
  <c r="E13" i="70"/>
  <c r="A6" i="70"/>
  <c r="Q25" i="40"/>
  <c r="Z25" i="40"/>
  <c r="D94" i="40"/>
  <c r="E94" i="40"/>
  <c r="F25" i="40"/>
  <c r="AA25" i="40"/>
  <c r="Z29" i="39"/>
  <c r="Q29" i="39"/>
  <c r="D103" i="39"/>
  <c r="E103" i="39"/>
  <c r="F103" i="39"/>
  <c r="G103" i="39"/>
  <c r="F29" i="39"/>
  <c r="AA29" i="39"/>
  <c r="Q18" i="36"/>
  <c r="Z18" i="36"/>
  <c r="D66" i="36"/>
  <c r="E66" i="36"/>
  <c r="F66" i="36"/>
  <c r="G66" i="36"/>
  <c r="H18" i="36"/>
  <c r="AB18" i="36"/>
  <c r="F18" i="36"/>
  <c r="S18" i="36"/>
  <c r="AA18" i="36"/>
  <c r="C18" i="36"/>
  <c r="Z18" i="35"/>
  <c r="Q18" i="35"/>
  <c r="D68" i="35"/>
  <c r="E68" i="35"/>
  <c r="F18" i="35"/>
  <c r="AA18" i="35"/>
  <c r="C18" i="35"/>
  <c r="Q21" i="37"/>
  <c r="Z21" i="37"/>
  <c r="D77" i="37"/>
  <c r="E77" i="37"/>
  <c r="F77" i="37"/>
  <c r="C21" i="37"/>
  <c r="Z21" i="34"/>
  <c r="Q21" i="34"/>
  <c r="D84" i="34"/>
  <c r="E84" i="34"/>
  <c r="F84" i="34"/>
  <c r="G84" i="34"/>
  <c r="F21" i="34"/>
  <c r="AA21" i="34"/>
  <c r="C21" i="34"/>
  <c r="Q21" i="33"/>
  <c r="Z21" i="33"/>
  <c r="D83" i="33"/>
  <c r="E83" i="33"/>
  <c r="F83" i="33"/>
  <c r="C21" i="33"/>
  <c r="C21" i="21"/>
  <c r="Q21" i="21"/>
  <c r="Z21" i="21"/>
  <c r="D83" i="21"/>
  <c r="F21" i="21"/>
  <c r="AA21" i="21"/>
  <c r="D81" i="21"/>
  <c r="G20" i="20"/>
  <c r="C22" i="20"/>
  <c r="B75" i="43"/>
  <c r="B55" i="43"/>
  <c r="S25" i="40"/>
  <c r="U18" i="36"/>
  <c r="F94" i="40"/>
  <c r="G94" i="40"/>
  <c r="H25" i="40"/>
  <c r="J25" i="40"/>
  <c r="H29" i="39"/>
  <c r="AB29" i="39"/>
  <c r="J29" i="39"/>
  <c r="W29" i="39"/>
  <c r="J18" i="36"/>
  <c r="F68" i="35"/>
  <c r="G68" i="35"/>
  <c r="H18" i="35"/>
  <c r="S18" i="35"/>
  <c r="J18" i="35"/>
  <c r="H21" i="37"/>
  <c r="F21" i="37"/>
  <c r="H21" i="34"/>
  <c r="H21" i="33"/>
  <c r="AB21" i="33"/>
  <c r="F21" i="33"/>
  <c r="E83" i="21"/>
  <c r="F83" i="21"/>
  <c r="G83" i="21"/>
  <c r="H1" i="69"/>
  <c r="AC25" i="40"/>
  <c r="W25" i="40"/>
  <c r="AB25" i="40"/>
  <c r="U25" i="40"/>
  <c r="AC29" i="39"/>
  <c r="AC18" i="36"/>
  <c r="W18" i="36"/>
  <c r="AB21" i="37"/>
  <c r="U21" i="37"/>
  <c r="AA21" i="37"/>
  <c r="S21" i="37"/>
  <c r="AB21" i="34"/>
  <c r="U21" i="34"/>
  <c r="U21" i="33"/>
  <c r="AB18" i="35"/>
  <c r="U18" i="35"/>
  <c r="G77" i="37"/>
  <c r="J21" i="37"/>
  <c r="W21" i="37"/>
  <c r="J21" i="34"/>
  <c r="G83" i="33"/>
  <c r="J21" i="33"/>
  <c r="W21" i="33"/>
  <c r="H21" i="21"/>
  <c r="AB21" i="21"/>
  <c r="F38" i="69"/>
  <c r="E37" i="69"/>
  <c r="F36" i="69"/>
  <c r="F35" i="69"/>
  <c r="F21" i="69"/>
  <c r="C21" i="69"/>
  <c r="F20" i="69"/>
  <c r="E10" i="69"/>
  <c r="E9" i="69"/>
  <c r="C7" i="69"/>
  <c r="AC21" i="37"/>
  <c r="AC21" i="34"/>
  <c r="W21" i="34"/>
  <c r="AC21" i="33"/>
  <c r="J21" i="21"/>
  <c r="W21" i="21"/>
  <c r="C40" i="69"/>
  <c r="F38" i="68"/>
  <c r="E37" i="68"/>
  <c r="F36" i="68"/>
  <c r="F35" i="68"/>
  <c r="F21" i="68"/>
  <c r="C21" i="68"/>
  <c r="F20" i="68"/>
  <c r="E10" i="68"/>
  <c r="E9" i="68"/>
  <c r="Q72" i="67"/>
  <c r="Q59" i="67"/>
  <c r="Q58" i="67"/>
  <c r="Q51" i="67"/>
  <c r="J50" i="67"/>
  <c r="M47" i="67"/>
  <c r="D46" i="67"/>
  <c r="F33" i="67"/>
  <c r="F61" i="67"/>
  <c r="F23" i="67"/>
  <c r="D24" i="67"/>
  <c r="F21" i="67"/>
  <c r="F20" i="67"/>
  <c r="M19" i="67"/>
  <c r="F18" i="67"/>
  <c r="F17" i="67"/>
  <c r="F15" i="67"/>
  <c r="D23" i="67"/>
  <c r="S2" i="4"/>
  <c r="C51" i="10"/>
  <c r="A13" i="51"/>
  <c r="B11" i="72"/>
  <c r="S1" i="4"/>
  <c r="A4" i="51"/>
  <c r="B6" i="72"/>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0" i="43"/>
  <c r="D108" i="43"/>
  <c r="E99" i="43"/>
  <c r="E108" i="43"/>
  <c r="F99" i="43"/>
  <c r="F108" i="43"/>
  <c r="G99" i="43"/>
  <c r="G108" i="43"/>
  <c r="H99" i="43"/>
  <c r="H108" i="43"/>
  <c r="I99" i="43"/>
  <c r="I108" i="43"/>
  <c r="J99" i="43"/>
  <c r="J108" i="43"/>
  <c r="K99" i="43"/>
  <c r="K108" i="43"/>
  <c r="L99" i="43"/>
  <c r="L108" i="43"/>
  <c r="M99" i="43"/>
  <c r="M108" i="43"/>
  <c r="C99" i="43"/>
  <c r="C108" i="43"/>
  <c r="N100" i="43"/>
  <c r="L100" i="43"/>
  <c r="E100" i="43"/>
  <c r="G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79"/>
  <c r="C58" i="79"/>
  <c r="F15" i="4"/>
  <c r="F10" i="1"/>
  <c r="F11" i="1"/>
  <c r="F12" i="1"/>
  <c r="F13" i="1"/>
  <c r="D6" i="1"/>
  <c r="D9" i="1"/>
  <c r="D10" i="1"/>
  <c r="D11" i="1"/>
  <c r="D12" i="1"/>
  <c r="D13" i="1"/>
  <c r="D7" i="1"/>
  <c r="D8" i="1"/>
  <c r="A7" i="1"/>
  <c r="B7" i="1"/>
  <c r="E7" i="1"/>
  <c r="A8" i="1"/>
  <c r="B8" i="1"/>
  <c r="E8" i="1"/>
  <c r="A9" i="1"/>
  <c r="A10" i="1"/>
  <c r="K10" i="1"/>
  <c r="M10" i="1" s="1"/>
  <c r="A11" i="1"/>
  <c r="A12" i="1"/>
  <c r="A13" i="1"/>
  <c r="A6" i="1"/>
  <c r="B11" i="1"/>
  <c r="E11" i="1"/>
  <c r="B13" i="1"/>
  <c r="E13" i="1"/>
  <c r="K13" i="1"/>
  <c r="M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c r="BN112" i="3"/>
  <c r="BM112" i="3"/>
  <c r="BK112" i="3"/>
  <c r="BJ112" i="3"/>
  <c r="BI112" i="3"/>
  <c r="BH112" i="3"/>
  <c r="BG112" i="3"/>
  <c r="BF112" i="3"/>
  <c r="BE112" i="3"/>
  <c r="BD112" i="3"/>
  <c r="BC112" i="3"/>
  <c r="BA112" i="3"/>
  <c r="AZ112" i="3"/>
  <c r="BB112" i="3"/>
  <c r="AX112" i="3"/>
  <c r="AW112" i="3"/>
  <c r="AV112" i="3"/>
  <c r="AC112" i="3"/>
  <c r="H112" i="3"/>
  <c r="G112" i="3"/>
  <c r="BT111" i="3"/>
  <c r="BS111" i="3"/>
  <c r="BR111" i="3"/>
  <c r="BQ111" i="3"/>
  <c r="BP111" i="3"/>
  <c r="BO111" i="3"/>
  <c r="BN111" i="3"/>
  <c r="BL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c r="BC110" i="3"/>
  <c r="BB110" i="3"/>
  <c r="AX110" i="3"/>
  <c r="AW110" i="3"/>
  <c r="AV110" i="3"/>
  <c r="AC110" i="3"/>
  <c r="H110" i="3"/>
  <c r="G110" i="3"/>
  <c r="BT109" i="3"/>
  <c r="BS109" i="3"/>
  <c r="BR109" i="3"/>
  <c r="BQ109" i="3"/>
  <c r="BP109" i="3"/>
  <c r="BO109" i="3"/>
  <c r="BN109" i="3"/>
  <c r="BL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c r="AZ108" i="3"/>
  <c r="BC108" i="3"/>
  <c r="BB108" i="3"/>
  <c r="AX108" i="3"/>
  <c r="AW108" i="3"/>
  <c r="AV108" i="3"/>
  <c r="AC108" i="3"/>
  <c r="G108" i="3"/>
  <c r="H108" i="3"/>
  <c r="BT107" i="3"/>
  <c r="BS107" i="3"/>
  <c r="BR107" i="3"/>
  <c r="BQ107" i="3"/>
  <c r="BP107" i="3"/>
  <c r="BO107" i="3"/>
  <c r="BL107" i="3"/>
  <c r="BN107" i="3"/>
  <c r="BM107" i="3"/>
  <c r="BK107" i="3"/>
  <c r="BJ107" i="3"/>
  <c r="BI107" i="3"/>
  <c r="BH107" i="3"/>
  <c r="BG107" i="3"/>
  <c r="BF107" i="3"/>
  <c r="BE107" i="3"/>
  <c r="BD107" i="3"/>
  <c r="BC107" i="3"/>
  <c r="BA107" i="3"/>
  <c r="BB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A105" i="3"/>
  <c r="BC105" i="3"/>
  <c r="BB105" i="3"/>
  <c r="AX105" i="3"/>
  <c r="AW105" i="3"/>
  <c r="AV105" i="3"/>
  <c r="AC105" i="3"/>
  <c r="H105" i="3"/>
  <c r="G105" i="3"/>
  <c r="BT104" i="3"/>
  <c r="BS104" i="3"/>
  <c r="BR104" i="3"/>
  <c r="BQ104" i="3"/>
  <c r="BP104" i="3"/>
  <c r="BO104" i="3"/>
  <c r="BN104" i="3"/>
  <c r="BL104" i="3"/>
  <c r="BM104" i="3"/>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A102" i="3"/>
  <c r="BC102" i="3"/>
  <c r="BB102" i="3"/>
  <c r="AX102" i="3"/>
  <c r="AW102" i="3"/>
  <c r="AV102" i="3"/>
  <c r="AC102" i="3"/>
  <c r="H102" i="3"/>
  <c r="G102" i="3"/>
  <c r="BT101" i="3"/>
  <c r="BS101" i="3"/>
  <c r="BR101" i="3"/>
  <c r="BQ101" i="3"/>
  <c r="BP101" i="3"/>
  <c r="BO101" i="3"/>
  <c r="BN101" i="3"/>
  <c r="BL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c r="AZ100" i="3"/>
  <c r="BC100" i="3"/>
  <c r="BB100" i="3"/>
  <c r="AX100" i="3"/>
  <c r="AW100" i="3"/>
  <c r="AV100" i="3"/>
  <c r="AC100" i="3"/>
  <c r="G100" i="3"/>
  <c r="H100" i="3"/>
  <c r="BT99" i="3"/>
  <c r="BS99" i="3"/>
  <c r="BR99" i="3"/>
  <c r="BQ99" i="3"/>
  <c r="BP99" i="3"/>
  <c r="BO99" i="3"/>
  <c r="BL99" i="3"/>
  <c r="BN99" i="3"/>
  <c r="BM99" i="3"/>
  <c r="BK99" i="3"/>
  <c r="BJ99" i="3"/>
  <c r="BI99" i="3"/>
  <c r="BH99" i="3"/>
  <c r="BG99" i="3"/>
  <c r="BF99" i="3"/>
  <c r="BE99" i="3"/>
  <c r="BD99" i="3"/>
  <c r="BC99" i="3"/>
  <c r="BA99" i="3"/>
  <c r="AZ99" i="3"/>
  <c r="BB99" i="3"/>
  <c r="AX99" i="3"/>
  <c r="AW99" i="3"/>
  <c r="AV99" i="3"/>
  <c r="AC99" i="3"/>
  <c r="H99" i="3"/>
  <c r="G99" i="3"/>
  <c r="BT98" i="3"/>
  <c r="BS98" i="3"/>
  <c r="BR98" i="3"/>
  <c r="BQ98" i="3"/>
  <c r="BP98" i="3"/>
  <c r="BO98" i="3"/>
  <c r="BN98" i="3"/>
  <c r="BL98" i="3"/>
  <c r="BM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G97" i="3"/>
  <c r="H97" i="3"/>
  <c r="BT96" i="3"/>
  <c r="BS96" i="3"/>
  <c r="BR96" i="3"/>
  <c r="BQ96" i="3"/>
  <c r="BP96" i="3"/>
  <c r="BO96" i="3"/>
  <c r="BL96" i="3"/>
  <c r="BN96" i="3"/>
  <c r="BM96" i="3"/>
  <c r="BK96" i="3"/>
  <c r="BJ96" i="3"/>
  <c r="BI96" i="3"/>
  <c r="BH96" i="3"/>
  <c r="BG96" i="3"/>
  <c r="BF96" i="3"/>
  <c r="BE96" i="3"/>
  <c r="BD96" i="3"/>
  <c r="BC96" i="3"/>
  <c r="BA96" i="3"/>
  <c r="BB96" i="3"/>
  <c r="AX96" i="3"/>
  <c r="AW96" i="3"/>
  <c r="AV96" i="3"/>
  <c r="AC96" i="3"/>
  <c r="H96" i="3"/>
  <c r="G96" i="3"/>
  <c r="BT95" i="3"/>
  <c r="BS95" i="3"/>
  <c r="BR95" i="3"/>
  <c r="BQ95" i="3"/>
  <c r="BP95" i="3"/>
  <c r="BO95" i="3"/>
  <c r="BN95" i="3"/>
  <c r="BL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G94" i="3"/>
  <c r="H94" i="3"/>
  <c r="BT93" i="3"/>
  <c r="BS93" i="3"/>
  <c r="BR93" i="3"/>
  <c r="BQ93" i="3"/>
  <c r="BP93" i="3"/>
  <c r="BO93" i="3"/>
  <c r="BL93" i="3"/>
  <c r="BN93" i="3"/>
  <c r="BM93" i="3"/>
  <c r="BK93" i="3"/>
  <c r="BJ93" i="3"/>
  <c r="BI93" i="3"/>
  <c r="BH93" i="3"/>
  <c r="BG93" i="3"/>
  <c r="BF93" i="3"/>
  <c r="BE93" i="3"/>
  <c r="BD93" i="3"/>
  <c r="BC93" i="3"/>
  <c r="BA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A91" i="3"/>
  <c r="AZ91" i="3"/>
  <c r="BC91" i="3"/>
  <c r="BB91" i="3"/>
  <c r="AX91" i="3"/>
  <c r="AW91" i="3"/>
  <c r="AV91" i="3"/>
  <c r="AC91" i="3"/>
  <c r="G91" i="3"/>
  <c r="H91" i="3"/>
  <c r="BT90" i="3"/>
  <c r="BS90" i="3"/>
  <c r="BR90" i="3"/>
  <c r="BQ90" i="3"/>
  <c r="BP90" i="3"/>
  <c r="BO90" i="3"/>
  <c r="BL90" i="3"/>
  <c r="BN90" i="3"/>
  <c r="BM90" i="3"/>
  <c r="BK90" i="3"/>
  <c r="BJ90" i="3"/>
  <c r="BI90" i="3"/>
  <c r="BH90" i="3"/>
  <c r="BG90" i="3"/>
  <c r="BF90" i="3"/>
  <c r="BE90" i="3"/>
  <c r="BD90" i="3"/>
  <c r="BC90" i="3"/>
  <c r="BA90" i="3"/>
  <c r="AZ90" i="3"/>
  <c r="BB90" i="3"/>
  <c r="AX90" i="3"/>
  <c r="AW90" i="3"/>
  <c r="AV90" i="3"/>
  <c r="AC90" i="3"/>
  <c r="H90" i="3"/>
  <c r="G90" i="3"/>
  <c r="BT89" i="3"/>
  <c r="BS89" i="3"/>
  <c r="BR89" i="3"/>
  <c r="BQ89" i="3"/>
  <c r="BP89" i="3"/>
  <c r="BO89" i="3"/>
  <c r="BN89" i="3"/>
  <c r="BL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A88" i="3"/>
  <c r="BC88" i="3"/>
  <c r="BB88" i="3"/>
  <c r="AX88" i="3"/>
  <c r="AW88" i="3"/>
  <c r="AV88" i="3"/>
  <c r="AC88" i="3"/>
  <c r="H88" i="3"/>
  <c r="G88" i="3"/>
  <c r="BT87" i="3"/>
  <c r="BS87" i="3"/>
  <c r="BR87" i="3"/>
  <c r="BQ87" i="3"/>
  <c r="BP87" i="3"/>
  <c r="BO87" i="3"/>
  <c r="BN87" i="3"/>
  <c r="BL87" i="3"/>
  <c r="BM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G86" i="3"/>
  <c r="H86" i="3"/>
  <c r="BT85" i="3"/>
  <c r="BS85" i="3"/>
  <c r="BR85" i="3"/>
  <c r="BQ85" i="3"/>
  <c r="BP85" i="3"/>
  <c r="BO85" i="3"/>
  <c r="BL85" i="3"/>
  <c r="BN85" i="3"/>
  <c r="BM85" i="3"/>
  <c r="BK85" i="3"/>
  <c r="BJ85" i="3"/>
  <c r="BI85" i="3"/>
  <c r="BH85" i="3"/>
  <c r="BG85" i="3"/>
  <c r="BF85" i="3"/>
  <c r="BE85" i="3"/>
  <c r="BD85" i="3"/>
  <c r="BC85" i="3"/>
  <c r="BA85" i="3"/>
  <c r="BB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G84" i="3"/>
  <c r="H84" i="3"/>
  <c r="BT83" i="3"/>
  <c r="BS83" i="3"/>
  <c r="BR83" i="3"/>
  <c r="BQ83" i="3"/>
  <c r="BP83" i="3"/>
  <c r="BO83" i="3"/>
  <c r="BL83" i="3"/>
  <c r="BN83" i="3"/>
  <c r="BM83" i="3"/>
  <c r="BK83" i="3"/>
  <c r="BJ83" i="3"/>
  <c r="BI83" i="3"/>
  <c r="BH83" i="3"/>
  <c r="BG83" i="3"/>
  <c r="BF83" i="3"/>
  <c r="BE83" i="3"/>
  <c r="BD83" i="3"/>
  <c r="BC83" i="3"/>
  <c r="BA83" i="3"/>
  <c r="BB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G82" i="3"/>
  <c r="H82" i="3"/>
  <c r="BT81" i="3"/>
  <c r="BS81" i="3"/>
  <c r="BR81" i="3"/>
  <c r="BQ81" i="3"/>
  <c r="BP81" i="3"/>
  <c r="BO81" i="3"/>
  <c r="BL81" i="3"/>
  <c r="BN81" i="3"/>
  <c r="BM81" i="3"/>
  <c r="BK81" i="3"/>
  <c r="BJ81" i="3"/>
  <c r="BI81" i="3"/>
  <c r="BH81" i="3"/>
  <c r="BG81" i="3"/>
  <c r="BF81" i="3"/>
  <c r="BE81" i="3"/>
  <c r="BD81" i="3"/>
  <c r="BC81" i="3"/>
  <c r="BA81" i="3"/>
  <c r="BB81" i="3"/>
  <c r="AX81" i="3"/>
  <c r="AW81" i="3"/>
  <c r="AV81" i="3"/>
  <c r="AC81" i="3"/>
  <c r="H81" i="3"/>
  <c r="G81" i="3"/>
  <c r="BT80" i="3"/>
  <c r="BS80" i="3"/>
  <c r="BR80" i="3"/>
  <c r="BQ80" i="3"/>
  <c r="BP80" i="3"/>
  <c r="BO80" i="3"/>
  <c r="BN80" i="3"/>
  <c r="BL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A79" i="3"/>
  <c r="BC79" i="3"/>
  <c r="BB79" i="3"/>
  <c r="AX79" i="3"/>
  <c r="AW79" i="3"/>
  <c r="AV79" i="3"/>
  <c r="AC79" i="3"/>
  <c r="H79" i="3"/>
  <c r="G79" i="3"/>
  <c r="BT78" i="3"/>
  <c r="BS78" i="3"/>
  <c r="BR78" i="3"/>
  <c r="BQ78" i="3"/>
  <c r="BP78" i="3"/>
  <c r="BO78" i="3"/>
  <c r="BN78" i="3"/>
  <c r="BL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G77" i="3"/>
  <c r="H77" i="3"/>
  <c r="BT76" i="3"/>
  <c r="BS76" i="3"/>
  <c r="BR76" i="3"/>
  <c r="BQ76" i="3"/>
  <c r="BP76" i="3"/>
  <c r="BO76" i="3"/>
  <c r="BL76" i="3"/>
  <c r="BN76" i="3"/>
  <c r="BM76" i="3"/>
  <c r="BK76" i="3"/>
  <c r="BJ76" i="3"/>
  <c r="BI76" i="3"/>
  <c r="BH76" i="3"/>
  <c r="BG76" i="3"/>
  <c r="BF76" i="3"/>
  <c r="BE76" i="3"/>
  <c r="BD76" i="3"/>
  <c r="BC76" i="3"/>
  <c r="BA76" i="3"/>
  <c r="BB76" i="3"/>
  <c r="AX76" i="3"/>
  <c r="AW76" i="3"/>
  <c r="AV76" i="3"/>
  <c r="AC76" i="3"/>
  <c r="H76" i="3"/>
  <c r="G76" i="3"/>
  <c r="BT75" i="3"/>
  <c r="BS75" i="3"/>
  <c r="BR75" i="3"/>
  <c r="BQ75" i="3"/>
  <c r="BP75" i="3"/>
  <c r="BO75" i="3"/>
  <c r="BN75" i="3"/>
  <c r="BL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A74" i="3"/>
  <c r="BC74" i="3"/>
  <c r="BB74" i="3"/>
  <c r="AX74" i="3"/>
  <c r="AW74" i="3"/>
  <c r="AV74" i="3"/>
  <c r="AC74" i="3"/>
  <c r="H74" i="3"/>
  <c r="G74" i="3"/>
  <c r="BT73" i="3"/>
  <c r="BS73" i="3"/>
  <c r="BR73" i="3"/>
  <c r="BQ73" i="3"/>
  <c r="BP73" i="3"/>
  <c r="BO73" i="3"/>
  <c r="BN73" i="3"/>
  <c r="BL73" i="3"/>
  <c r="BM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G72" i="3"/>
  <c r="H72" i="3"/>
  <c r="BT71" i="3"/>
  <c r="BS71" i="3"/>
  <c r="BR71" i="3"/>
  <c r="BQ71" i="3"/>
  <c r="BP71" i="3"/>
  <c r="BO71" i="3"/>
  <c r="BL71" i="3"/>
  <c r="BN71" i="3"/>
  <c r="BM71" i="3"/>
  <c r="BK71" i="3"/>
  <c r="BJ71" i="3"/>
  <c r="BI71" i="3"/>
  <c r="BH71" i="3"/>
  <c r="BG71" i="3"/>
  <c r="BF71" i="3"/>
  <c r="BE71" i="3"/>
  <c r="BD71" i="3"/>
  <c r="BC71" i="3"/>
  <c r="BA71" i="3"/>
  <c r="BB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A69" i="3"/>
  <c r="BC69" i="3"/>
  <c r="BB69" i="3"/>
  <c r="AX69" i="3"/>
  <c r="AW69" i="3"/>
  <c r="AV69" i="3"/>
  <c r="AC69" i="3"/>
  <c r="H69" i="3"/>
  <c r="G69" i="3"/>
  <c r="BT68" i="3"/>
  <c r="BS68" i="3"/>
  <c r="BR68" i="3"/>
  <c r="BQ68" i="3"/>
  <c r="BP68" i="3"/>
  <c r="BO68" i="3"/>
  <c r="BN68" i="3"/>
  <c r="BL68" i="3"/>
  <c r="BM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G67" i="3"/>
  <c r="H67" i="3"/>
  <c r="BT66" i="3"/>
  <c r="BS66" i="3"/>
  <c r="BR66" i="3"/>
  <c r="BQ66" i="3"/>
  <c r="BP66" i="3"/>
  <c r="BO66" i="3"/>
  <c r="BL66" i="3"/>
  <c r="BN66" i="3"/>
  <c r="BM66" i="3"/>
  <c r="BK66" i="3"/>
  <c r="BJ66" i="3"/>
  <c r="BI66" i="3"/>
  <c r="BH66" i="3"/>
  <c r="BG66" i="3"/>
  <c r="BF66" i="3"/>
  <c r="BE66" i="3"/>
  <c r="BD66" i="3"/>
  <c r="BC66" i="3"/>
  <c r="BA66" i="3"/>
  <c r="BB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A64" i="3"/>
  <c r="AZ64" i="3"/>
  <c r="BC64" i="3"/>
  <c r="BB64" i="3"/>
  <c r="AX64" i="3"/>
  <c r="AW64" i="3"/>
  <c r="AV64" i="3"/>
  <c r="AC64" i="3"/>
  <c r="G64" i="3"/>
  <c r="H64" i="3"/>
  <c r="BT63" i="3"/>
  <c r="BS63" i="3"/>
  <c r="BR63" i="3"/>
  <c r="BQ63" i="3"/>
  <c r="BP63" i="3"/>
  <c r="BO63" i="3"/>
  <c r="BL63" i="3"/>
  <c r="BN63" i="3"/>
  <c r="BM63" i="3"/>
  <c r="BK63" i="3"/>
  <c r="BJ63" i="3"/>
  <c r="BI63" i="3"/>
  <c r="BH63" i="3"/>
  <c r="BG63" i="3"/>
  <c r="BF63" i="3"/>
  <c r="BE63" i="3"/>
  <c r="BD63" i="3"/>
  <c r="BC63" i="3"/>
  <c r="BA63" i="3"/>
  <c r="BB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A61" i="3"/>
  <c r="BC61" i="3"/>
  <c r="BB61" i="3"/>
  <c r="AX61" i="3"/>
  <c r="AW61" i="3"/>
  <c r="AV61" i="3"/>
  <c r="AC61" i="3"/>
  <c r="H61" i="3"/>
  <c r="G61" i="3"/>
  <c r="BT60" i="3"/>
  <c r="BS60" i="3"/>
  <c r="BR60" i="3"/>
  <c r="BQ60" i="3"/>
  <c r="BP60" i="3"/>
  <c r="BO60" i="3"/>
  <c r="BN60" i="3"/>
  <c r="BL60" i="3"/>
  <c r="BM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G59" i="3"/>
  <c r="H59" i="3"/>
  <c r="BT58" i="3"/>
  <c r="BS58" i="3"/>
  <c r="BR58" i="3"/>
  <c r="BQ58" i="3"/>
  <c r="BP58" i="3"/>
  <c r="BO58" i="3"/>
  <c r="BL58" i="3"/>
  <c r="BN58" i="3"/>
  <c r="BM58" i="3"/>
  <c r="BK58" i="3"/>
  <c r="BJ58" i="3"/>
  <c r="BI58" i="3"/>
  <c r="BH58" i="3"/>
  <c r="BG58" i="3"/>
  <c r="BF58" i="3"/>
  <c r="BE58" i="3"/>
  <c r="BD58" i="3"/>
  <c r="BC58" i="3"/>
  <c r="BA58" i="3"/>
  <c r="BB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A56" i="3"/>
  <c r="BC56" i="3"/>
  <c r="BB56" i="3"/>
  <c r="AZ56" i="3"/>
  <c r="AX56" i="3"/>
  <c r="AW56" i="3"/>
  <c r="AV56" i="3"/>
  <c r="AC56" i="3"/>
  <c r="G56" i="3"/>
  <c r="H56" i="3"/>
  <c r="BT55" i="3"/>
  <c r="BS55" i="3"/>
  <c r="BR55" i="3"/>
  <c r="BQ55" i="3"/>
  <c r="BP55" i="3"/>
  <c r="BO55" i="3"/>
  <c r="BL55" i="3"/>
  <c r="BN55" i="3"/>
  <c r="BM55" i="3"/>
  <c r="BK55" i="3"/>
  <c r="BJ55" i="3"/>
  <c r="BI55" i="3"/>
  <c r="BH55" i="3"/>
  <c r="BG55" i="3"/>
  <c r="BF55" i="3"/>
  <c r="BE55" i="3"/>
  <c r="BD55" i="3"/>
  <c r="BC55" i="3"/>
  <c r="BA55" i="3"/>
  <c r="BB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A53" i="3"/>
  <c r="BC53" i="3"/>
  <c r="BB53" i="3"/>
  <c r="AX53" i="3"/>
  <c r="AW53" i="3"/>
  <c r="AV53" i="3"/>
  <c r="AC53" i="3"/>
  <c r="H53" i="3"/>
  <c r="G53" i="3"/>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G51" i="3"/>
  <c r="H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G48" i="3"/>
  <c r="H48" i="3"/>
  <c r="BT47" i="3"/>
  <c r="BS47" i="3"/>
  <c r="BR47" i="3"/>
  <c r="BQ47" i="3"/>
  <c r="BP47" i="3"/>
  <c r="BO47" i="3"/>
  <c r="BN47" i="3"/>
  <c r="BM47" i="3"/>
  <c r="BL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c r="BK45" i="3"/>
  <c r="BJ45" i="3"/>
  <c r="BI45" i="3"/>
  <c r="BH45" i="3"/>
  <c r="BG45" i="3"/>
  <c r="BF45" i="3"/>
  <c r="BE45" i="3"/>
  <c r="BD45" i="3"/>
  <c r="BA45" i="3"/>
  <c r="BC45" i="3"/>
  <c r="BB45" i="3"/>
  <c r="AX45" i="3"/>
  <c r="AW45" i="3"/>
  <c r="AV45" i="3"/>
  <c r="AC45" i="3"/>
  <c r="H45" i="3"/>
  <c r="G45" i="3"/>
  <c r="BT44" i="3"/>
  <c r="BS44" i="3"/>
  <c r="BR44" i="3"/>
  <c r="BQ44" i="3"/>
  <c r="BP44" i="3"/>
  <c r="BO44" i="3"/>
  <c r="BN44" i="3"/>
  <c r="BM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K43" i="3"/>
  <c r="BJ43" i="3"/>
  <c r="BI43" i="3"/>
  <c r="BH43" i="3"/>
  <c r="BG43" i="3"/>
  <c r="BF43" i="3"/>
  <c r="BE43" i="3"/>
  <c r="BD43" i="3"/>
  <c r="BC43" i="3"/>
  <c r="BB43" i="3"/>
  <c r="BA43" i="3"/>
  <c r="AX43" i="3"/>
  <c r="AW43" i="3"/>
  <c r="AV43" i="3"/>
  <c r="AC43" i="3"/>
  <c r="G43" i="3"/>
  <c r="H43" i="3"/>
  <c r="BT42" i="3"/>
  <c r="BS42" i="3"/>
  <c r="BR42" i="3"/>
  <c r="BQ42" i="3"/>
  <c r="BP42" i="3"/>
  <c r="BO42" i="3"/>
  <c r="BL42" i="3"/>
  <c r="BN42" i="3"/>
  <c r="BM42" i="3"/>
  <c r="BK42" i="3"/>
  <c r="BJ42" i="3"/>
  <c r="BI42" i="3"/>
  <c r="BH42" i="3"/>
  <c r="BG42" i="3"/>
  <c r="BF42" i="3"/>
  <c r="BE42" i="3"/>
  <c r="BD42" i="3"/>
  <c r="BC42" i="3"/>
  <c r="BA42" i="3"/>
  <c r="BB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G41" i="3"/>
  <c r="H41" i="3"/>
  <c r="BT40" i="3"/>
  <c r="BS40" i="3"/>
  <c r="BR40" i="3"/>
  <c r="BQ40" i="3"/>
  <c r="BP40" i="3"/>
  <c r="BO40" i="3"/>
  <c r="BN40" i="3"/>
  <c r="BM40" i="3"/>
  <c r="BL40" i="3"/>
  <c r="BK40" i="3"/>
  <c r="BJ40" i="3"/>
  <c r="BI40" i="3"/>
  <c r="BH40" i="3"/>
  <c r="BG40" i="3"/>
  <c r="BF40" i="3"/>
  <c r="BE40" i="3"/>
  <c r="BD40" i="3"/>
  <c r="BA40" i="3"/>
  <c r="AZ40" i="3"/>
  <c r="BC40" i="3"/>
  <c r="BB40" i="3"/>
  <c r="AX40" i="3"/>
  <c r="AW40" i="3"/>
  <c r="AV40" i="3"/>
  <c r="AC40" i="3"/>
  <c r="H40" i="3"/>
  <c r="BT39" i="3"/>
  <c r="BS39" i="3"/>
  <c r="BR39" i="3"/>
  <c r="BQ39" i="3"/>
  <c r="BP39" i="3"/>
  <c r="BO39" i="3"/>
  <c r="BN39" i="3"/>
  <c r="BL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L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G37" i="3"/>
  <c r="H37" i="3"/>
  <c r="BT36" i="3"/>
  <c r="BS36" i="3"/>
  <c r="BR36" i="3"/>
  <c r="BQ36" i="3"/>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BT34" i="3"/>
  <c r="BS34" i="3"/>
  <c r="BR34" i="3"/>
  <c r="BQ34" i="3"/>
  <c r="BP34" i="3"/>
  <c r="BO34" i="3"/>
  <c r="BN34" i="3"/>
  <c r="BL34" i="3"/>
  <c r="BM34" i="3"/>
  <c r="BK34" i="3"/>
  <c r="BJ34" i="3"/>
  <c r="BI34" i="3"/>
  <c r="BH34" i="3"/>
  <c r="BG34" i="3"/>
  <c r="BF34" i="3"/>
  <c r="BE34" i="3"/>
  <c r="BD34" i="3"/>
  <c r="BC34" i="3"/>
  <c r="BB34" i="3"/>
  <c r="BA34" i="3"/>
  <c r="AX34" i="3"/>
  <c r="AW34" i="3"/>
  <c r="AV34" i="3"/>
  <c r="AC34" i="3"/>
  <c r="G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K31" i="3"/>
  <c r="BJ31" i="3"/>
  <c r="BI31" i="3"/>
  <c r="BH31" i="3"/>
  <c r="BG31" i="3"/>
  <c r="BF31" i="3"/>
  <c r="BE31" i="3"/>
  <c r="BD31" i="3"/>
  <c r="BC31" i="3"/>
  <c r="BB31" i="3"/>
  <c r="BA31" i="3"/>
  <c r="AX31" i="3"/>
  <c r="AW31" i="3"/>
  <c r="AV31" i="3"/>
  <c r="AC31" i="3"/>
  <c r="G31" i="3"/>
  <c r="H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AX26" i="3"/>
  <c r="AW26" i="3"/>
  <c r="AV26" i="3"/>
  <c r="AC26" i="3"/>
  <c r="H26" i="3"/>
  <c r="G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G190" i="3"/>
  <c r="H190" i="3"/>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L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G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L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G178" i="3"/>
  <c r="H178" i="3"/>
  <c r="BT177" i="3"/>
  <c r="BS177" i="3"/>
  <c r="BR177" i="3"/>
  <c r="BQ177" i="3"/>
  <c r="BP177" i="3"/>
  <c r="BO177" i="3"/>
  <c r="BN177" i="3"/>
  <c r="BM177" i="3"/>
  <c r="BL177" i="3"/>
  <c r="BK177" i="3"/>
  <c r="BJ177" i="3"/>
  <c r="BI177" i="3"/>
  <c r="BH177" i="3"/>
  <c r="BG177" i="3"/>
  <c r="BF177" i="3"/>
  <c r="BE177" i="3"/>
  <c r="BD177" i="3"/>
  <c r="BC177" i="3"/>
  <c r="BA177" i="3"/>
  <c r="AZ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L175" i="3"/>
  <c r="BM175" i="3"/>
  <c r="BK175" i="3"/>
  <c r="BJ175" i="3"/>
  <c r="BI175" i="3"/>
  <c r="BH175" i="3"/>
  <c r="BG175" i="3"/>
  <c r="BF175" i="3"/>
  <c r="BE175" i="3"/>
  <c r="BD175" i="3"/>
  <c r="BC175" i="3"/>
  <c r="BB175" i="3"/>
  <c r="AX175" i="3"/>
  <c r="AW175" i="3"/>
  <c r="AV175" i="3"/>
  <c r="AC175" i="3"/>
  <c r="G175" i="3"/>
  <c r="H175" i="3"/>
  <c r="BT174" i="3"/>
  <c r="BS174" i="3"/>
  <c r="BR174" i="3"/>
  <c r="BQ174" i="3"/>
  <c r="BP174" i="3"/>
  <c r="BO174" i="3"/>
  <c r="BN174" i="3"/>
  <c r="BM174" i="3"/>
  <c r="BL174" i="3"/>
  <c r="BK174" i="3"/>
  <c r="BJ174" i="3"/>
  <c r="BI174" i="3"/>
  <c r="BH174" i="3"/>
  <c r="BG174" i="3"/>
  <c r="BF174" i="3"/>
  <c r="BE174" i="3"/>
  <c r="BD174" i="3"/>
  <c r="BC174" i="3"/>
  <c r="BA174" i="3"/>
  <c r="BB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G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L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G163" i="3"/>
  <c r="H163" i="3"/>
  <c r="BT162" i="3"/>
  <c r="BS162" i="3"/>
  <c r="BR162" i="3"/>
  <c r="BQ162" i="3"/>
  <c r="BP162" i="3"/>
  <c r="BO162" i="3"/>
  <c r="BN162" i="3"/>
  <c r="BM162" i="3"/>
  <c r="BL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G158" i="3"/>
  <c r="H158" i="3"/>
  <c r="BT157" i="3"/>
  <c r="BS157" i="3"/>
  <c r="BR157" i="3"/>
  <c r="BQ157" i="3"/>
  <c r="BP157" i="3"/>
  <c r="BO157" i="3"/>
  <c r="BN157" i="3"/>
  <c r="BM157" i="3"/>
  <c r="BL157" i="3"/>
  <c r="BK157" i="3"/>
  <c r="BJ157" i="3"/>
  <c r="BI157" i="3"/>
  <c r="BH157" i="3"/>
  <c r="BG157" i="3"/>
  <c r="BF157" i="3"/>
  <c r="BE157" i="3"/>
  <c r="BD157" i="3"/>
  <c r="BC157" i="3"/>
  <c r="BA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c r="H152" i="3"/>
  <c r="BT151" i="3"/>
  <c r="BS151" i="3"/>
  <c r="BR151" i="3"/>
  <c r="BQ151" i="3"/>
  <c r="BP151" i="3"/>
  <c r="BO151" i="3"/>
  <c r="BL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A150" i="3"/>
  <c r="BC150" i="3"/>
  <c r="BB150" i="3"/>
  <c r="AX150" i="3"/>
  <c r="AW150" i="3"/>
  <c r="AV150" i="3"/>
  <c r="AC150" i="3"/>
  <c r="H150" i="3"/>
  <c r="G150" i="3"/>
  <c r="BT149" i="3"/>
  <c r="BS149" i="3"/>
  <c r="BR149" i="3"/>
  <c r="BQ149" i="3"/>
  <c r="BP149" i="3"/>
  <c r="BO149" i="3"/>
  <c r="BN149" i="3"/>
  <c r="BL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G146" i="3"/>
  <c r="H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L143" i="3"/>
  <c r="BM143" i="3"/>
  <c r="BK143" i="3"/>
  <c r="BJ143" i="3"/>
  <c r="BI143" i="3"/>
  <c r="BH143" i="3"/>
  <c r="BG143" i="3"/>
  <c r="BF143" i="3"/>
  <c r="BE143" i="3"/>
  <c r="BD143" i="3"/>
  <c r="BC143" i="3"/>
  <c r="BB143" i="3"/>
  <c r="AX143" i="3"/>
  <c r="AW143" i="3"/>
  <c r="AV143" i="3"/>
  <c r="AC143" i="3"/>
  <c r="G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G138" i="3"/>
  <c r="H138" i="3"/>
  <c r="BT137" i="3"/>
  <c r="BS137" i="3"/>
  <c r="BR137" i="3"/>
  <c r="BQ137" i="3"/>
  <c r="BP137" i="3"/>
  <c r="BO137" i="3"/>
  <c r="BL137" i="3"/>
  <c r="BN137" i="3"/>
  <c r="BM137" i="3"/>
  <c r="BK137" i="3"/>
  <c r="BJ137" i="3"/>
  <c r="BI137" i="3"/>
  <c r="BH137" i="3"/>
  <c r="BG137" i="3"/>
  <c r="BF137" i="3"/>
  <c r="BE137" i="3"/>
  <c r="BD137" i="3"/>
  <c r="BC137" i="3"/>
  <c r="BA137" i="3"/>
  <c r="AZ137" i="3"/>
  <c r="BB137" i="3"/>
  <c r="AX137" i="3"/>
  <c r="AW137" i="3"/>
  <c r="AV137" i="3"/>
  <c r="AC137" i="3"/>
  <c r="H137" i="3"/>
  <c r="BT136" i="3"/>
  <c r="BS136" i="3"/>
  <c r="BR136" i="3"/>
  <c r="BQ136" i="3"/>
  <c r="BP136" i="3"/>
  <c r="BO136" i="3"/>
  <c r="BN136" i="3"/>
  <c r="BM136" i="3"/>
  <c r="BK136" i="3"/>
  <c r="BJ136" i="3"/>
  <c r="BI136" i="3"/>
  <c r="BH136" i="3"/>
  <c r="BG136" i="3"/>
  <c r="BF136" i="3"/>
  <c r="BE136" i="3"/>
  <c r="BD136" i="3"/>
  <c r="BA136" i="3"/>
  <c r="BC136" i="3"/>
  <c r="BB136" i="3"/>
  <c r="AX136" i="3"/>
  <c r="AW136" i="3"/>
  <c r="AV136" i="3"/>
  <c r="AC136" i="3"/>
  <c r="H136" i="3"/>
  <c r="G136" i="3"/>
  <c r="BT135" i="3"/>
  <c r="BS135" i="3"/>
  <c r="BR135" i="3"/>
  <c r="BQ135" i="3"/>
  <c r="BP135" i="3"/>
  <c r="BO135" i="3"/>
  <c r="BN135" i="3"/>
  <c r="BM135" i="3"/>
  <c r="BK135" i="3"/>
  <c r="BJ135" i="3"/>
  <c r="BI135" i="3"/>
  <c r="BH135" i="3"/>
  <c r="BG135" i="3"/>
  <c r="BF135" i="3"/>
  <c r="BE135" i="3"/>
  <c r="BD135" i="3"/>
  <c r="BC135" i="3"/>
  <c r="BB135" i="3"/>
  <c r="AX135" i="3"/>
  <c r="AW135" i="3"/>
  <c r="AV135" i="3"/>
  <c r="AC135" i="3"/>
  <c r="G135" i="3"/>
  <c r="H135" i="3"/>
  <c r="BT134" i="3"/>
  <c r="BS134" i="3"/>
  <c r="BR134" i="3"/>
  <c r="BQ134" i="3"/>
  <c r="BP134" i="3"/>
  <c r="BO134" i="3"/>
  <c r="BL134" i="3"/>
  <c r="BN134" i="3"/>
  <c r="BM134" i="3"/>
  <c r="BK134" i="3"/>
  <c r="BJ134" i="3"/>
  <c r="BI134" i="3"/>
  <c r="BH134" i="3"/>
  <c r="BG134" i="3"/>
  <c r="BF134" i="3"/>
  <c r="BE134" i="3"/>
  <c r="BD134" i="3"/>
  <c r="BC134" i="3"/>
  <c r="BA134" i="3"/>
  <c r="BB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G130" i="3"/>
  <c r="H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A128" i="3"/>
  <c r="BC128" i="3"/>
  <c r="BB128" i="3"/>
  <c r="AX128" i="3"/>
  <c r="AW128" i="3"/>
  <c r="AV128" i="3"/>
  <c r="AC128" i="3"/>
  <c r="H128" i="3"/>
  <c r="G128" i="3"/>
  <c r="BT127" i="3"/>
  <c r="BS127" i="3"/>
  <c r="BR127" i="3"/>
  <c r="BQ127" i="3"/>
  <c r="BP127" i="3"/>
  <c r="BO127" i="3"/>
  <c r="BN127" i="3"/>
  <c r="BL127" i="3"/>
  <c r="BM127" i="3"/>
  <c r="BK127" i="3"/>
  <c r="BJ127" i="3"/>
  <c r="BI127" i="3"/>
  <c r="BH127" i="3"/>
  <c r="BG127" i="3"/>
  <c r="BF127" i="3"/>
  <c r="BE127" i="3"/>
  <c r="BD127" i="3"/>
  <c r="BC127" i="3"/>
  <c r="BB127" i="3"/>
  <c r="AX127" i="3"/>
  <c r="AW127" i="3"/>
  <c r="AV127" i="3"/>
  <c r="AC127" i="3"/>
  <c r="G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L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A124" i="3"/>
  <c r="BB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A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c r="BC116" i="3"/>
  <c r="BB116" i="3"/>
  <c r="AX116" i="3"/>
  <c r="AW116" i="3"/>
  <c r="AV116" i="3"/>
  <c r="AC116" i="3"/>
  <c r="H116" i="3"/>
  <c r="G116" i="3"/>
  <c r="BT115" i="3"/>
  <c r="BS115" i="3"/>
  <c r="BR115" i="3"/>
  <c r="BQ115" i="3"/>
  <c r="BP115" i="3"/>
  <c r="BO115" i="3"/>
  <c r="BN115" i="3"/>
  <c r="BL115" i="3"/>
  <c r="BM115" i="3"/>
  <c r="BK115" i="3"/>
  <c r="BJ115" i="3"/>
  <c r="BI115" i="3"/>
  <c r="BH115" i="3"/>
  <c r="BG115" i="3"/>
  <c r="BF115" i="3"/>
  <c r="BE115" i="3"/>
  <c r="BD115" i="3"/>
  <c r="BC115" i="3"/>
  <c r="BB115" i="3"/>
  <c r="AX115" i="3"/>
  <c r="AW115" i="3"/>
  <c r="AV115" i="3"/>
  <c r="AC115" i="3"/>
  <c r="G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X113" i="3"/>
  <c r="AW113" i="3"/>
  <c r="AV113" i="3"/>
  <c r="AC113" i="3"/>
  <c r="H113" i="3"/>
  <c r="BT302" i="3"/>
  <c r="BS302" i="3"/>
  <c r="BR302" i="3"/>
  <c r="BQ302" i="3"/>
  <c r="BP302" i="3"/>
  <c r="BO302" i="3"/>
  <c r="BL302" i="3"/>
  <c r="AZ302" i="3"/>
  <c r="BN302" i="3"/>
  <c r="BM302" i="3"/>
  <c r="BK302" i="3"/>
  <c r="BJ302" i="3"/>
  <c r="BI302" i="3"/>
  <c r="BH302" i="3"/>
  <c r="BG302" i="3"/>
  <c r="BF302" i="3"/>
  <c r="BE302" i="3"/>
  <c r="BD302" i="3"/>
  <c r="BC302" i="3"/>
  <c r="BA302" i="3"/>
  <c r="BB302" i="3"/>
  <c r="AX302" i="3"/>
  <c r="AW302" i="3"/>
  <c r="AV302" i="3"/>
  <c r="AC302" i="3"/>
  <c r="H302" i="3"/>
  <c r="BT301" i="3"/>
  <c r="BS301" i="3"/>
  <c r="BR301" i="3"/>
  <c r="BQ301" i="3"/>
  <c r="BP301" i="3"/>
  <c r="BO301" i="3"/>
  <c r="BN301" i="3"/>
  <c r="BL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c r="BC299" i="3"/>
  <c r="BB299" i="3"/>
  <c r="AX299" i="3"/>
  <c r="AW299" i="3"/>
  <c r="AV299" i="3"/>
  <c r="AC299" i="3"/>
  <c r="H299" i="3"/>
  <c r="G299" i="3"/>
  <c r="BT298" i="3"/>
  <c r="BS298" i="3"/>
  <c r="BR298" i="3"/>
  <c r="BQ298" i="3"/>
  <c r="BP298" i="3"/>
  <c r="BO298" i="3"/>
  <c r="BN298" i="3"/>
  <c r="BL298" i="3"/>
  <c r="BM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G297" i="3"/>
  <c r="H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G295" i="3"/>
  <c r="H295" i="3"/>
  <c r="BT294" i="3"/>
  <c r="BS294" i="3"/>
  <c r="BR294" i="3"/>
  <c r="BQ294" i="3"/>
  <c r="BP294" i="3"/>
  <c r="BO294" i="3"/>
  <c r="BL294" i="3"/>
  <c r="AZ294" i="3"/>
  <c r="BN294" i="3"/>
  <c r="BM294" i="3"/>
  <c r="BK294" i="3"/>
  <c r="BJ294" i="3"/>
  <c r="BI294" i="3"/>
  <c r="BH294" i="3"/>
  <c r="BG294" i="3"/>
  <c r="BF294" i="3"/>
  <c r="BE294" i="3"/>
  <c r="BD294" i="3"/>
  <c r="BC294" i="3"/>
  <c r="BA294" i="3"/>
  <c r="BB294" i="3"/>
  <c r="AX294" i="3"/>
  <c r="AW294" i="3"/>
  <c r="AV294" i="3"/>
  <c r="AC294" i="3"/>
  <c r="H294" i="3"/>
  <c r="BT293" i="3"/>
  <c r="BS293" i="3"/>
  <c r="BR293" i="3"/>
  <c r="BQ293" i="3"/>
  <c r="BP293" i="3"/>
  <c r="BO293" i="3"/>
  <c r="BN293" i="3"/>
  <c r="BL293" i="3"/>
  <c r="BM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A291" i="3"/>
  <c r="BC291" i="3"/>
  <c r="BB291" i="3"/>
  <c r="AX291" i="3"/>
  <c r="AW291" i="3"/>
  <c r="AV291" i="3"/>
  <c r="AC291" i="3"/>
  <c r="H291" i="3"/>
  <c r="G291" i="3"/>
  <c r="BT290" i="3"/>
  <c r="BS290" i="3"/>
  <c r="BR290" i="3"/>
  <c r="BQ290" i="3"/>
  <c r="BP290" i="3"/>
  <c r="BO290" i="3"/>
  <c r="BN290" i="3"/>
  <c r="BL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L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A286" i="3"/>
  <c r="BC286" i="3"/>
  <c r="BB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A283" i="3"/>
  <c r="BC283" i="3"/>
  <c r="BB283" i="3"/>
  <c r="AX283" i="3"/>
  <c r="AW283" i="3"/>
  <c r="AV283" i="3"/>
  <c r="AC283" i="3"/>
  <c r="H283" i="3"/>
  <c r="G283" i="3"/>
  <c r="BT282" i="3"/>
  <c r="BS282" i="3"/>
  <c r="BR282" i="3"/>
  <c r="BQ282" i="3"/>
  <c r="BP282" i="3"/>
  <c r="BO282" i="3"/>
  <c r="BN282" i="3"/>
  <c r="BL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G281" i="3"/>
  <c r="H281" i="3"/>
  <c r="BT280" i="3"/>
  <c r="BS280" i="3"/>
  <c r="BR280" i="3"/>
  <c r="BQ280" i="3"/>
  <c r="BP280" i="3"/>
  <c r="BO280" i="3"/>
  <c r="BL280" i="3"/>
  <c r="BN280" i="3"/>
  <c r="BM280" i="3"/>
  <c r="BK280" i="3"/>
  <c r="BJ280" i="3"/>
  <c r="BI280" i="3"/>
  <c r="BH280" i="3"/>
  <c r="BG280" i="3"/>
  <c r="BF280" i="3"/>
  <c r="BE280" i="3"/>
  <c r="BD280" i="3"/>
  <c r="BC280" i="3"/>
  <c r="BA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G279" i="3"/>
  <c r="H279" i="3"/>
  <c r="BT278" i="3"/>
  <c r="BS278" i="3"/>
  <c r="BR278" i="3"/>
  <c r="BQ278" i="3"/>
  <c r="BP278" i="3"/>
  <c r="BO278" i="3"/>
  <c r="BL278" i="3"/>
  <c r="BN278" i="3"/>
  <c r="BM278" i="3"/>
  <c r="BK278" i="3"/>
  <c r="BJ278" i="3"/>
  <c r="BI278" i="3"/>
  <c r="BH278" i="3"/>
  <c r="BG278" i="3"/>
  <c r="BF278" i="3"/>
  <c r="BE278" i="3"/>
  <c r="BD278" i="3"/>
  <c r="BC278" i="3"/>
  <c r="BA278" i="3"/>
  <c r="AZ278" i="3"/>
  <c r="BB278" i="3"/>
  <c r="AX278" i="3"/>
  <c r="AW278" i="3"/>
  <c r="AV278" i="3"/>
  <c r="AC278" i="3"/>
  <c r="H278" i="3"/>
  <c r="G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A275" i="3"/>
  <c r="BC275" i="3"/>
  <c r="BB275" i="3"/>
  <c r="AX275" i="3"/>
  <c r="AW275" i="3"/>
  <c r="AV275" i="3"/>
  <c r="AC275" i="3"/>
  <c r="H275" i="3"/>
  <c r="G275" i="3"/>
  <c r="BT274" i="3"/>
  <c r="BS274" i="3"/>
  <c r="BR274" i="3"/>
  <c r="BQ274" i="3"/>
  <c r="BP274" i="3"/>
  <c r="BO274" i="3"/>
  <c r="BN274" i="3"/>
  <c r="BL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G273" i="3"/>
  <c r="H273" i="3"/>
  <c r="BT272" i="3"/>
  <c r="BS272" i="3"/>
  <c r="BR272" i="3"/>
  <c r="BQ272" i="3"/>
  <c r="BP272" i="3"/>
  <c r="BO272" i="3"/>
  <c r="BL272" i="3"/>
  <c r="AZ272" i="3"/>
  <c r="BN272" i="3"/>
  <c r="BM272" i="3"/>
  <c r="BK272" i="3"/>
  <c r="BJ272" i="3"/>
  <c r="BI272" i="3"/>
  <c r="BH272" i="3"/>
  <c r="BG272" i="3"/>
  <c r="BF272" i="3"/>
  <c r="BE272" i="3"/>
  <c r="BD272" i="3"/>
  <c r="BC272" i="3"/>
  <c r="BA272" i="3"/>
  <c r="BB272" i="3"/>
  <c r="AX272" i="3"/>
  <c r="AW272" i="3"/>
  <c r="AV272" i="3"/>
  <c r="AC272" i="3"/>
  <c r="H272" i="3"/>
  <c r="BT271" i="3"/>
  <c r="BS271" i="3"/>
  <c r="BR271" i="3"/>
  <c r="BQ271" i="3"/>
  <c r="BP271" i="3"/>
  <c r="BO271" i="3"/>
  <c r="BN271" i="3"/>
  <c r="BL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A270" i="3"/>
  <c r="AZ270" i="3"/>
  <c r="BC270" i="3"/>
  <c r="BB270" i="3"/>
  <c r="AX270" i="3"/>
  <c r="AW270" i="3"/>
  <c r="AV270" i="3"/>
  <c r="AC270" i="3"/>
  <c r="G270" i="3"/>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G268" i="3"/>
  <c r="H268" i="3"/>
  <c r="BT267" i="3"/>
  <c r="BS267" i="3"/>
  <c r="BR267" i="3"/>
  <c r="BQ267" i="3"/>
  <c r="BP267" i="3"/>
  <c r="BO267" i="3"/>
  <c r="BL267" i="3"/>
  <c r="AZ267" i="3"/>
  <c r="BN267" i="3"/>
  <c r="BM267" i="3"/>
  <c r="BK267" i="3"/>
  <c r="BJ267" i="3"/>
  <c r="BI267" i="3"/>
  <c r="BH267" i="3"/>
  <c r="BG267" i="3"/>
  <c r="BF267" i="3"/>
  <c r="BE267" i="3"/>
  <c r="BD267" i="3"/>
  <c r="BC267" i="3"/>
  <c r="BA267" i="3"/>
  <c r="BB267" i="3"/>
  <c r="AX267" i="3"/>
  <c r="AW267" i="3"/>
  <c r="AV267" i="3"/>
  <c r="AC267" i="3"/>
  <c r="H267" i="3"/>
  <c r="BT266" i="3"/>
  <c r="BS266" i="3"/>
  <c r="BR266" i="3"/>
  <c r="BQ266" i="3"/>
  <c r="BP266" i="3"/>
  <c r="BO266" i="3"/>
  <c r="BN266" i="3"/>
  <c r="BL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c r="BC265" i="3"/>
  <c r="BB265" i="3"/>
  <c r="AX265" i="3"/>
  <c r="AW265" i="3"/>
  <c r="AV265" i="3"/>
  <c r="AC265" i="3"/>
  <c r="H265" i="3"/>
  <c r="G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G263" i="3"/>
  <c r="H263" i="3"/>
  <c r="BT262" i="3"/>
  <c r="BS262" i="3"/>
  <c r="BR262" i="3"/>
  <c r="BQ262" i="3"/>
  <c r="BP262" i="3"/>
  <c r="BO262" i="3"/>
  <c r="BL262" i="3"/>
  <c r="BN262" i="3"/>
  <c r="BM262" i="3"/>
  <c r="BK262" i="3"/>
  <c r="BJ262" i="3"/>
  <c r="BI262" i="3"/>
  <c r="BH262" i="3"/>
  <c r="BG262" i="3"/>
  <c r="BF262" i="3"/>
  <c r="BE262" i="3"/>
  <c r="BD262" i="3"/>
  <c r="BC262" i="3"/>
  <c r="BA262" i="3"/>
  <c r="BB262" i="3"/>
  <c r="AX262" i="3"/>
  <c r="AW262" i="3"/>
  <c r="AV262" i="3"/>
  <c r="AC262" i="3"/>
  <c r="H262" i="3"/>
  <c r="G262" i="3"/>
  <c r="BT261" i="3"/>
  <c r="BS261" i="3"/>
  <c r="BR261" i="3"/>
  <c r="BQ261" i="3"/>
  <c r="BP261" i="3"/>
  <c r="BO261" i="3"/>
  <c r="BN261" i="3"/>
  <c r="BL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c r="AZ260" i="3"/>
  <c r="BC260" i="3"/>
  <c r="BB260" i="3"/>
  <c r="AX260" i="3"/>
  <c r="AW260" i="3"/>
  <c r="AV260" i="3"/>
  <c r="AC260" i="3"/>
  <c r="G260" i="3"/>
  <c r="H260" i="3"/>
  <c r="BT259" i="3"/>
  <c r="BS259" i="3"/>
  <c r="BR259" i="3"/>
  <c r="BQ259" i="3"/>
  <c r="BP259" i="3"/>
  <c r="BO259" i="3"/>
  <c r="BL259" i="3"/>
  <c r="BN259" i="3"/>
  <c r="BM259" i="3"/>
  <c r="BK259" i="3"/>
  <c r="BJ259" i="3"/>
  <c r="BI259" i="3"/>
  <c r="BH259" i="3"/>
  <c r="BG259" i="3"/>
  <c r="BF259" i="3"/>
  <c r="BE259" i="3"/>
  <c r="BD259" i="3"/>
  <c r="BC259" i="3"/>
  <c r="BA259" i="3"/>
  <c r="BB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c r="BC257" i="3"/>
  <c r="BB257" i="3"/>
  <c r="AX257" i="3"/>
  <c r="AW257" i="3"/>
  <c r="AV257" i="3"/>
  <c r="AC257" i="3"/>
  <c r="H257" i="3"/>
  <c r="G257" i="3"/>
  <c r="BT256" i="3"/>
  <c r="BS256" i="3"/>
  <c r="BR256" i="3"/>
  <c r="BQ256" i="3"/>
  <c r="BP256" i="3"/>
  <c r="BO256" i="3"/>
  <c r="BN256" i="3"/>
  <c r="BL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G255" i="3"/>
  <c r="H255" i="3"/>
  <c r="BT254" i="3"/>
  <c r="BS254" i="3"/>
  <c r="BR254" i="3"/>
  <c r="BQ254" i="3"/>
  <c r="BP254" i="3"/>
  <c r="BO254" i="3"/>
  <c r="BL254" i="3"/>
  <c r="BN254" i="3"/>
  <c r="BM254" i="3"/>
  <c r="BK254" i="3"/>
  <c r="BJ254" i="3"/>
  <c r="BI254" i="3"/>
  <c r="BH254" i="3"/>
  <c r="BG254" i="3"/>
  <c r="BF254" i="3"/>
  <c r="BE254" i="3"/>
  <c r="BD254" i="3"/>
  <c r="BC254" i="3"/>
  <c r="BA254" i="3"/>
  <c r="BB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G253" i="3"/>
  <c r="H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L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L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c r="BC248" i="3"/>
  <c r="BB248" i="3"/>
  <c r="AX248" i="3"/>
  <c r="AW248" i="3"/>
  <c r="AV248" i="3"/>
  <c r="AC248" i="3"/>
  <c r="H248" i="3"/>
  <c r="G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c r="BC245" i="3"/>
  <c r="BB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L242" i="3"/>
  <c r="AZ242" i="3"/>
  <c r="BM242" i="3"/>
  <c r="BK242" i="3"/>
  <c r="BJ242" i="3"/>
  <c r="BI242" i="3"/>
  <c r="BH242" i="3"/>
  <c r="BG242" i="3"/>
  <c r="BF242" i="3"/>
  <c r="BE242" i="3"/>
  <c r="BD242" i="3"/>
  <c r="BC242" i="3"/>
  <c r="BB242" i="3"/>
  <c r="BA242" i="3"/>
  <c r="AX242" i="3"/>
  <c r="AW242" i="3"/>
  <c r="AV242" i="3"/>
  <c r="AC242" i="3"/>
  <c r="G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c r="BC240" i="3"/>
  <c r="BB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A238" i="3"/>
  <c r="BC238" i="3"/>
  <c r="BB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c r="BC235" i="3"/>
  <c r="BB235" i="3"/>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G234" i="3"/>
  <c r="H234" i="3"/>
  <c r="BT233" i="3"/>
  <c r="BS233" i="3"/>
  <c r="BR233" i="3"/>
  <c r="BQ233" i="3"/>
  <c r="BP233" i="3"/>
  <c r="BO233" i="3"/>
  <c r="BL233" i="3"/>
  <c r="BN233" i="3"/>
  <c r="BM233" i="3"/>
  <c r="BK233" i="3"/>
  <c r="BJ233" i="3"/>
  <c r="BI233" i="3"/>
  <c r="BH233" i="3"/>
  <c r="BG233" i="3"/>
  <c r="BF233" i="3"/>
  <c r="BE233" i="3"/>
  <c r="BD233" i="3"/>
  <c r="BC233" i="3"/>
  <c r="BA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G232" i="3"/>
  <c r="H232" i="3"/>
  <c r="BT231" i="3"/>
  <c r="BS231" i="3"/>
  <c r="BR231" i="3"/>
  <c r="BQ231" i="3"/>
  <c r="BP231" i="3"/>
  <c r="BO231" i="3"/>
  <c r="BL231" i="3"/>
  <c r="BN231" i="3"/>
  <c r="BM231" i="3"/>
  <c r="BK231" i="3"/>
  <c r="BJ231" i="3"/>
  <c r="BI231" i="3"/>
  <c r="BH231" i="3"/>
  <c r="BG231" i="3"/>
  <c r="BF231" i="3"/>
  <c r="BE231" i="3"/>
  <c r="BD231" i="3"/>
  <c r="BC231" i="3"/>
  <c r="BA231" i="3"/>
  <c r="AZ231" i="3"/>
  <c r="BB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G229" i="3"/>
  <c r="H229" i="3"/>
  <c r="BT228" i="3"/>
  <c r="BS228" i="3"/>
  <c r="BR228" i="3"/>
  <c r="BQ228" i="3"/>
  <c r="BP228" i="3"/>
  <c r="BO228" i="3"/>
  <c r="BL228" i="3"/>
  <c r="BN228" i="3"/>
  <c r="BM228" i="3"/>
  <c r="BK228" i="3"/>
  <c r="BJ228" i="3"/>
  <c r="BI228" i="3"/>
  <c r="BH228" i="3"/>
  <c r="BG228" i="3"/>
  <c r="BF228" i="3"/>
  <c r="BE228" i="3"/>
  <c r="BD228" i="3"/>
  <c r="BC228" i="3"/>
  <c r="BA228" i="3"/>
  <c r="BB228" i="3"/>
  <c r="AX228" i="3"/>
  <c r="AW228" i="3"/>
  <c r="AV228" i="3"/>
  <c r="AC228" i="3"/>
  <c r="H228" i="3"/>
  <c r="G228" i="3"/>
  <c r="BT227" i="3"/>
  <c r="BS227" i="3"/>
  <c r="BR227" i="3"/>
  <c r="BQ227" i="3"/>
  <c r="BP227" i="3"/>
  <c r="BO227" i="3"/>
  <c r="BN227" i="3"/>
  <c r="BL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L226" i="3"/>
  <c r="BM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L224" i="3"/>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A223" i="3"/>
  <c r="BC223" i="3"/>
  <c r="BB223" i="3"/>
  <c r="AX223" i="3"/>
  <c r="AW223" i="3"/>
  <c r="AV223" i="3"/>
  <c r="AC223" i="3"/>
  <c r="H223" i="3"/>
  <c r="G223" i="3"/>
  <c r="BT222" i="3"/>
  <c r="BS222" i="3"/>
  <c r="BR222" i="3"/>
  <c r="BQ222" i="3"/>
  <c r="BP222" i="3"/>
  <c r="BO222" i="3"/>
  <c r="BN222" i="3"/>
  <c r="BL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L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L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G218" i="3"/>
  <c r="H218" i="3"/>
  <c r="BT217" i="3"/>
  <c r="BS217" i="3"/>
  <c r="BR217" i="3"/>
  <c r="BQ217" i="3"/>
  <c r="BP217" i="3"/>
  <c r="BO217" i="3"/>
  <c r="BL217" i="3"/>
  <c r="BN217" i="3"/>
  <c r="BM217" i="3"/>
  <c r="BK217" i="3"/>
  <c r="BJ217" i="3"/>
  <c r="BI217" i="3"/>
  <c r="BH217" i="3"/>
  <c r="BG217" i="3"/>
  <c r="BF217" i="3"/>
  <c r="BE217" i="3"/>
  <c r="BD217" i="3"/>
  <c r="BC217" i="3"/>
  <c r="BA217" i="3"/>
  <c r="AZ217" i="3"/>
  <c r="BB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G215" i="3"/>
  <c r="H215" i="3"/>
  <c r="BT214" i="3"/>
  <c r="BS214" i="3"/>
  <c r="BR214" i="3"/>
  <c r="BQ214" i="3"/>
  <c r="BP214" i="3"/>
  <c r="BO214" i="3"/>
  <c r="BL214" i="3"/>
  <c r="BN214" i="3"/>
  <c r="BM214" i="3"/>
  <c r="BK214" i="3"/>
  <c r="BJ214" i="3"/>
  <c r="BI214" i="3"/>
  <c r="BH214" i="3"/>
  <c r="BG214" i="3"/>
  <c r="BF214" i="3"/>
  <c r="BE214" i="3"/>
  <c r="BD214" i="3"/>
  <c r="BC214" i="3"/>
  <c r="BA214" i="3"/>
  <c r="BB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A213" i="3"/>
  <c r="BC213" i="3"/>
  <c r="BB213" i="3"/>
  <c r="AX213" i="3"/>
  <c r="AW213" i="3"/>
  <c r="AV213" i="3"/>
  <c r="AC213" i="3"/>
  <c r="H213" i="3"/>
  <c r="G213" i="3"/>
  <c r="BT212" i="3"/>
  <c r="BS212" i="3"/>
  <c r="BR212" i="3"/>
  <c r="BQ212" i="3"/>
  <c r="BP212" i="3"/>
  <c r="BO212" i="3"/>
  <c r="BN212" i="3"/>
  <c r="BL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A210" i="3"/>
  <c r="AZ210" i="3"/>
  <c r="BC210" i="3"/>
  <c r="BB210" i="3"/>
  <c r="AX210" i="3"/>
  <c r="AW210" i="3"/>
  <c r="AV210" i="3"/>
  <c r="AC210" i="3"/>
  <c r="G210" i="3"/>
  <c r="H210" i="3"/>
  <c r="BT209" i="3"/>
  <c r="BS209" i="3"/>
  <c r="BR209" i="3"/>
  <c r="BQ209" i="3"/>
  <c r="BP209" i="3"/>
  <c r="BO209" i="3"/>
  <c r="BL209" i="3"/>
  <c r="BN209" i="3"/>
  <c r="BM209" i="3"/>
  <c r="BK209" i="3"/>
  <c r="BJ209" i="3"/>
  <c r="BI209" i="3"/>
  <c r="BH209" i="3"/>
  <c r="BG209" i="3"/>
  <c r="BF209" i="3"/>
  <c r="BE209" i="3"/>
  <c r="BD209" i="3"/>
  <c r="BC209" i="3"/>
  <c r="BA209" i="3"/>
  <c r="BB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A397" i="3"/>
  <c r="AZ397" i="3"/>
  <c r="BC397" i="3"/>
  <c r="BB397" i="3"/>
  <c r="AX397" i="3"/>
  <c r="AW397" i="3"/>
  <c r="AV397" i="3"/>
  <c r="AC397" i="3"/>
  <c r="G397" i="3"/>
  <c r="H397" i="3"/>
  <c r="BT396" i="3"/>
  <c r="BS396" i="3"/>
  <c r="BR396" i="3"/>
  <c r="BQ396" i="3"/>
  <c r="BP396" i="3"/>
  <c r="BO396" i="3"/>
  <c r="BL396" i="3"/>
  <c r="BN396" i="3"/>
  <c r="BM396" i="3"/>
  <c r="BK396" i="3"/>
  <c r="BJ396" i="3"/>
  <c r="BI396" i="3"/>
  <c r="BH396" i="3"/>
  <c r="BG396" i="3"/>
  <c r="BF396" i="3"/>
  <c r="BE396" i="3"/>
  <c r="BD396" i="3"/>
  <c r="BC396" i="3"/>
  <c r="BA396" i="3"/>
  <c r="BB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L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A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L385" i="3"/>
  <c r="BM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A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L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G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A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A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G366" i="3"/>
  <c r="H366" i="3"/>
  <c r="BT365" i="3"/>
  <c r="BS365" i="3"/>
  <c r="BR365" i="3"/>
  <c r="BQ365" i="3"/>
  <c r="BP365" i="3"/>
  <c r="BO365" i="3"/>
  <c r="BL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c r="H364" i="3"/>
  <c r="BT363" i="3"/>
  <c r="BS363" i="3"/>
  <c r="BR363" i="3"/>
  <c r="BQ363" i="3"/>
  <c r="BP363" i="3"/>
  <c r="BO363" i="3"/>
  <c r="BL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G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A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L354" i="3"/>
  <c r="BN354" i="3"/>
  <c r="BM354" i="3"/>
  <c r="BK354" i="3"/>
  <c r="BJ354" i="3"/>
  <c r="BI354" i="3"/>
  <c r="BH354" i="3"/>
  <c r="BG354" i="3"/>
  <c r="BF354" i="3"/>
  <c r="BE354" i="3"/>
  <c r="BD354" i="3"/>
  <c r="BC354" i="3"/>
  <c r="BA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A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A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G349" i="3"/>
  <c r="H349" i="3"/>
  <c r="BT348" i="3"/>
  <c r="BS348" i="3"/>
  <c r="BR348" i="3"/>
  <c r="BQ348" i="3"/>
  <c r="BP348" i="3"/>
  <c r="BO348" i="3"/>
  <c r="BL348" i="3"/>
  <c r="BN348" i="3"/>
  <c r="BM348" i="3"/>
  <c r="BK348" i="3"/>
  <c r="BJ348" i="3"/>
  <c r="BI348" i="3"/>
  <c r="BH348" i="3"/>
  <c r="BG348" i="3"/>
  <c r="BF348" i="3"/>
  <c r="BE348" i="3"/>
  <c r="BD348" i="3"/>
  <c r="BC348" i="3"/>
  <c r="BA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A339" i="3"/>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c r="H334" i="3"/>
  <c r="BT333" i="3"/>
  <c r="BS333" i="3"/>
  <c r="BR333" i="3"/>
  <c r="BQ333" i="3"/>
  <c r="BP333" i="3"/>
  <c r="BO333" i="3"/>
  <c r="BN333" i="3"/>
  <c r="BM333" i="3"/>
  <c r="BL333" i="3"/>
  <c r="BK333" i="3"/>
  <c r="BJ333" i="3"/>
  <c r="BI333" i="3"/>
  <c r="BH333" i="3"/>
  <c r="BG333" i="3"/>
  <c r="BF333" i="3"/>
  <c r="BE333" i="3"/>
  <c r="BD333" i="3"/>
  <c r="BC333" i="3"/>
  <c r="BA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G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G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G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A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c r="H318" i="3"/>
  <c r="BT317" i="3"/>
  <c r="BS317" i="3"/>
  <c r="BR317" i="3"/>
  <c r="BQ317" i="3"/>
  <c r="BP317" i="3"/>
  <c r="BO317" i="3"/>
  <c r="BN317" i="3"/>
  <c r="BM317" i="3"/>
  <c r="BL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A316" i="3"/>
  <c r="AZ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G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c r="H313" i="3"/>
  <c r="BT312" i="3"/>
  <c r="BS312" i="3"/>
  <c r="BR312" i="3"/>
  <c r="BQ312" i="3"/>
  <c r="BP312" i="3"/>
  <c r="BO312" i="3"/>
  <c r="BL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A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L492" i="3"/>
  <c r="BN492" i="3"/>
  <c r="BM492" i="3"/>
  <c r="BK492" i="3"/>
  <c r="BJ492" i="3"/>
  <c r="BI492" i="3"/>
  <c r="BH492" i="3"/>
  <c r="BG492" i="3"/>
  <c r="BF492" i="3"/>
  <c r="BE492" i="3"/>
  <c r="BD492" i="3"/>
  <c r="BC492" i="3"/>
  <c r="BA492" i="3"/>
  <c r="AZ492" i="3"/>
  <c r="BB492" i="3"/>
  <c r="AX492" i="3"/>
  <c r="AW492" i="3"/>
  <c r="AV492" i="3"/>
  <c r="AC492" i="3"/>
  <c r="H492" i="3"/>
  <c r="BT491" i="3"/>
  <c r="BS491" i="3"/>
  <c r="BR491" i="3"/>
  <c r="BQ491" i="3"/>
  <c r="BP491" i="3"/>
  <c r="BO491" i="3"/>
  <c r="BN491" i="3"/>
  <c r="BL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A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G487" i="3"/>
  <c r="H487" i="3"/>
  <c r="BT486" i="3"/>
  <c r="BS486" i="3"/>
  <c r="BR486" i="3"/>
  <c r="BQ486" i="3"/>
  <c r="BP486" i="3"/>
  <c r="BO486" i="3"/>
  <c r="BL486" i="3"/>
  <c r="BN486" i="3"/>
  <c r="BM486" i="3"/>
  <c r="BK486" i="3"/>
  <c r="BJ486" i="3"/>
  <c r="BI486" i="3"/>
  <c r="BH486" i="3"/>
  <c r="BG486" i="3"/>
  <c r="BF486" i="3"/>
  <c r="BE486" i="3"/>
  <c r="BD486" i="3"/>
  <c r="BC486" i="3"/>
  <c r="BA486" i="3"/>
  <c r="BB486" i="3"/>
  <c r="AX486" i="3"/>
  <c r="AW486" i="3"/>
  <c r="AV486" i="3"/>
  <c r="AC486" i="3"/>
  <c r="H486" i="3"/>
  <c r="BT485" i="3"/>
  <c r="BS485" i="3"/>
  <c r="BR485" i="3"/>
  <c r="BQ485" i="3"/>
  <c r="BP485" i="3"/>
  <c r="BO485" i="3"/>
  <c r="BN485" i="3"/>
  <c r="BL485" i="3"/>
  <c r="BM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G483" i="3"/>
  <c r="H483" i="3"/>
  <c r="BT482" i="3"/>
  <c r="BS482" i="3"/>
  <c r="BR482" i="3"/>
  <c r="BQ482" i="3"/>
  <c r="BP482" i="3"/>
  <c r="BO482" i="3"/>
  <c r="BL482" i="3"/>
  <c r="BN482" i="3"/>
  <c r="BM482" i="3"/>
  <c r="BK482" i="3"/>
  <c r="BJ482" i="3"/>
  <c r="BI482" i="3"/>
  <c r="BH482" i="3"/>
  <c r="BG482" i="3"/>
  <c r="BF482" i="3"/>
  <c r="BE482" i="3"/>
  <c r="BD482" i="3"/>
  <c r="BC482" i="3"/>
  <c r="BA482" i="3"/>
  <c r="AZ482" i="3"/>
  <c r="BB482" i="3"/>
  <c r="AX482" i="3"/>
  <c r="AW482" i="3"/>
  <c r="AV482" i="3"/>
  <c r="AC482" i="3"/>
  <c r="H482" i="3"/>
  <c r="BT481" i="3"/>
  <c r="BS481" i="3"/>
  <c r="BR481" i="3"/>
  <c r="BQ481" i="3"/>
  <c r="BP481" i="3"/>
  <c r="BO481" i="3"/>
  <c r="BN481" i="3"/>
  <c r="BL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A479" i="3"/>
  <c r="AZ479" i="3"/>
  <c r="BC479" i="3"/>
  <c r="BB479" i="3"/>
  <c r="AX479" i="3"/>
  <c r="AW479" i="3"/>
  <c r="AV479" i="3"/>
  <c r="AC479" i="3"/>
  <c r="G479" i="3"/>
  <c r="H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A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G475" i="3"/>
  <c r="H475" i="3"/>
  <c r="BT474" i="3"/>
  <c r="BS474" i="3"/>
  <c r="BR474" i="3"/>
  <c r="BQ474" i="3"/>
  <c r="BP474" i="3"/>
  <c r="BO474" i="3"/>
  <c r="BL474" i="3"/>
  <c r="AZ474" i="3"/>
  <c r="BN474" i="3"/>
  <c r="BM474" i="3"/>
  <c r="BK474" i="3"/>
  <c r="BJ474" i="3"/>
  <c r="BI474" i="3"/>
  <c r="BH474" i="3"/>
  <c r="BG474" i="3"/>
  <c r="BF474" i="3"/>
  <c r="BE474" i="3"/>
  <c r="BD474" i="3"/>
  <c r="BC474" i="3"/>
  <c r="BA474" i="3"/>
  <c r="BB474" i="3"/>
  <c r="AX474" i="3"/>
  <c r="AW474" i="3"/>
  <c r="AV474" i="3"/>
  <c r="AC474" i="3"/>
  <c r="H474" i="3"/>
  <c r="BT473" i="3"/>
  <c r="BS473" i="3"/>
  <c r="BR473" i="3"/>
  <c r="BQ473" i="3"/>
  <c r="BP473" i="3"/>
  <c r="BO473" i="3"/>
  <c r="BN473" i="3"/>
  <c r="BL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A472" i="3"/>
  <c r="AZ472" i="3"/>
  <c r="BC472" i="3"/>
  <c r="BB472" i="3"/>
  <c r="AX472" i="3"/>
  <c r="AW472" i="3"/>
  <c r="AV472" i="3"/>
  <c r="AC472" i="3"/>
  <c r="G472" i="3"/>
  <c r="H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G468" i="3"/>
  <c r="H468" i="3"/>
  <c r="BT467" i="3"/>
  <c r="BS467" i="3"/>
  <c r="BR467" i="3"/>
  <c r="BQ467" i="3"/>
  <c r="BP467" i="3"/>
  <c r="BO467" i="3"/>
  <c r="BL467" i="3"/>
  <c r="BN467" i="3"/>
  <c r="BM467" i="3"/>
  <c r="BK467" i="3"/>
  <c r="BJ467" i="3"/>
  <c r="BI467" i="3"/>
  <c r="BH467" i="3"/>
  <c r="BG467" i="3"/>
  <c r="BF467" i="3"/>
  <c r="BE467" i="3"/>
  <c r="BD467" i="3"/>
  <c r="BC467" i="3"/>
  <c r="BA467" i="3"/>
  <c r="AZ467" i="3"/>
  <c r="BB467" i="3"/>
  <c r="AX467" i="3"/>
  <c r="AW467" i="3"/>
  <c r="AV467" i="3"/>
  <c r="AC467" i="3"/>
  <c r="H467" i="3"/>
  <c r="BT466" i="3"/>
  <c r="BS466" i="3"/>
  <c r="BR466" i="3"/>
  <c r="BQ466" i="3"/>
  <c r="BP466" i="3"/>
  <c r="BO466" i="3"/>
  <c r="BN466" i="3"/>
  <c r="BL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G465" i="3"/>
  <c r="H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G461" i="3"/>
  <c r="H461" i="3"/>
  <c r="BT460" i="3"/>
  <c r="BS460" i="3"/>
  <c r="BR460" i="3"/>
  <c r="BQ460" i="3"/>
  <c r="BP460" i="3"/>
  <c r="BO460" i="3"/>
  <c r="BL460" i="3"/>
  <c r="BN460" i="3"/>
  <c r="BM460" i="3"/>
  <c r="BK460" i="3"/>
  <c r="BJ460" i="3"/>
  <c r="BI460" i="3"/>
  <c r="BH460" i="3"/>
  <c r="BG460" i="3"/>
  <c r="BF460" i="3"/>
  <c r="BE460" i="3"/>
  <c r="BD460" i="3"/>
  <c r="BC460" i="3"/>
  <c r="BA460" i="3"/>
  <c r="AZ460" i="3"/>
  <c r="BB460" i="3"/>
  <c r="AX460" i="3"/>
  <c r="AW460" i="3"/>
  <c r="AV460" i="3"/>
  <c r="AC460" i="3"/>
  <c r="H460" i="3"/>
  <c r="BT459" i="3"/>
  <c r="BS459" i="3"/>
  <c r="BR459" i="3"/>
  <c r="BQ459" i="3"/>
  <c r="BP459" i="3"/>
  <c r="BO459" i="3"/>
  <c r="BN459" i="3"/>
  <c r="BL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L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G454" i="3"/>
  <c r="H454" i="3"/>
  <c r="BT453" i="3"/>
  <c r="BS453" i="3"/>
  <c r="BR453" i="3"/>
  <c r="BQ453" i="3"/>
  <c r="BP453" i="3"/>
  <c r="BO453" i="3"/>
  <c r="BN453" i="3"/>
  <c r="BM453" i="3"/>
  <c r="BL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G450" i="3"/>
  <c r="H450" i="3"/>
  <c r="BT449" i="3"/>
  <c r="BS449" i="3"/>
  <c r="BR449" i="3"/>
  <c r="BQ449" i="3"/>
  <c r="BP449" i="3"/>
  <c r="BO449" i="3"/>
  <c r="BL449" i="3"/>
  <c r="BN449" i="3"/>
  <c r="BM449" i="3"/>
  <c r="BK449" i="3"/>
  <c r="BJ449" i="3"/>
  <c r="BI449" i="3"/>
  <c r="BH449" i="3"/>
  <c r="BG449" i="3"/>
  <c r="BF449" i="3"/>
  <c r="BE449" i="3"/>
  <c r="BD449" i="3"/>
  <c r="BC449" i="3"/>
  <c r="BA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G446" i="3"/>
  <c r="H446" i="3"/>
  <c r="BT445" i="3"/>
  <c r="BS445" i="3"/>
  <c r="BR445" i="3"/>
  <c r="BQ445" i="3"/>
  <c r="BP445" i="3"/>
  <c r="BO445" i="3"/>
  <c r="BL445" i="3"/>
  <c r="AZ445" i="3"/>
  <c r="BN445" i="3"/>
  <c r="BM445" i="3"/>
  <c r="BK445" i="3"/>
  <c r="BJ445" i="3"/>
  <c r="BI445" i="3"/>
  <c r="BH445" i="3"/>
  <c r="BG445" i="3"/>
  <c r="BF445" i="3"/>
  <c r="BE445" i="3"/>
  <c r="BD445" i="3"/>
  <c r="BC445" i="3"/>
  <c r="BA445" i="3"/>
  <c r="BB445" i="3"/>
  <c r="AX445" i="3"/>
  <c r="AW445" i="3"/>
  <c r="AV445" i="3"/>
  <c r="AC445" i="3"/>
  <c r="H445" i="3"/>
  <c r="BT444" i="3"/>
  <c r="BS444" i="3"/>
  <c r="BR444" i="3"/>
  <c r="BQ444" i="3"/>
  <c r="BP444" i="3"/>
  <c r="BO444" i="3"/>
  <c r="BN444" i="3"/>
  <c r="BL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G442" i="3"/>
  <c r="H442" i="3"/>
  <c r="BT441" i="3"/>
  <c r="BS441" i="3"/>
  <c r="BR441" i="3"/>
  <c r="BQ441" i="3"/>
  <c r="BP441" i="3"/>
  <c r="BO441" i="3"/>
  <c r="BL441" i="3"/>
  <c r="BN441" i="3"/>
  <c r="BM441" i="3"/>
  <c r="BK441" i="3"/>
  <c r="BJ441" i="3"/>
  <c r="BI441" i="3"/>
  <c r="BH441" i="3"/>
  <c r="BG441" i="3"/>
  <c r="BF441" i="3"/>
  <c r="BE441" i="3"/>
  <c r="BD441" i="3"/>
  <c r="BC441" i="3"/>
  <c r="BA441" i="3"/>
  <c r="BB441" i="3"/>
  <c r="AX441" i="3"/>
  <c r="AW441" i="3"/>
  <c r="AV441" i="3"/>
  <c r="AC441" i="3"/>
  <c r="H441" i="3"/>
  <c r="G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G439" i="3"/>
  <c r="H439" i="3"/>
  <c r="BT438" i="3"/>
  <c r="BS438" i="3"/>
  <c r="BR438" i="3"/>
  <c r="BQ438" i="3"/>
  <c r="BP438" i="3"/>
  <c r="BO438" i="3"/>
  <c r="BL438" i="3"/>
  <c r="BN438" i="3"/>
  <c r="BM438" i="3"/>
  <c r="BK438" i="3"/>
  <c r="BJ438" i="3"/>
  <c r="BI438" i="3"/>
  <c r="BH438" i="3"/>
  <c r="BG438" i="3"/>
  <c r="BF438" i="3"/>
  <c r="BE438" i="3"/>
  <c r="BD438" i="3"/>
  <c r="BA438" i="3"/>
  <c r="AZ438" i="3"/>
  <c r="BC438" i="3"/>
  <c r="BB438" i="3"/>
  <c r="AX438" i="3"/>
  <c r="AW438" i="3"/>
  <c r="AV438" i="3"/>
  <c r="AC438" i="3"/>
  <c r="H438" i="3"/>
  <c r="G438" i="3"/>
  <c r="BT437" i="3"/>
  <c r="BS437" i="3"/>
  <c r="BR437" i="3"/>
  <c r="BQ437" i="3"/>
  <c r="BP437" i="3"/>
  <c r="BO437" i="3"/>
  <c r="BN437" i="3"/>
  <c r="BL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G436" i="3"/>
  <c r="H436" i="3"/>
  <c r="BT435" i="3"/>
  <c r="BS435" i="3"/>
  <c r="BR435" i="3"/>
  <c r="BQ435" i="3"/>
  <c r="BP435" i="3"/>
  <c r="BO435" i="3"/>
  <c r="BL435" i="3"/>
  <c r="BN435" i="3"/>
  <c r="BM435" i="3"/>
  <c r="BK435" i="3"/>
  <c r="BJ435" i="3"/>
  <c r="BI435" i="3"/>
  <c r="BH435" i="3"/>
  <c r="BG435" i="3"/>
  <c r="BF435" i="3"/>
  <c r="BE435" i="3"/>
  <c r="BD435" i="3"/>
  <c r="BA435" i="3"/>
  <c r="BC435" i="3"/>
  <c r="BB435" i="3"/>
  <c r="AX435" i="3"/>
  <c r="AW435" i="3"/>
  <c r="AV435" i="3"/>
  <c r="AC435" i="3"/>
  <c r="H435" i="3"/>
  <c r="G435" i="3"/>
  <c r="BT434" i="3"/>
  <c r="BS434" i="3"/>
  <c r="BR434" i="3"/>
  <c r="BQ434" i="3"/>
  <c r="BP434" i="3"/>
  <c r="BO434" i="3"/>
  <c r="BN434" i="3"/>
  <c r="BL434" i="3"/>
  <c r="BM434" i="3"/>
  <c r="BK434" i="3"/>
  <c r="BJ434" i="3"/>
  <c r="BI434" i="3"/>
  <c r="BH434" i="3"/>
  <c r="BG434" i="3"/>
  <c r="BF434" i="3"/>
  <c r="BE434" i="3"/>
  <c r="BD434" i="3"/>
  <c r="BC434" i="3"/>
  <c r="BA434" i="3"/>
  <c r="AZ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G433" i="3"/>
  <c r="H433" i="3"/>
  <c r="BT432" i="3"/>
  <c r="BS432" i="3"/>
  <c r="BR432" i="3"/>
  <c r="BQ432" i="3"/>
  <c r="BP432" i="3"/>
  <c r="BO432" i="3"/>
  <c r="BL432" i="3"/>
  <c r="BN432" i="3"/>
  <c r="BM432" i="3"/>
  <c r="BK432" i="3"/>
  <c r="BJ432" i="3"/>
  <c r="BI432" i="3"/>
  <c r="BH432" i="3"/>
  <c r="BG432" i="3"/>
  <c r="BF432" i="3"/>
  <c r="BE432" i="3"/>
  <c r="BD432" i="3"/>
  <c r="BC432" i="3"/>
  <c r="BA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A429" i="3"/>
  <c r="AZ429" i="3"/>
  <c r="BC429" i="3"/>
  <c r="BB429" i="3"/>
  <c r="AX429" i="3"/>
  <c r="AW429" i="3"/>
  <c r="AV429" i="3"/>
  <c r="AC429" i="3"/>
  <c r="G429" i="3"/>
  <c r="H429" i="3"/>
  <c r="BT428" i="3"/>
  <c r="BS428" i="3"/>
  <c r="BR428" i="3"/>
  <c r="BQ428" i="3"/>
  <c r="BP428" i="3"/>
  <c r="BO428" i="3"/>
  <c r="BL428" i="3"/>
  <c r="BN428" i="3"/>
  <c r="BM428" i="3"/>
  <c r="BK428" i="3"/>
  <c r="BJ428" i="3"/>
  <c r="BI428" i="3"/>
  <c r="BH428" i="3"/>
  <c r="BG428" i="3"/>
  <c r="BF428" i="3"/>
  <c r="BE428" i="3"/>
  <c r="BD428" i="3"/>
  <c r="BC428" i="3"/>
  <c r="BA428" i="3"/>
  <c r="BB428" i="3"/>
  <c r="AX428" i="3"/>
  <c r="AW428" i="3"/>
  <c r="AV428" i="3"/>
  <c r="AC428" i="3"/>
  <c r="H428" i="3"/>
  <c r="G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A426" i="3"/>
  <c r="AZ426" i="3"/>
  <c r="BC426" i="3"/>
  <c r="BB426" i="3"/>
  <c r="AX426" i="3"/>
  <c r="AW426" i="3"/>
  <c r="AV426" i="3"/>
  <c r="AC426" i="3"/>
  <c r="G426" i="3"/>
  <c r="H426" i="3"/>
  <c r="BT425" i="3"/>
  <c r="BS425" i="3"/>
  <c r="BR425" i="3"/>
  <c r="BQ425" i="3"/>
  <c r="BP425" i="3"/>
  <c r="BO425" i="3"/>
  <c r="BL425" i="3"/>
  <c r="BN425" i="3"/>
  <c r="BM425" i="3"/>
  <c r="BK425" i="3"/>
  <c r="BJ425" i="3"/>
  <c r="BI425" i="3"/>
  <c r="BH425" i="3"/>
  <c r="BG425" i="3"/>
  <c r="BF425" i="3"/>
  <c r="BE425" i="3"/>
  <c r="BD425" i="3"/>
  <c r="BC425" i="3"/>
  <c r="BA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G422" i="3"/>
  <c r="H422" i="3"/>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BT420" i="3"/>
  <c r="BS420" i="3"/>
  <c r="BR420" i="3"/>
  <c r="BQ420" i="3"/>
  <c r="BP420" i="3"/>
  <c r="BO420" i="3"/>
  <c r="BN420" i="3"/>
  <c r="BL420" i="3"/>
  <c r="BM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G418" i="3"/>
  <c r="H418" i="3"/>
  <c r="BT417" i="3"/>
  <c r="BS417" i="3"/>
  <c r="BR417" i="3"/>
  <c r="BQ417" i="3"/>
  <c r="BP417" i="3"/>
  <c r="BO417" i="3"/>
  <c r="BL417" i="3"/>
  <c r="BN417" i="3"/>
  <c r="BM417" i="3"/>
  <c r="BK417" i="3"/>
  <c r="BJ417" i="3"/>
  <c r="BI417" i="3"/>
  <c r="BH417" i="3"/>
  <c r="BG417" i="3"/>
  <c r="BF417" i="3"/>
  <c r="BE417" i="3"/>
  <c r="BD417" i="3"/>
  <c r="BC417" i="3"/>
  <c r="BA417" i="3"/>
  <c r="BB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G415" i="3"/>
  <c r="H415" i="3"/>
  <c r="BT414" i="3"/>
  <c r="BS414" i="3"/>
  <c r="BR414" i="3"/>
  <c r="BQ414" i="3"/>
  <c r="BP414" i="3"/>
  <c r="BO414" i="3"/>
  <c r="BL414" i="3"/>
  <c r="BN414" i="3"/>
  <c r="BM414" i="3"/>
  <c r="BK414" i="3"/>
  <c r="BJ414" i="3"/>
  <c r="BI414" i="3"/>
  <c r="BH414" i="3"/>
  <c r="BG414" i="3"/>
  <c r="BF414" i="3"/>
  <c r="BE414" i="3"/>
  <c r="BD414" i="3"/>
  <c r="BC414" i="3"/>
  <c r="BA414" i="3"/>
  <c r="AZ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G412" i="3"/>
  <c r="H412" i="3"/>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L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G405" i="3"/>
  <c r="H405" i="3"/>
  <c r="BT404" i="3"/>
  <c r="BS404" i="3"/>
  <c r="BR404" i="3"/>
  <c r="BQ404" i="3"/>
  <c r="BP404" i="3"/>
  <c r="BO404" i="3"/>
  <c r="BN404" i="3"/>
  <c r="BM404" i="3"/>
  <c r="BL404" i="3"/>
  <c r="BK404" i="3"/>
  <c r="BJ404" i="3"/>
  <c r="BI404" i="3"/>
  <c r="BH404" i="3"/>
  <c r="BG404" i="3"/>
  <c r="BF404" i="3"/>
  <c r="BE404" i="3"/>
  <c r="BD404" i="3"/>
  <c r="BC404" i="3"/>
  <c r="BA404" i="3"/>
  <c r="AZ404" i="3"/>
  <c r="BB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A401" i="3"/>
  <c r="BC401" i="3"/>
  <c r="BB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A398" i="3"/>
  <c r="AZ398" i="3"/>
  <c r="BC398" i="3"/>
  <c r="BB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F8" i="1"/>
  <c r="G8" i="1"/>
  <c r="G15" i="4"/>
  <c r="F9" i="1"/>
  <c r="E15" i="4"/>
  <c r="D15" i="4"/>
  <c r="F7" i="1"/>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B22" i="1"/>
  <c r="B43" i="1"/>
  <c r="D78" i="9"/>
  <c r="BQ13" i="3"/>
  <c r="BQ14" i="3"/>
  <c r="BQ15" i="3"/>
  <c r="BQ16" i="3"/>
  <c r="BQ17" i="3"/>
  <c r="BS13" i="3"/>
  <c r="BS14" i="3"/>
  <c r="BS15" i="3"/>
  <c r="BS16" i="3"/>
  <c r="BS17" i="3"/>
  <c r="BR14" i="3"/>
  <c r="BR15" i="3"/>
  <c r="BR16" i="3"/>
  <c r="BR17" i="3"/>
  <c r="BT13" i="3"/>
  <c r="BT14" i="3"/>
  <c r="BT15" i="3"/>
  <c r="BT16" i="3"/>
  <c r="BT17" i="3"/>
  <c r="BM14" i="3"/>
  <c r="BM15" i="3"/>
  <c r="BM16" i="3"/>
  <c r="BL16" i="3"/>
  <c r="BM17" i="3"/>
  <c r="BO13" i="3"/>
  <c r="BO14" i="3"/>
  <c r="BO15" i="3"/>
  <c r="BO16" i="3"/>
  <c r="BO17" i="3"/>
  <c r="BN13" i="3"/>
  <c r="BN14" i="3"/>
  <c r="BN15" i="3"/>
  <c r="BN16" i="3"/>
  <c r="BN17" i="3"/>
  <c r="BP13" i="3"/>
  <c r="BP14" i="3"/>
  <c r="BP15" i="3"/>
  <c r="BP16" i="3"/>
  <c r="BP17" i="3"/>
  <c r="E19" i="6"/>
  <c r="D3" i="79"/>
  <c r="F23" i="15"/>
  <c r="D24" i="15"/>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G12" i="1"/>
  <c r="J55" i="9"/>
  <c r="B31" i="1"/>
  <c r="E19" i="68"/>
  <c r="B52" i="1"/>
  <c r="M20" i="15"/>
  <c r="T4" i="1"/>
  <c r="F15" i="15"/>
  <c r="F17" i="15"/>
  <c r="F18" i="15"/>
  <c r="F20" i="15"/>
  <c r="F21" i="15"/>
  <c r="D3" i="35"/>
  <c r="E59" i="9"/>
  <c r="N55" i="9"/>
  <c r="K55" i="9"/>
  <c r="F59" i="9"/>
  <c r="O55" i="9"/>
  <c r="N54" i="9"/>
  <c r="N53" i="9"/>
  <c r="E48" i="9"/>
  <c r="N52" i="9"/>
  <c r="F56" i="9"/>
  <c r="O54" i="9"/>
  <c r="D101" i="9"/>
  <c r="C101" i="9"/>
  <c r="H104"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A550" i="3"/>
  <c r="BD550" i="3"/>
  <c r="BE550" i="3"/>
  <c r="BF550" i="3"/>
  <c r="BG550" i="3"/>
  <c r="BH550" i="3"/>
  <c r="BI550" i="3"/>
  <c r="BJ550" i="3"/>
  <c r="BK550" i="3"/>
  <c r="BM550" i="3"/>
  <c r="BL550" i="3"/>
  <c r="BN550" i="3"/>
  <c r="BO550" i="3"/>
  <c r="BP550" i="3"/>
  <c r="BQ550" i="3"/>
  <c r="BR550" i="3"/>
  <c r="BS550" i="3"/>
  <c r="BT550" i="3"/>
  <c r="H551" i="3"/>
  <c r="AC551" i="3"/>
  <c r="G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c r="AC35"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E114" i="34"/>
  <c r="F114" i="34"/>
  <c r="F38" i="34"/>
  <c r="S38" i="34"/>
  <c r="D112" i="34"/>
  <c r="E112" i="34"/>
  <c r="F112" i="34"/>
  <c r="G112" i="34"/>
  <c r="H112" i="34"/>
  <c r="I112" i="34"/>
  <c r="J112" i="34"/>
  <c r="K112" i="34"/>
  <c r="L112" i="34"/>
  <c r="M112" i="34"/>
  <c r="F40" i="33"/>
  <c r="J41" i="33"/>
  <c r="W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F4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D120" i="39"/>
  <c r="E120" i="39"/>
  <c r="F120" i="39"/>
  <c r="G120" i="39"/>
  <c r="H120" i="39"/>
  <c r="I120" i="39"/>
  <c r="J120" i="39"/>
  <c r="K120" i="39"/>
  <c r="L120" i="39"/>
  <c r="M120" i="39"/>
  <c r="B114" i="39"/>
  <c r="J37" i="39"/>
  <c r="D109" i="39"/>
  <c r="F34" i="39"/>
  <c r="AA34" i="39"/>
  <c r="D107" i="39"/>
  <c r="E107" i="39"/>
  <c r="F107" i="39"/>
  <c r="G107" i="39"/>
  <c r="D105" i="39"/>
  <c r="E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D93" i="39"/>
  <c r="E93" i="39"/>
  <c r="F93" i="39"/>
  <c r="G93" i="39"/>
  <c r="D91" i="39"/>
  <c r="E91" i="39"/>
  <c r="F91" i="39"/>
  <c r="D89" i="39"/>
  <c r="E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c r="AB26" i="37"/>
  <c r="D79" i="37"/>
  <c r="E79" i="37"/>
  <c r="D75" i="37"/>
  <c r="E75" i="37"/>
  <c r="D73" i="37"/>
  <c r="E73" i="37"/>
  <c r="F73" i="37"/>
  <c r="D71" i="37"/>
  <c r="H15" i="37"/>
  <c r="AB15" i="37"/>
  <c r="B68" i="37"/>
  <c r="H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J34" i="35"/>
  <c r="AC34" i="35"/>
  <c r="B77" i="35"/>
  <c r="B75" i="35"/>
  <c r="J24" i="35"/>
  <c r="AC24" i="35"/>
  <c r="B73" i="35"/>
  <c r="J23" i="35"/>
  <c r="AC23" i="35"/>
  <c r="H23" i="35"/>
  <c r="U23" i="35"/>
  <c r="B57" i="35"/>
  <c r="B61" i="35"/>
  <c r="B59" i="35"/>
  <c r="H12" i="35"/>
  <c r="B131" i="34"/>
  <c r="B129" i="34"/>
  <c r="B127" i="34"/>
  <c r="B99" i="34"/>
  <c r="B97" i="34"/>
  <c r="B95" i="34"/>
  <c r="B93" i="34"/>
  <c r="B75" i="34"/>
  <c r="B73" i="34"/>
  <c r="B71" i="34"/>
  <c r="F12" i="34"/>
  <c r="B130" i="33"/>
  <c r="B128" i="33"/>
  <c r="B126" i="33"/>
  <c r="B98" i="33"/>
  <c r="B96" i="33"/>
  <c r="B94" i="33"/>
  <c r="B74" i="33"/>
  <c r="B72" i="33"/>
  <c r="B70" i="33"/>
  <c r="H12" i="33"/>
  <c r="U12"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H34" i="35"/>
  <c r="AB34" i="35"/>
  <c r="Q33" i="35"/>
  <c r="Z33" i="35"/>
  <c r="Q32" i="35"/>
  <c r="Z32" i="35"/>
  <c r="H32" i="35"/>
  <c r="AB32" i="35"/>
  <c r="F32" i="35"/>
  <c r="AA32" i="35"/>
  <c r="Q31" i="35"/>
  <c r="Z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J28" i="34"/>
  <c r="W28"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H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Q11" i="34"/>
  <c r="Z11" i="34"/>
  <c r="Q10" i="34"/>
  <c r="Z10" i="34"/>
  <c r="F10" i="34"/>
  <c r="AA10" i="34"/>
  <c r="Q9" i="34"/>
  <c r="Z9" i="34"/>
  <c r="J9" i="34"/>
  <c r="AC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J9" i="33"/>
  <c r="AC9" i="33"/>
  <c r="H54" i="33"/>
  <c r="F54" i="33"/>
  <c r="P49" i="33"/>
  <c r="P48" i="33"/>
  <c r="V47" i="33"/>
  <c r="T47" i="33"/>
  <c r="R47" i="33"/>
  <c r="P47" i="33"/>
  <c r="Q46" i="33"/>
  <c r="Z46" i="33"/>
  <c r="Q45" i="33"/>
  <c r="Z45" i="33"/>
  <c r="Q44" i="33"/>
  <c r="Z44" i="33"/>
  <c r="Q43" i="33"/>
  <c r="Z43" i="33"/>
  <c r="Q42" i="33"/>
  <c r="Z42" i="33"/>
  <c r="J42" i="33"/>
  <c r="AC42" i="33"/>
  <c r="AC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W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H9" i="33"/>
  <c r="AB9" i="33"/>
  <c r="J8" i="33"/>
  <c r="AC8" i="33"/>
  <c r="H8" i="33"/>
  <c r="AB8" i="33"/>
  <c r="F8" i="33"/>
  <c r="AA8" i="33"/>
  <c r="M102" i="21"/>
  <c r="D102" i="21"/>
  <c r="E102" i="21"/>
  <c r="F102" i="21"/>
  <c r="G102" i="21"/>
  <c r="H102" i="21"/>
  <c r="I102" i="21"/>
  <c r="J102" i="21"/>
  <c r="K102" i="21"/>
  <c r="L102" i="21"/>
  <c r="C102" i="21"/>
  <c r="C63" i="21"/>
  <c r="F9" i="21"/>
  <c r="AA9" i="21"/>
  <c r="G18" i="20"/>
  <c r="B88" i="43"/>
  <c r="G19" i="20"/>
  <c r="B85" i="43"/>
  <c r="G16" i="20"/>
  <c r="B82" i="43"/>
  <c r="G15" i="20"/>
  <c r="B81" i="43"/>
  <c r="C24" i="20"/>
  <c r="B73" i="43"/>
  <c r="C21" i="20"/>
  <c r="B74" i="43"/>
  <c r="C20" i="20"/>
  <c r="B77" i="43"/>
  <c r="C18" i="20"/>
  <c r="B71" i="43"/>
  <c r="C17" i="20"/>
  <c r="B59" i="43"/>
  <c r="C16" i="20"/>
  <c r="C17" i="39"/>
  <c r="C15" i="20"/>
  <c r="C15" i="39"/>
  <c r="B70" i="43"/>
  <c r="E54" i="21"/>
  <c r="F54" i="21"/>
  <c r="I54" i="21"/>
  <c r="J54" i="21"/>
  <c r="G54" i="21"/>
  <c r="H54" i="21"/>
  <c r="D125" i="21"/>
  <c r="D123" i="21"/>
  <c r="E123" i="21"/>
  <c r="F123" i="21"/>
  <c r="D119" i="21"/>
  <c r="F40" i="21"/>
  <c r="AA40"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D85" i="21"/>
  <c r="F19" i="21"/>
  <c r="AA19" i="21"/>
  <c r="E81" i="21"/>
  <c r="H19" i="21"/>
  <c r="D77" i="21"/>
  <c r="E77" i="21"/>
  <c r="B130" i="21"/>
  <c r="H46" i="21"/>
  <c r="U46" i="21"/>
  <c r="B128" i="21"/>
  <c r="J45" i="21"/>
  <c r="W45" i="21"/>
  <c r="B126" i="21"/>
  <c r="B98" i="21"/>
  <c r="B96" i="21"/>
  <c r="B94" i="21"/>
  <c r="J29" i="21"/>
  <c r="B92" i="21"/>
  <c r="B90" i="21"/>
  <c r="J27" i="2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c r="Q36" i="21"/>
  <c r="Z36" i="21"/>
  <c r="Q37" i="21"/>
  <c r="Z37" i="21"/>
  <c r="Q38" i="21"/>
  <c r="Z38"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G7" i="12"/>
  <c r="K5" i="3"/>
  <c r="E20" i="6"/>
  <c r="J5" i="3"/>
  <c r="BE10" i="3"/>
  <c r="BB585" i="3"/>
  <c r="BA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E22" i="6"/>
  <c r="F7" i="12"/>
  <c r="P5" i="3"/>
  <c r="Q5" i="3"/>
  <c r="R5" i="3"/>
  <c r="S5" i="3"/>
  <c r="T5" i="3"/>
  <c r="U5" i="3"/>
  <c r="V5" i="3"/>
  <c r="W5" i="3"/>
  <c r="X5" i="3"/>
  <c r="Y5" i="3"/>
  <c r="Z5" i="3"/>
  <c r="AA5" i="3"/>
  <c r="AB5" i="3"/>
  <c r="H585" i="3"/>
  <c r="G585" i="3"/>
  <c r="H586" i="3"/>
  <c r="G586" i="3"/>
  <c r="H587" i="3"/>
  <c r="G587" i="3"/>
  <c r="F5" i="3"/>
  <c r="F34" i="21"/>
  <c r="AA34" i="21"/>
  <c r="H34" i="21"/>
  <c r="F38" i="21"/>
  <c r="S38" i="21"/>
  <c r="F36" i="21"/>
  <c r="S36" i="21"/>
  <c r="J40" i="21"/>
  <c r="W40" i="21"/>
  <c r="J8" i="21"/>
  <c r="AC8" i="21"/>
  <c r="H8" i="21"/>
  <c r="U8" i="21"/>
  <c r="H10" i="21"/>
  <c r="AB10" i="21"/>
  <c r="J34" i="21"/>
  <c r="W34" i="21"/>
  <c r="H36" i="21"/>
  <c r="U36" i="21"/>
  <c r="J10" i="21"/>
  <c r="AC10" i="21"/>
  <c r="H26" i="21"/>
  <c r="AB26" i="21"/>
  <c r="J19" i="21"/>
  <c r="W19" i="21"/>
  <c r="J26" i="21"/>
  <c r="W26" i="21"/>
  <c r="F26" i="21"/>
  <c r="S26" i="21"/>
  <c r="AB41" i="21"/>
  <c r="S41" i="21"/>
  <c r="AA41" i="21"/>
  <c r="F45" i="39"/>
  <c r="S45" i="39"/>
  <c r="J45" i="39"/>
  <c r="W45" i="39"/>
  <c r="J44" i="39"/>
  <c r="AC44" i="39"/>
  <c r="F36" i="39"/>
  <c r="S36" i="39"/>
  <c r="H36" i="39"/>
  <c r="AB36" i="39"/>
  <c r="F35" i="39"/>
  <c r="AA35" i="39"/>
  <c r="J36" i="39"/>
  <c r="AC36" i="39"/>
  <c r="W25" i="37"/>
  <c r="U30" i="37"/>
  <c r="W31" i="37"/>
  <c r="E103" i="37"/>
  <c r="F103" i="37"/>
  <c r="G103" i="37"/>
  <c r="H103" i="37"/>
  <c r="I103" i="37"/>
  <c r="J103" i="37"/>
  <c r="K103" i="37"/>
  <c r="L103" i="37"/>
  <c r="M103" i="37"/>
  <c r="F39" i="37"/>
  <c r="S39" i="37"/>
  <c r="F29" i="36"/>
  <c r="AA29" i="36"/>
  <c r="F16" i="36"/>
  <c r="AA16" i="36"/>
  <c r="U9" i="36"/>
  <c r="S30" i="36"/>
  <c r="AA31" i="36"/>
  <c r="AC31" i="36"/>
  <c r="W31" i="36"/>
  <c r="J33" i="36"/>
  <c r="H22" i="35"/>
  <c r="AB22" i="35"/>
  <c r="AC27" i="35"/>
  <c r="W28" i="35"/>
  <c r="U31" i="35"/>
  <c r="W34" i="35"/>
  <c r="W36" i="35"/>
  <c r="S31" i="35"/>
  <c r="U34" i="35"/>
  <c r="F36" i="34"/>
  <c r="J35" i="34"/>
  <c r="S34" i="34"/>
  <c r="U34" i="34"/>
  <c r="H39" i="33"/>
  <c r="AB39" i="33"/>
  <c r="F26" i="33"/>
  <c r="AA26" i="33"/>
  <c r="U33" i="33"/>
  <c r="U35" i="33"/>
  <c r="S40" i="33"/>
  <c r="W39" i="33"/>
  <c r="H39" i="37"/>
  <c r="AB39" i="37"/>
  <c r="S27" i="35"/>
  <c r="F11" i="40"/>
  <c r="AA11" i="40"/>
  <c r="H11" i="40"/>
  <c r="AB11" i="40"/>
  <c r="W8" i="40"/>
  <c r="AB39" i="40"/>
  <c r="AA9" i="40"/>
  <c r="AC9" i="40"/>
  <c r="U9" i="40"/>
  <c r="S34" i="40"/>
  <c r="W31" i="40"/>
  <c r="U34" i="40"/>
  <c r="F42" i="39"/>
  <c r="AA42" i="39"/>
  <c r="H40" i="39"/>
  <c r="AB40" i="39"/>
  <c r="H39" i="39"/>
  <c r="U39" i="39"/>
  <c r="S38" i="39"/>
  <c r="S34" i="39"/>
  <c r="H34" i="39"/>
  <c r="U34" i="39"/>
  <c r="E109" i="39"/>
  <c r="F109" i="39"/>
  <c r="G109" i="39"/>
  <c r="H109" i="39"/>
  <c r="I109" i="39"/>
  <c r="J109" i="39"/>
  <c r="K109" i="39"/>
  <c r="L109" i="39"/>
  <c r="M109" i="39"/>
  <c r="E101" i="39"/>
  <c r="H19" i="39"/>
  <c r="AB19" i="39"/>
  <c r="F19" i="39"/>
  <c r="AA19" i="39"/>
  <c r="J23" i="40"/>
  <c r="AC23" i="40"/>
  <c r="F21" i="40"/>
  <c r="AA21" i="40"/>
  <c r="J21" i="40"/>
  <c r="W21" i="40"/>
  <c r="H42" i="39"/>
  <c r="AB42" i="39"/>
  <c r="J34" i="39"/>
  <c r="AC34" i="39"/>
  <c r="F101" i="39"/>
  <c r="H27" i="39"/>
  <c r="U27" i="39"/>
  <c r="J19" i="39"/>
  <c r="AC19" i="39"/>
  <c r="J27" i="39"/>
  <c r="AC27" i="39"/>
  <c r="F27" i="39"/>
  <c r="S27" i="39"/>
  <c r="S40" i="21"/>
  <c r="C25" i="39"/>
  <c r="C27" i="39"/>
  <c r="C21" i="39"/>
  <c r="H32" i="33"/>
  <c r="AB32" i="33"/>
  <c r="H37" i="40"/>
  <c r="U37" i="40"/>
  <c r="H36" i="40"/>
  <c r="AB36" i="40"/>
  <c r="F35" i="40"/>
  <c r="AA35" i="40"/>
  <c r="H23" i="40"/>
  <c r="AB23" i="40"/>
  <c r="H17" i="40"/>
  <c r="U17" i="40"/>
  <c r="J15" i="40"/>
  <c r="W15" i="40"/>
  <c r="J11" i="40"/>
  <c r="W11" i="40"/>
  <c r="AB8" i="39"/>
  <c r="AC12" i="34"/>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U33" i="35"/>
  <c r="J20" i="35"/>
  <c r="W20" i="35"/>
  <c r="F35" i="37"/>
  <c r="S35" i="37"/>
  <c r="E101" i="37"/>
  <c r="F101" i="37"/>
  <c r="G101" i="37"/>
  <c r="H101" i="37"/>
  <c r="I101" i="37"/>
  <c r="J101" i="37"/>
  <c r="K101" i="37"/>
  <c r="L101" i="37"/>
  <c r="M101" i="37"/>
  <c r="J34" i="37"/>
  <c r="W34" i="37"/>
  <c r="S10" i="37"/>
  <c r="AA39" i="37"/>
  <c r="AB34" i="37"/>
  <c r="J33" i="37"/>
  <c r="AC33" i="37"/>
  <c r="U42" i="34"/>
  <c r="H40" i="34"/>
  <c r="U40" i="34"/>
  <c r="H36" i="34"/>
  <c r="U36" i="34"/>
  <c r="F37" i="34"/>
  <c r="AA37" i="34"/>
  <c r="S35" i="34"/>
  <c r="F28" i="34"/>
  <c r="S28" i="34"/>
  <c r="F27" i="34"/>
  <c r="AA27" i="34"/>
  <c r="F25" i="34"/>
  <c r="S25" i="34"/>
  <c r="H23" i="34"/>
  <c r="U23" i="34"/>
  <c r="J23" i="34"/>
  <c r="F19" i="34"/>
  <c r="H17" i="34"/>
  <c r="U17" i="34"/>
  <c r="F15" i="34"/>
  <c r="AA15" i="34"/>
  <c r="J15" i="34"/>
  <c r="W15" i="34"/>
  <c r="H15" i="34"/>
  <c r="AB15" i="34"/>
  <c r="S9" i="34"/>
  <c r="W8" i="34"/>
  <c r="F41" i="33"/>
  <c r="AA41" i="33"/>
  <c r="S38" i="33"/>
  <c r="E113" i="33"/>
  <c r="F113" i="33"/>
  <c r="G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AB30" i="36"/>
  <c r="AC34" i="36"/>
  <c r="F29" i="35"/>
  <c r="AA29" i="35"/>
  <c r="S29" i="35"/>
  <c r="H29" i="35"/>
  <c r="AB29" i="35"/>
  <c r="H33" i="37"/>
  <c r="AB33" i="37"/>
  <c r="F33" i="37"/>
  <c r="AA33" i="37"/>
  <c r="U34" i="37"/>
  <c r="W33" i="37"/>
  <c r="S34" i="37"/>
  <c r="AA34" i="37"/>
  <c r="J43" i="34"/>
  <c r="AB42" i="34"/>
  <c r="J40"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S15" i="34"/>
  <c r="S41" i="33"/>
  <c r="H113" i="33"/>
  <c r="I113" i="33"/>
  <c r="J113" i="33"/>
  <c r="K113" i="33"/>
  <c r="L113" i="33"/>
  <c r="M113" i="33"/>
  <c r="H37" i="33"/>
  <c r="AB37" i="33"/>
  <c r="H15" i="33"/>
  <c r="AB15" i="33"/>
  <c r="H11" i="33"/>
  <c r="AB11" i="33"/>
  <c r="F28" i="40"/>
  <c r="AA28" i="40"/>
  <c r="AA42" i="34"/>
  <c r="S42" i="34"/>
  <c r="AC38" i="34"/>
  <c r="AA38" i="34"/>
  <c r="J37" i="34"/>
  <c r="AC37" i="34"/>
  <c r="J11" i="33"/>
  <c r="W11" i="33"/>
  <c r="U23" i="40"/>
  <c r="J44" i="34"/>
  <c r="F44" i="34"/>
  <c r="AA44" i="34"/>
  <c r="J10" i="35"/>
  <c r="W10" i="35"/>
  <c r="J14" i="21"/>
  <c r="W14" i="21"/>
  <c r="F14" i="21"/>
  <c r="S14" i="21"/>
  <c r="H14" i="21"/>
  <c r="U14" i="21"/>
  <c r="J28" i="21"/>
  <c r="H30" i="21"/>
  <c r="U30" i="21"/>
  <c r="F30" i="21"/>
  <c r="S30" i="21"/>
  <c r="J30" i="21"/>
  <c r="AC30" i="21"/>
  <c r="J44" i="21"/>
  <c r="AC44" i="21"/>
  <c r="H44" i="21"/>
  <c r="U44" i="21"/>
  <c r="F44" i="21"/>
  <c r="AA44"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H29" i="21"/>
  <c r="U29" i="21"/>
  <c r="F31" i="21"/>
  <c r="S31" i="21"/>
  <c r="F27" i="33"/>
  <c r="AA27" i="33"/>
  <c r="J13" i="33"/>
  <c r="H13" i="33"/>
  <c r="AB13" i="33"/>
  <c r="F13" i="33"/>
  <c r="J29" i="33"/>
  <c r="W29" i="33"/>
  <c r="AC29" i="33"/>
  <c r="H29" i="33"/>
  <c r="U29" i="33"/>
  <c r="F29" i="33"/>
  <c r="S29" i="33"/>
  <c r="J31" i="33"/>
  <c r="W31" i="33"/>
  <c r="H31" i="33"/>
  <c r="AB31" i="33"/>
  <c r="F31" i="33"/>
  <c r="H45" i="33"/>
  <c r="U45" i="33"/>
  <c r="J45" i="33"/>
  <c r="W45" i="33"/>
  <c r="F45" i="33"/>
  <c r="AA45" i="33"/>
  <c r="J14" i="34"/>
  <c r="W14" i="34"/>
  <c r="F14" i="34"/>
  <c r="S14" i="34"/>
  <c r="H14" i="34"/>
  <c r="H30" i="34"/>
  <c r="F30" i="34"/>
  <c r="S30" i="34"/>
  <c r="J30" i="34"/>
  <c r="AC30" i="34"/>
  <c r="H32" i="34"/>
  <c r="F32" i="34"/>
  <c r="J32" i="34"/>
  <c r="W32" i="34"/>
  <c r="H46" i="34"/>
  <c r="U46" i="34"/>
  <c r="F46" i="34"/>
  <c r="J46" i="34"/>
  <c r="H11" i="35"/>
  <c r="J11" i="35"/>
  <c r="AC11" i="35"/>
  <c r="F11" i="35"/>
  <c r="S11" i="35"/>
  <c r="J26" i="36"/>
  <c r="W26" i="36"/>
  <c r="H28" i="36"/>
  <c r="U28" i="36"/>
  <c r="H32" i="36"/>
  <c r="AB32" i="36"/>
  <c r="J32" i="36"/>
  <c r="W32" i="36"/>
  <c r="J11" i="36"/>
  <c r="AC11" i="36"/>
  <c r="H11" i="36"/>
  <c r="U11" i="36"/>
  <c r="F11" i="36"/>
  <c r="S11" i="36"/>
  <c r="AA11" i="36"/>
  <c r="H13" i="36"/>
  <c r="AB13" i="36"/>
  <c r="J13" i="36"/>
  <c r="F13" i="36"/>
  <c r="S13" i="36"/>
  <c r="E89" i="37"/>
  <c r="F89" i="37"/>
  <c r="G89" i="37"/>
  <c r="H89" i="37"/>
  <c r="I89" i="37"/>
  <c r="J89" i="37"/>
  <c r="K89" i="37"/>
  <c r="L89" i="37"/>
  <c r="M89" i="37"/>
  <c r="J29" i="37"/>
  <c r="W29" i="37"/>
  <c r="F29" i="37"/>
  <c r="S29" i="37"/>
  <c r="F105" i="37"/>
  <c r="G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AB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AA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AA14" i="37"/>
  <c r="F27" i="37"/>
  <c r="AA27" i="37"/>
  <c r="F13" i="39"/>
  <c r="J13" i="39"/>
  <c r="W13" i="39"/>
  <c r="H13" i="39"/>
  <c r="H14" i="40"/>
  <c r="AB14" i="40"/>
  <c r="J14" i="40"/>
  <c r="W14" i="40"/>
  <c r="F14" i="40"/>
  <c r="AA14" i="40"/>
  <c r="J14" i="37"/>
  <c r="J27" i="37"/>
  <c r="AC27" i="37"/>
  <c r="AA44" i="33"/>
  <c r="U31" i="34"/>
  <c r="AA14" i="33"/>
  <c r="J36" i="37"/>
  <c r="AC36" i="37"/>
  <c r="AB11" i="36"/>
  <c r="J10" i="36"/>
  <c r="AC10" i="36"/>
  <c r="AB26" i="33"/>
  <c r="W31" i="34"/>
  <c r="AC13" i="36"/>
  <c r="W13" i="36"/>
  <c r="W11" i="35"/>
  <c r="AB46" i="34"/>
  <c r="AA14" i="34"/>
  <c r="S45" i="33"/>
  <c r="AB45" i="33"/>
  <c r="U31" i="33"/>
  <c r="S44" i="34"/>
  <c r="BA586" i="3"/>
  <c r="AC45" i="39"/>
  <c r="W44"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c r="BL580" i="3"/>
  <c r="BL576" i="3"/>
  <c r="BL572" i="3"/>
  <c r="BL568" i="3"/>
  <c r="BL564" i="3"/>
  <c r="BL560" i="3"/>
  <c r="BL554" i="3"/>
  <c r="AZ554" i="3"/>
  <c r="BL546" i="3"/>
  <c r="AZ546" i="3"/>
  <c r="BL542" i="3"/>
  <c r="BL538" i="3"/>
  <c r="BL534" i="3"/>
  <c r="AZ534" i="3"/>
  <c r="BL530" i="3"/>
  <c r="AZ530" i="3"/>
  <c r="BL526" i="3"/>
  <c r="BL522" i="3"/>
  <c r="BL516" i="3"/>
  <c r="BL512" i="3"/>
  <c r="BL506" i="3"/>
  <c r="BL502" i="3"/>
  <c r="BL498" i="3"/>
  <c r="BL494" i="3"/>
  <c r="BL582" i="3"/>
  <c r="BL578" i="3"/>
  <c r="BL574" i="3"/>
  <c r="BL570" i="3"/>
  <c r="BL566" i="3"/>
  <c r="BL562" i="3"/>
  <c r="BL556" i="3"/>
  <c r="BL552" i="3"/>
  <c r="AZ552" i="3"/>
  <c r="BL544" i="3"/>
  <c r="BL540" i="3"/>
  <c r="BL536" i="3"/>
  <c r="G533" i="3"/>
  <c r="BL532" i="3"/>
  <c r="G529" i="3"/>
  <c r="BL528" i="3"/>
  <c r="G525" i="3"/>
  <c r="BL524" i="3"/>
  <c r="BL518" i="3"/>
  <c r="BL514" i="3"/>
  <c r="BL510" i="3"/>
  <c r="AZ510" i="3"/>
  <c r="BL504" i="3"/>
  <c r="BL500" i="3"/>
  <c r="BL496" i="3"/>
  <c r="G493" i="3"/>
  <c r="BA584" i="3"/>
  <c r="BA582" i="3"/>
  <c r="AZ582" i="3"/>
  <c r="BA580" i="3"/>
  <c r="AZ580" i="3"/>
  <c r="BA578" i="3"/>
  <c r="AZ578" i="3"/>
  <c r="BA576" i="3"/>
  <c r="AZ576" i="3"/>
  <c r="BA574" i="3"/>
  <c r="AZ574" i="3"/>
  <c r="BA572" i="3"/>
  <c r="BA570" i="3"/>
  <c r="AZ570" i="3"/>
  <c r="BA568" i="3"/>
  <c r="BA566" i="3"/>
  <c r="AZ566" i="3"/>
  <c r="BA564" i="3"/>
  <c r="AZ564" i="3"/>
  <c r="BA562" i="3"/>
  <c r="AZ562" i="3"/>
  <c r="BA560" i="3"/>
  <c r="AZ560" i="3"/>
  <c r="BA558" i="3"/>
  <c r="AZ558" i="3"/>
  <c r="BA556" i="3"/>
  <c r="AZ556" i="3"/>
  <c r="BA554" i="3"/>
  <c r="BA552" i="3"/>
  <c r="BA548" i="3"/>
  <c r="AZ548" i="3"/>
  <c r="BA546" i="3"/>
  <c r="BA544" i="3"/>
  <c r="AZ544" i="3"/>
  <c r="BA542" i="3"/>
  <c r="AZ542" i="3"/>
  <c r="BA540" i="3"/>
  <c r="AZ540" i="3"/>
  <c r="BA538" i="3"/>
  <c r="AZ538" i="3"/>
  <c r="BA536" i="3"/>
  <c r="AZ536" i="3"/>
  <c r="BA534" i="3"/>
  <c r="BA532" i="3"/>
  <c r="AZ532" i="3"/>
  <c r="BA530" i="3"/>
  <c r="BA528" i="3"/>
  <c r="AZ528" i="3"/>
  <c r="BA526" i="3"/>
  <c r="AZ526" i="3"/>
  <c r="BA524" i="3"/>
  <c r="AZ524" i="3"/>
  <c r="BA522" i="3"/>
  <c r="BA520" i="3"/>
  <c r="BA518" i="3"/>
  <c r="AZ518" i="3"/>
  <c r="BA516" i="3"/>
  <c r="BA514" i="3"/>
  <c r="BA512" i="3"/>
  <c r="AZ512" i="3"/>
  <c r="BA510" i="3"/>
  <c r="BA508" i="3"/>
  <c r="AZ508" i="3"/>
  <c r="BA506" i="3"/>
  <c r="BA504" i="3"/>
  <c r="AZ504" i="3"/>
  <c r="BA502" i="3"/>
  <c r="AZ502" i="3"/>
  <c r="BA500" i="3"/>
  <c r="BA498" i="3"/>
  <c r="AZ498" i="3"/>
  <c r="BA496" i="3"/>
  <c r="AZ496" i="3"/>
  <c r="BA494" i="3"/>
  <c r="BA583" i="3"/>
  <c r="AZ583" i="3"/>
  <c r="BA581" i="3"/>
  <c r="AZ581" i="3"/>
  <c r="BA579" i="3"/>
  <c r="BA577" i="3"/>
  <c r="BA575" i="3"/>
  <c r="BA573" i="3"/>
  <c r="BA571" i="3"/>
  <c r="BA569" i="3"/>
  <c r="BA567" i="3"/>
  <c r="AZ567" i="3"/>
  <c r="BA565" i="3"/>
  <c r="BA563" i="3"/>
  <c r="BA561" i="3"/>
  <c r="BA559" i="3"/>
  <c r="AZ559" i="3"/>
  <c r="BA555" i="3"/>
  <c r="BA553" i="3"/>
  <c r="BA549" i="3"/>
  <c r="BA547" i="3"/>
  <c r="BA545" i="3"/>
  <c r="BA543" i="3"/>
  <c r="BA541" i="3"/>
  <c r="BA539" i="3"/>
  <c r="AZ539" i="3"/>
  <c r="BA537" i="3"/>
  <c r="BA535" i="3"/>
  <c r="AZ535" i="3"/>
  <c r="BA533" i="3"/>
  <c r="BA531" i="3"/>
  <c r="BA529" i="3"/>
  <c r="BA527" i="3"/>
  <c r="BA525" i="3"/>
  <c r="BA523" i="3"/>
  <c r="AZ523" i="3"/>
  <c r="BA519" i="3"/>
  <c r="BA517" i="3"/>
  <c r="BA515" i="3"/>
  <c r="BA513" i="3"/>
  <c r="BA511" i="3"/>
  <c r="BA507" i="3"/>
  <c r="BA505" i="3"/>
  <c r="BA503" i="3"/>
  <c r="BA501" i="3"/>
  <c r="BA499" i="3"/>
  <c r="BA497" i="3"/>
  <c r="BA495" i="3"/>
  <c r="AZ495" i="3"/>
  <c r="BA493" i="3"/>
  <c r="G583" i="3"/>
  <c r="G581" i="3"/>
  <c r="G579" i="3"/>
  <c r="G577" i="3"/>
  <c r="G575" i="3"/>
  <c r="G573" i="3"/>
  <c r="G571" i="3"/>
  <c r="G569" i="3"/>
  <c r="G567" i="3"/>
  <c r="G565" i="3"/>
  <c r="G563" i="3"/>
  <c r="G561" i="3"/>
  <c r="BL558" i="3"/>
  <c r="BA557" i="3"/>
  <c r="AZ557" i="3"/>
  <c r="AC557" i="3"/>
  <c r="G557" i="3"/>
  <c r="BQ557" i="3"/>
  <c r="BL557" i="3"/>
  <c r="BQ583" i="3"/>
  <c r="BL583" i="3"/>
  <c r="BQ581" i="3"/>
  <c r="BL581" i="3"/>
  <c r="BQ579" i="3"/>
  <c r="BL579" i="3"/>
  <c r="BQ577" i="3"/>
  <c r="BL577" i="3"/>
  <c r="AZ577" i="3"/>
  <c r="BQ575" i="3"/>
  <c r="BL575" i="3"/>
  <c r="AZ575" i="3"/>
  <c r="BQ573" i="3"/>
  <c r="BL573" i="3"/>
  <c r="AZ573" i="3"/>
  <c r="BQ571" i="3"/>
  <c r="BL571" i="3"/>
  <c r="BQ569" i="3"/>
  <c r="BL569" i="3"/>
  <c r="AZ569" i="3"/>
  <c r="BQ567" i="3"/>
  <c r="BL567" i="3"/>
  <c r="BQ565" i="3"/>
  <c r="BL565" i="3"/>
  <c r="AZ565" i="3"/>
  <c r="BQ563" i="3"/>
  <c r="BL563" i="3"/>
  <c r="AZ563" i="3"/>
  <c r="BQ561" i="3"/>
  <c r="BL561" i="3"/>
  <c r="AZ561" i="3"/>
  <c r="BQ559" i="3"/>
  <c r="BL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BQ539" i="3"/>
  <c r="BL539" i="3"/>
  <c r="BQ537" i="3"/>
  <c r="BL537" i="3"/>
  <c r="AZ537" i="3"/>
  <c r="BQ535" i="3"/>
  <c r="BL535" i="3"/>
  <c r="BQ533" i="3"/>
  <c r="BL533" i="3"/>
  <c r="BQ531" i="3"/>
  <c r="BL531" i="3"/>
  <c r="AZ531" i="3"/>
  <c r="BQ529" i="3"/>
  <c r="BL529" i="3"/>
  <c r="AZ529" i="3"/>
  <c r="BQ527" i="3"/>
  <c r="BL527" i="3"/>
  <c r="AZ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BQ511" i="3"/>
  <c r="BL511" i="3"/>
  <c r="AZ511" i="3"/>
  <c r="BA509" i="3"/>
  <c r="AC509" i="3"/>
  <c r="BQ509" i="3"/>
  <c r="BL509" i="3"/>
  <c r="BL508" i="3"/>
  <c r="G507" i="3"/>
  <c r="G505" i="3"/>
  <c r="G503" i="3"/>
  <c r="G501" i="3"/>
  <c r="G499" i="3"/>
  <c r="G497" i="3"/>
  <c r="G495" i="3"/>
  <c r="BQ507" i="3"/>
  <c r="BL507" i="3"/>
  <c r="AZ507" i="3"/>
  <c r="BQ505" i="3"/>
  <c r="BL505" i="3"/>
  <c r="AZ505" i="3"/>
  <c r="BQ503" i="3"/>
  <c r="BL503" i="3"/>
  <c r="AZ503" i="3"/>
  <c r="BQ501" i="3"/>
  <c r="BL501" i="3"/>
  <c r="AZ501" i="3"/>
  <c r="BQ499" i="3"/>
  <c r="BL499" i="3"/>
  <c r="BQ497" i="3"/>
  <c r="BL497" i="3"/>
  <c r="AZ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H43" i="33"/>
  <c r="AB43" i="33"/>
  <c r="H17" i="37"/>
  <c r="U17" i="37"/>
  <c r="AB27" i="37"/>
  <c r="U32" i="33"/>
  <c r="AA36" i="39"/>
  <c r="F39" i="33"/>
  <c r="AA39" i="33"/>
  <c r="E123" i="33"/>
  <c r="F123" i="33"/>
  <c r="G123" i="33"/>
  <c r="H123" i="33"/>
  <c r="I123" i="33"/>
  <c r="J123" i="33"/>
  <c r="K123" i="33"/>
  <c r="L123" i="33"/>
  <c r="M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G125" i="33"/>
  <c r="J43" i="33"/>
  <c r="AC43" i="33"/>
  <c r="U43" i="33"/>
  <c r="S28" i="31"/>
  <c r="S27" i="31"/>
  <c r="S26" i="31"/>
  <c r="AC32" i="36"/>
  <c r="U35" i="35"/>
  <c r="AA12" i="35"/>
  <c r="W23" i="35"/>
  <c r="AB28" i="37"/>
  <c r="U33" i="37"/>
  <c r="U39" i="37"/>
  <c r="AC8" i="37"/>
  <c r="U26" i="37"/>
  <c r="W47" i="34"/>
  <c r="W37" i="34"/>
  <c r="AB37" i="34"/>
  <c r="AC31" i="33"/>
  <c r="W44" i="33"/>
  <c r="U11" i="33"/>
  <c r="W44" i="21"/>
  <c r="U26" i="21"/>
  <c r="AC46" i="21"/>
  <c r="F43" i="33"/>
  <c r="AA43" i="33"/>
  <c r="AC15" i="34"/>
  <c r="W16" i="35"/>
  <c r="W40" i="37"/>
  <c r="G107" i="37"/>
  <c r="H107" i="37"/>
  <c r="I107" i="37"/>
  <c r="J107" i="37"/>
  <c r="K107" i="37"/>
  <c r="L107" i="37"/>
  <c r="M107" i="37"/>
  <c r="H19" i="34"/>
  <c r="AB19" i="34"/>
  <c r="F36" i="35"/>
  <c r="S36" i="35"/>
  <c r="J9" i="37"/>
  <c r="W9" i="37"/>
  <c r="H9" i="37"/>
  <c r="AB9" i="37"/>
  <c r="F9" i="37"/>
  <c r="S9" i="37"/>
  <c r="J12" i="37"/>
  <c r="W12" i="37"/>
  <c r="H12" i="37"/>
  <c r="F12" i="37"/>
  <c r="S12" i="37"/>
  <c r="E71" i="37"/>
  <c r="F71" i="37"/>
  <c r="F15" i="37"/>
  <c r="AA15" i="37"/>
  <c r="E94" i="37"/>
  <c r="F31" i="37"/>
  <c r="S31" i="37"/>
  <c r="F12" i="39"/>
  <c r="S12" i="39"/>
  <c r="J42" i="39"/>
  <c r="AC42" i="39"/>
  <c r="H21" i="40"/>
  <c r="AB21" i="40"/>
  <c r="AC12" i="37"/>
  <c r="F94" i="37"/>
  <c r="G94" i="37"/>
  <c r="H94" i="37"/>
  <c r="I94" i="37"/>
  <c r="J94" i="37"/>
  <c r="K94" i="37"/>
  <c r="L94" i="37"/>
  <c r="M94" i="37"/>
  <c r="H31" i="37"/>
  <c r="U31" i="37"/>
  <c r="G71" i="37"/>
  <c r="J15" i="37"/>
  <c r="W15" i="37"/>
  <c r="C12" i="43"/>
  <c r="H19" i="40"/>
  <c r="U19" i="40"/>
  <c r="F88" i="40"/>
  <c r="G88" i="40"/>
  <c r="F19" i="40"/>
  <c r="S19" i="40"/>
  <c r="S14" i="40"/>
  <c r="AC13" i="40"/>
  <c r="AB33" i="40"/>
  <c r="AC43" i="39"/>
  <c r="W43" i="39"/>
  <c r="U45" i="39"/>
  <c r="AB45" i="39"/>
  <c r="AB44" i="39"/>
  <c r="U44" i="39"/>
  <c r="G101" i="39"/>
  <c r="H37" i="39"/>
  <c r="AB37" i="39"/>
  <c r="AC37" i="39"/>
  <c r="W37" i="39"/>
  <c r="H25" i="39"/>
  <c r="AB25" i="39"/>
  <c r="J25" i="39"/>
  <c r="W25" i="39"/>
  <c r="F25" i="39"/>
  <c r="AA25" i="39"/>
  <c r="W27" i="39"/>
  <c r="AB34" i="39"/>
  <c r="U40" i="39"/>
  <c r="W8" i="39"/>
  <c r="J19" i="40"/>
  <c r="AC19" i="40"/>
  <c r="J50" i="40"/>
  <c r="H103" i="9"/>
  <c r="D8" i="53"/>
  <c r="B16" i="53"/>
  <c r="B33" i="72"/>
  <c r="C7" i="37"/>
  <c r="C7" i="34"/>
  <c r="C7" i="36"/>
  <c r="W35" i="40"/>
  <c r="A118" i="9"/>
  <c r="G4" i="4"/>
  <c r="I4" i="4"/>
  <c r="K5" i="4"/>
  <c r="B47" i="48"/>
  <c r="F59" i="43"/>
  <c r="H62" i="43"/>
  <c r="AZ32" i="3"/>
  <c r="BL549" i="3"/>
  <c r="AZ514" i="3"/>
  <c r="AZ522" i="3"/>
  <c r="G546" i="3"/>
  <c r="G524" i="3"/>
  <c r="G303" i="3"/>
  <c r="BL304" i="3"/>
  <c r="G305" i="3"/>
  <c r="BL306" i="3"/>
  <c r="BA308" i="3"/>
  <c r="BA309" i="3"/>
  <c r="AZ309" i="3"/>
  <c r="BL309" i="3"/>
  <c r="G310" i="3"/>
  <c r="BA311" i="3"/>
  <c r="G319" i="3"/>
  <c r="BL320" i="3"/>
  <c r="AZ320" i="3"/>
  <c r="G321" i="3"/>
  <c r="BL322" i="3"/>
  <c r="BA324" i="3"/>
  <c r="BA325" i="3"/>
  <c r="BL325" i="3"/>
  <c r="G326" i="3"/>
  <c r="BA327" i="3"/>
  <c r="AZ327" i="3"/>
  <c r="G335" i="3"/>
  <c r="BL336" i="3"/>
  <c r="G337" i="3"/>
  <c r="BL338" i="3"/>
  <c r="AZ338" i="3"/>
  <c r="BA340" i="3"/>
  <c r="AZ340" i="3"/>
  <c r="BA341" i="3"/>
  <c r="AZ341" i="3"/>
  <c r="BL341" i="3"/>
  <c r="BA343" i="3"/>
  <c r="BA345" i="3"/>
  <c r="BL355" i="3"/>
  <c r="G356" i="3"/>
  <c r="BL357" i="3"/>
  <c r="BA359" i="3"/>
  <c r="AZ359" i="3"/>
  <c r="BA360" i="3"/>
  <c r="AZ360" i="3"/>
  <c r="BL360" i="3"/>
  <c r="G361" i="3"/>
  <c r="BA362" i="3"/>
  <c r="AZ362" i="3"/>
  <c r="G370" i="3"/>
  <c r="BL371" i="3"/>
  <c r="G372" i="3"/>
  <c r="BL373" i="3"/>
  <c r="BA375" i="3"/>
  <c r="AZ375" i="3"/>
  <c r="BA376" i="3"/>
  <c r="BL376" i="3"/>
  <c r="AZ376" i="3"/>
  <c r="G377" i="3"/>
  <c r="BA378" i="3"/>
  <c r="BL378" i="3"/>
  <c r="AZ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BL136" i="3"/>
  <c r="G137" i="3"/>
  <c r="BA139" i="3"/>
  <c r="AZ139" i="3"/>
  <c r="BL140" i="3"/>
  <c r="AZ140" i="3"/>
  <c r="G141" i="3"/>
  <c r="BA143" i="3"/>
  <c r="AZ143" i="3"/>
  <c r="BL144" i="3"/>
  <c r="G145" i="3"/>
  <c r="BA147" i="3"/>
  <c r="AZ147" i="3"/>
  <c r="BL148" i="3"/>
  <c r="G149" i="3"/>
  <c r="BA151" i="3"/>
  <c r="AZ151" i="3"/>
  <c r="BL152" i="3"/>
  <c r="AZ152" i="3"/>
  <c r="G153" i="3"/>
  <c r="BA155" i="3"/>
  <c r="BL156" i="3"/>
  <c r="G157" i="3"/>
  <c r="BA159" i="3"/>
  <c r="AZ159" i="3"/>
  <c r="BL160" i="3"/>
  <c r="G161" i="3"/>
  <c r="BA163" i="3"/>
  <c r="BL164" i="3"/>
  <c r="AZ164" i="3"/>
  <c r="G165" i="3"/>
  <c r="BA167" i="3"/>
  <c r="BL168" i="3"/>
  <c r="G169" i="3"/>
  <c r="BA171" i="3"/>
  <c r="AZ171" i="3"/>
  <c r="BL172" i="3"/>
  <c r="AZ172" i="3"/>
  <c r="G173" i="3"/>
  <c r="BA175" i="3"/>
  <c r="AZ175" i="3"/>
  <c r="BL176" i="3"/>
  <c r="AZ176" i="3"/>
  <c r="G177" i="3"/>
  <c r="BA179" i="3"/>
  <c r="AZ179" i="3"/>
  <c r="BL180" i="3"/>
  <c r="G181" i="3"/>
  <c r="BA183" i="3"/>
  <c r="AZ183" i="3"/>
  <c r="BL184" i="3"/>
  <c r="AZ184" i="3"/>
  <c r="G185" i="3"/>
  <c r="BA187" i="3"/>
  <c r="BL188" i="3"/>
  <c r="AZ188" i="3"/>
  <c r="G189" i="3"/>
  <c r="BA191" i="3"/>
  <c r="AZ191" i="3"/>
  <c r="BL192" i="3"/>
  <c r="G193" i="3"/>
  <c r="BA195" i="3"/>
  <c r="BL196" i="3"/>
  <c r="AZ196" i="3"/>
  <c r="G197" i="3"/>
  <c r="BA199" i="3"/>
  <c r="AZ199" i="3"/>
  <c r="BL200" i="3"/>
  <c r="G201" i="3"/>
  <c r="BA203" i="3"/>
  <c r="AZ203" i="3"/>
  <c r="BL204" i="3"/>
  <c r="AZ204" i="3"/>
  <c r="AZ39" i="3"/>
  <c r="AZ51" i="3"/>
  <c r="AZ55" i="3"/>
  <c r="AZ59" i="3"/>
  <c r="AZ63" i="3"/>
  <c r="AZ67" i="3"/>
  <c r="AZ71" i="3"/>
  <c r="AZ75" i="3"/>
  <c r="AZ79" i="3"/>
  <c r="AZ83" i="3"/>
  <c r="AZ136" i="3"/>
  <c r="AZ144" i="3"/>
  <c r="AZ85" i="3"/>
  <c r="AZ89" i="3"/>
  <c r="AZ93" i="3"/>
  <c r="AZ97" i="3"/>
  <c r="AZ101" i="3"/>
  <c r="AZ105" i="3"/>
  <c r="AZ109" i="3"/>
  <c r="AZ120" i="3"/>
  <c r="AZ128" i="3"/>
  <c r="G534" i="3"/>
  <c r="G530" i="3"/>
  <c r="G522" i="3"/>
  <c r="G516" i="3"/>
  <c r="G512" i="3"/>
  <c r="G506" i="3"/>
  <c r="G498" i="3"/>
  <c r="G494" i="3"/>
  <c r="G16" i="3"/>
  <c r="BA304" i="3"/>
  <c r="AZ304" i="3"/>
  <c r="BA305" i="3"/>
  <c r="AZ305" i="3"/>
  <c r="BL305" i="3"/>
  <c r="G306" i="3"/>
  <c r="G309" i="3"/>
  <c r="BL310" i="3"/>
  <c r="BA312" i="3"/>
  <c r="AZ312" i="3"/>
  <c r="BA313" i="3"/>
  <c r="AZ313" i="3"/>
  <c r="BL313" i="3"/>
  <c r="G314" i="3"/>
  <c r="G317" i="3"/>
  <c r="BL318" i="3"/>
  <c r="BA320" i="3"/>
  <c r="BA321" i="3"/>
  <c r="AZ321" i="3"/>
  <c r="BL321" i="3"/>
  <c r="G322" i="3"/>
  <c r="G325" i="3"/>
  <c r="BL326" i="3"/>
  <c r="BA328" i="3"/>
  <c r="AZ328" i="3"/>
  <c r="BA329" i="3"/>
  <c r="AZ329" i="3"/>
  <c r="BL329" i="3"/>
  <c r="G330" i="3"/>
  <c r="G333" i="3"/>
  <c r="BL334" i="3"/>
  <c r="AZ334" i="3"/>
  <c r="BA336" i="3"/>
  <c r="AZ336" i="3"/>
  <c r="BA337" i="3"/>
  <c r="AZ337" i="3"/>
  <c r="BL337" i="3"/>
  <c r="G338" i="3"/>
  <c r="G341" i="3"/>
  <c r="BA342" i="3"/>
  <c r="AZ342" i="3"/>
  <c r="BL342" i="3"/>
  <c r="BA344" i="3"/>
  <c r="AZ344" i="3"/>
  <c r="BL344" i="3"/>
  <c r="BA346" i="3"/>
  <c r="AZ346" i="3"/>
  <c r="BA347" i="3"/>
  <c r="AZ347" i="3"/>
  <c r="BL347" i="3"/>
  <c r="G350" i="3"/>
  <c r="BA351" i="3"/>
  <c r="AZ351" i="3"/>
  <c r="BL351" i="3"/>
  <c r="G352" i="3"/>
  <c r="G354" i="3"/>
  <c r="BA355" i="3"/>
  <c r="AZ355" i="3"/>
  <c r="BA356" i="3"/>
  <c r="AZ356" i="3"/>
  <c r="BL356" i="3"/>
  <c r="G357" i="3"/>
  <c r="G360" i="3"/>
  <c r="BL361" i="3"/>
  <c r="BA363" i="3"/>
  <c r="AZ363" i="3"/>
  <c r="BA364" i="3"/>
  <c r="BL364" i="3"/>
  <c r="AZ364" i="3"/>
  <c r="G365" i="3"/>
  <c r="G368" i="3"/>
  <c r="BL369" i="3"/>
  <c r="BA371" i="3"/>
  <c r="AZ371" i="3"/>
  <c r="BA372" i="3"/>
  <c r="BL372" i="3"/>
  <c r="AZ372" i="3"/>
  <c r="G373" i="3"/>
  <c r="G376" i="3"/>
  <c r="BL377" i="3"/>
  <c r="BL379" i="3"/>
  <c r="BA381" i="3"/>
  <c r="AZ381" i="3"/>
  <c r="BA382" i="3"/>
  <c r="BL382" i="3"/>
  <c r="AZ382" i="3"/>
  <c r="G383" i="3"/>
  <c r="G386" i="3"/>
  <c r="BL387" i="3"/>
  <c r="BA389" i="3"/>
  <c r="AZ389" i="3"/>
  <c r="BA390" i="3"/>
  <c r="BL390" i="3"/>
  <c r="AZ390" i="3"/>
  <c r="G391" i="3"/>
  <c r="G394" i="3"/>
  <c r="AZ146" i="3"/>
  <c r="AZ150" i="3"/>
  <c r="AZ170" i="3"/>
  <c r="AZ174" i="3"/>
  <c r="AZ182" i="3"/>
  <c r="AZ190" i="3"/>
  <c r="AZ194" i="3"/>
  <c r="AZ202"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BL335" i="3"/>
  <c r="AZ335" i="3"/>
  <c r="G336" i="3"/>
  <c r="BA338" i="3"/>
  <c r="BL339" i="3"/>
  <c r="AZ339" i="3"/>
  <c r="G340" i="3"/>
  <c r="BL343" i="3"/>
  <c r="AZ343" i="3"/>
  <c r="G344" i="3"/>
  <c r="G348" i="3"/>
  <c r="G355" i="3"/>
  <c r="AZ209" i="3"/>
  <c r="AZ214" i="3"/>
  <c r="AZ218" i="3"/>
  <c r="AZ222"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33" i="3"/>
  <c r="AZ245" i="3"/>
  <c r="AZ249" i="3"/>
  <c r="AZ253" i="3"/>
  <c r="AZ257" i="3"/>
  <c r="AZ265" i="3"/>
  <c r="AZ273" i="3"/>
  <c r="AZ370" i="3"/>
  <c r="BA379" i="3"/>
  <c r="AZ379" i="3"/>
  <c r="BL380" i="3"/>
  <c r="AZ380" i="3"/>
  <c r="G381" i="3"/>
  <c r="BA383" i="3"/>
  <c r="AZ383" i="3"/>
  <c r="BL384" i="3"/>
  <c r="G385" i="3"/>
  <c r="BA387" i="3"/>
  <c r="AZ387" i="3"/>
  <c r="BL388" i="3"/>
  <c r="G389" i="3"/>
  <c r="BA391" i="3"/>
  <c r="AZ391" i="3"/>
  <c r="BL392" i="3"/>
  <c r="G393" i="3"/>
  <c r="AZ263" i="3"/>
  <c r="AZ275" i="3"/>
  <c r="AZ283" i="3"/>
  <c r="AZ287" i="3"/>
  <c r="AZ291" i="3"/>
  <c r="AZ295" i="3"/>
  <c r="AZ299" i="3"/>
  <c r="BO5" i="3"/>
  <c r="BM5" i="3"/>
  <c r="BJ5" i="3"/>
  <c r="BH5" i="3"/>
  <c r="BF5" i="3"/>
  <c r="AZ325" i="3"/>
  <c r="AZ333" i="3"/>
  <c r="AZ549" i="3"/>
  <c r="AZ506" i="3"/>
  <c r="G548" i="3"/>
  <c r="G538" i="3"/>
  <c r="G520" i="3"/>
  <c r="G502" i="3"/>
  <c r="BS5" i="3"/>
  <c r="BP5" i="3"/>
  <c r="BN5" i="3"/>
  <c r="BK5" i="3"/>
  <c r="BI5" i="3"/>
  <c r="BG5" i="3"/>
  <c r="BE5" i="3"/>
  <c r="BC5" i="3"/>
  <c r="G17" i="3"/>
  <c r="BA17" i="3"/>
  <c r="BT5" i="3"/>
  <c r="AZ350" i="3"/>
  <c r="AZ352" i="3"/>
  <c r="AZ368" i="3"/>
  <c r="BR5" i="3"/>
  <c r="AZ384" i="3"/>
  <c r="AZ388" i="3"/>
  <c r="AZ392" i="3"/>
  <c r="AZ396" i="3"/>
  <c r="AZ394" i="3"/>
  <c r="AZ499" i="3"/>
  <c r="AZ509" i="3"/>
  <c r="G509" i="3"/>
  <c r="BL493" i="3"/>
  <c r="AZ493" i="3"/>
  <c r="U36" i="40"/>
  <c r="F36" i="43"/>
  <c r="F81" i="43"/>
  <c r="H83" i="43"/>
  <c r="H113" i="43"/>
  <c r="F48" i="43"/>
  <c r="H52" i="43"/>
  <c r="F70" i="43"/>
  <c r="H73" i="43"/>
  <c r="M11" i="43"/>
  <c r="D17" i="43"/>
  <c r="F39" i="43"/>
  <c r="I17" i="43"/>
  <c r="F35" i="43"/>
  <c r="J17" i="43"/>
  <c r="F6" i="1"/>
  <c r="S14" i="35"/>
  <c r="U10" i="2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J23" i="39"/>
  <c r="AC23" i="39"/>
  <c r="AZ353" i="3"/>
  <c r="AZ354" i="3"/>
  <c r="AZ386" i="3"/>
  <c r="C40" i="11"/>
  <c r="AZ223" i="3"/>
  <c r="AZ227" i="3"/>
  <c r="AZ232" i="3"/>
  <c r="AZ235" i="3"/>
  <c r="AZ240" i="3"/>
  <c r="AZ243" i="3"/>
  <c r="AZ248" i="3"/>
  <c r="AZ251" i="3"/>
  <c r="AZ256" i="3"/>
  <c r="AZ259" i="3"/>
  <c r="AZ268" i="3"/>
  <c r="AZ271" i="3"/>
  <c r="AZ280" i="3"/>
  <c r="AZ288" i="3"/>
  <c r="AZ117" i="3"/>
  <c r="AZ130" i="3"/>
  <c r="AZ37" i="3"/>
  <c r="AZ42" i="3"/>
  <c r="AZ45" i="3"/>
  <c r="AZ53" i="3"/>
  <c r="AZ58" i="3"/>
  <c r="AZ61" i="3"/>
  <c r="AZ66" i="3"/>
  <c r="AZ69" i="3"/>
  <c r="AZ72" i="3"/>
  <c r="AZ74" i="3"/>
  <c r="AZ77" i="3"/>
  <c r="AZ82" i="3"/>
  <c r="AZ86" i="3"/>
  <c r="AZ94" i="3"/>
  <c r="AZ102" i="3"/>
  <c r="AZ110" i="3"/>
  <c r="I20" i="43"/>
  <c r="F23" i="39"/>
  <c r="AA23" i="39"/>
  <c r="H27" i="36"/>
  <c r="U27" i="36"/>
  <c r="F27" i="36"/>
  <c r="AA27" i="36"/>
  <c r="H33" i="34"/>
  <c r="U33" i="34"/>
  <c r="F32" i="37"/>
  <c r="S32" i="37"/>
  <c r="AA32" i="37"/>
  <c r="G96" i="37"/>
  <c r="H96" i="37"/>
  <c r="I96" i="37"/>
  <c r="J96" i="37"/>
  <c r="K96" i="37"/>
  <c r="L96" i="37"/>
  <c r="M96" i="37"/>
  <c r="F20" i="36"/>
  <c r="AA20" i="36"/>
  <c r="J33" i="34"/>
  <c r="AC33" i="34"/>
  <c r="H23" i="39"/>
  <c r="U23" i="39"/>
  <c r="D48" i="9"/>
  <c r="M52" i="9"/>
  <c r="H86" i="43"/>
  <c r="H82" i="43"/>
  <c r="H87" i="43"/>
  <c r="K9" i="1"/>
  <c r="M9" i="1" s="1"/>
  <c r="O9" i="1" s="1"/>
  <c r="P9" i="1" s="1"/>
  <c r="D93" i="9"/>
  <c r="K6" i="1"/>
  <c r="M6" i="1" s="1"/>
  <c r="AC26" i="33"/>
  <c r="W26" i="33"/>
  <c r="W27" i="34"/>
  <c r="AC27" i="34"/>
  <c r="AB34" i="36"/>
  <c r="U34" i="36"/>
  <c r="AB33" i="36"/>
  <c r="U33" i="36"/>
  <c r="AC12" i="39"/>
  <c r="W12" i="39"/>
  <c r="AC39" i="40"/>
  <c r="W39" i="40"/>
  <c r="AZ401" i="3"/>
  <c r="AZ412" i="3"/>
  <c r="AZ417" i="3"/>
  <c r="AZ428" i="3"/>
  <c r="W12" i="33"/>
  <c r="AC12" i="33"/>
  <c r="AA32" i="36"/>
  <c r="S32" i="36"/>
  <c r="AZ551" i="3"/>
  <c r="AZ550" i="3"/>
  <c r="AZ408" i="3"/>
  <c r="AZ437" i="3"/>
  <c r="AZ441" i="3"/>
  <c r="AZ457" i="3"/>
  <c r="AZ490" i="3"/>
  <c r="AA39" i="34"/>
  <c r="BL14" i="3"/>
  <c r="AZ266" i="3"/>
  <c r="U30" i="33"/>
  <c r="AC13" i="34"/>
  <c r="AA47" i="34"/>
  <c r="W28" i="37"/>
  <c r="S19" i="39"/>
  <c r="F12" i="33"/>
  <c r="H12" i="39"/>
  <c r="AB12" i="39"/>
  <c r="F39" i="40"/>
  <c r="BA14" i="3"/>
  <c r="AZ14" i="3" s="1"/>
  <c r="AZ367" i="3"/>
  <c r="AZ213" i="3"/>
  <c r="AZ238" i="3"/>
  <c r="AZ250" i="3"/>
  <c r="AZ254" i="3"/>
  <c r="AZ281" i="3"/>
  <c r="AZ286" i="3"/>
  <c r="AZ297" i="3"/>
  <c r="AZ157" i="3"/>
  <c r="AZ165" i="3"/>
  <c r="AZ173" i="3"/>
  <c r="AZ197" i="3"/>
  <c r="AZ35" i="3"/>
  <c r="AZ41" i="3"/>
  <c r="S12" i="1"/>
  <c r="R12" i="1"/>
  <c r="B12" i="1"/>
  <c r="E12" i="1"/>
  <c r="S10" i="1"/>
  <c r="AR10" i="1" s="1"/>
  <c r="R10" i="1"/>
  <c r="B10" i="1"/>
  <c r="E10" i="1"/>
  <c r="D1" i="66"/>
  <c r="E10" i="66"/>
  <c r="AZ80" i="3"/>
  <c r="AZ84" i="3"/>
  <c r="AZ88" i="3"/>
  <c r="AZ107" i="3"/>
  <c r="AZ111" i="3"/>
  <c r="K12" i="1"/>
  <c r="M12" i="1" s="1"/>
  <c r="O12" i="1" s="1"/>
  <c r="S13" i="1"/>
  <c r="T13" i="1" s="1"/>
  <c r="R13" i="1"/>
  <c r="S11" i="1"/>
  <c r="R11" i="1"/>
  <c r="J51" i="67"/>
  <c r="C42" i="1"/>
  <c r="H100" i="43"/>
  <c r="C30" i="66"/>
  <c r="E26" i="66"/>
  <c r="AC34" i="33"/>
  <c r="AA34" i="33"/>
  <c r="B41" i="1"/>
  <c r="F53" i="9"/>
  <c r="S22" i="31"/>
  <c r="J100" i="43"/>
  <c r="AB37" i="40"/>
  <c r="S35" i="40"/>
  <c r="U35" i="40"/>
  <c r="AC36" i="40"/>
  <c r="W38" i="40"/>
  <c r="AA32" i="40"/>
  <c r="S17" i="40"/>
  <c r="S23" i="40"/>
  <c r="AC17" i="40"/>
  <c r="AC15" i="40"/>
  <c r="AB27" i="40"/>
  <c r="S30" i="40"/>
  <c r="S28" i="40"/>
  <c r="AA27" i="40"/>
  <c r="U21" i="40"/>
  <c r="W42" i="39"/>
  <c r="U37" i="39"/>
  <c r="W39" i="39"/>
  <c r="S43" i="39"/>
  <c r="S37" i="39"/>
  <c r="U25" i="39"/>
  <c r="AB27" i="39"/>
  <c r="S25" i="39"/>
  <c r="W19" i="39"/>
  <c r="U19" i="39"/>
  <c r="S9" i="39"/>
  <c r="U14" i="39"/>
  <c r="AC13" i="39"/>
  <c r="S23" i="36"/>
  <c r="U13" i="36"/>
  <c r="AC27" i="36"/>
  <c r="AB27" i="36"/>
  <c r="U26" i="36"/>
  <c r="S33" i="36"/>
  <c r="S27" i="36"/>
  <c r="AA26" i="36"/>
  <c r="AA34" i="36"/>
  <c r="S29" i="36"/>
  <c r="AC26" i="36"/>
  <c r="AA22" i="36"/>
  <c r="W14" i="36"/>
  <c r="AB14" i="36"/>
  <c r="U22" i="36"/>
  <c r="S16" i="36"/>
  <c r="AA25" i="36"/>
  <c r="S24" i="36"/>
  <c r="U24" i="36"/>
  <c r="U23" i="36"/>
  <c r="U16" i="36"/>
  <c r="S14" i="36"/>
  <c r="U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AC26" i="35"/>
  <c r="H26" i="35"/>
  <c r="AB40" i="37"/>
  <c r="S25" i="37"/>
  <c r="W27" i="37"/>
  <c r="AC9" i="37"/>
  <c r="AC29" i="37"/>
  <c r="U29" i="37"/>
  <c r="AB31" i="37"/>
  <c r="W30" i="37"/>
  <c r="S36" i="37"/>
  <c r="AA38" i="37"/>
  <c r="U32" i="37"/>
  <c r="W38" i="37"/>
  <c r="AC35" i="37"/>
  <c r="W39" i="37"/>
  <c r="S30" i="37"/>
  <c r="S37" i="37"/>
  <c r="AC15" i="37"/>
  <c r="J17" i="37"/>
  <c r="W17" i="37"/>
  <c r="G73" i="37"/>
  <c r="F17" i="37"/>
  <c r="AA17" i="37"/>
  <c r="AB17" i="37"/>
  <c r="F75" i="37"/>
  <c r="F19" i="37"/>
  <c r="S19" i="37"/>
  <c r="F79" i="37"/>
  <c r="F23" i="37"/>
  <c r="S23" i="37"/>
  <c r="U23" i="37"/>
  <c r="U15" i="37"/>
  <c r="AC13" i="37"/>
  <c r="U9" i="37"/>
  <c r="AA13" i="37"/>
  <c r="AA12" i="37"/>
  <c r="AA9" i="37"/>
  <c r="H10" i="37"/>
  <c r="AB10" i="37"/>
  <c r="H60" i="37"/>
  <c r="F63" i="37"/>
  <c r="F11" i="37"/>
  <c r="AA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I67" i="34"/>
  <c r="H10" i="34"/>
  <c r="F11" i="34"/>
  <c r="S11" i="34"/>
  <c r="F70" i="34"/>
  <c r="W42" i="33"/>
  <c r="AA35" i="33"/>
  <c r="S27" i="33"/>
  <c r="S32" i="33"/>
  <c r="AA29" i="33"/>
  <c r="AB29" i="33"/>
  <c r="W38" i="33"/>
  <c r="H41" i="33"/>
  <c r="AB41" i="33"/>
  <c r="F121" i="33"/>
  <c r="G121" i="33"/>
  <c r="H121" i="33"/>
  <c r="I121" i="33"/>
  <c r="J121" i="33"/>
  <c r="K121" i="33"/>
  <c r="L121" i="33"/>
  <c r="M121" i="33"/>
  <c r="U42" i="33"/>
  <c r="S42" i="33"/>
  <c r="F36" i="33"/>
  <c r="S36" i="33"/>
  <c r="G111" i="33"/>
  <c r="H111" i="33"/>
  <c r="I111" i="33"/>
  <c r="J111" i="33"/>
  <c r="K111" i="33"/>
  <c r="L111" i="33"/>
  <c r="M111" i="33"/>
  <c r="G108" i="33"/>
  <c r="H108" i="33"/>
  <c r="I108" i="33"/>
  <c r="J108" i="33"/>
  <c r="K108" i="33"/>
  <c r="L108" i="33"/>
  <c r="M108" i="33"/>
  <c r="J35" i="33"/>
  <c r="AC35" i="33"/>
  <c r="S37" i="33"/>
  <c r="AA37" i="33"/>
  <c r="S39" i="33"/>
  <c r="F101" i="33"/>
  <c r="G101" i="33"/>
  <c r="H101" i="33"/>
  <c r="I101" i="33"/>
  <c r="J101" i="33"/>
  <c r="K101" i="33"/>
  <c r="L101" i="33"/>
  <c r="M101" i="33"/>
  <c r="J32" i="33"/>
  <c r="W32" i="33"/>
  <c r="S46" i="33"/>
  <c r="W43" i="33"/>
  <c r="S43" i="33"/>
  <c r="F91" i="33"/>
  <c r="H27" i="33"/>
  <c r="F87" i="33"/>
  <c r="H25" i="33"/>
  <c r="AB25" i="33"/>
  <c r="F25" i="33"/>
  <c r="S25" i="33"/>
  <c r="J23" i="33"/>
  <c r="F85" i="33"/>
  <c r="H23" i="33"/>
  <c r="U23" i="33"/>
  <c r="F81" i="33"/>
  <c r="F19" i="33"/>
  <c r="S19" i="33"/>
  <c r="W19" i="33"/>
  <c r="J17" i="33"/>
  <c r="AC17" i="33"/>
  <c r="F79" i="33"/>
  <c r="S15" i="33"/>
  <c r="W15" i="33"/>
  <c r="U9" i="33"/>
  <c r="I66" i="33"/>
  <c r="J10" i="33"/>
  <c r="W10" i="33"/>
  <c r="H10" i="33"/>
  <c r="U10" i="33"/>
  <c r="AA10" i="33"/>
  <c r="AC11" i="33"/>
  <c r="AB14" i="33"/>
  <c r="W43" i="21"/>
  <c r="W36" i="21"/>
  <c r="W41" i="21"/>
  <c r="AA38" i="21"/>
  <c r="AA36" i="21"/>
  <c r="F23" i="21"/>
  <c r="S23" i="21"/>
  <c r="E85" i="21"/>
  <c r="AA14" i="21"/>
  <c r="AB8" i="21"/>
  <c r="S8" i="21"/>
  <c r="M3" i="43"/>
  <c r="M1" i="43"/>
  <c r="N8" i="43"/>
  <c r="D120" i="9"/>
  <c r="C18" i="9"/>
  <c r="D18" i="9"/>
  <c r="F34" i="67"/>
  <c r="F62" i="67"/>
  <c r="M20" i="67"/>
  <c r="F34" i="15"/>
  <c r="F62" i="15"/>
  <c r="G13" i="3"/>
  <c r="BL17" i="3"/>
  <c r="AZ17" i="3"/>
  <c r="BL13" i="3"/>
  <c r="J56" i="9"/>
  <c r="J57" i="9"/>
  <c r="A24" i="51"/>
  <c r="B18" i="72"/>
  <c r="U29" i="34"/>
  <c r="E32" i="6"/>
  <c r="L19" i="6"/>
  <c r="G1" i="68"/>
  <c r="E19" i="69"/>
  <c r="E1" i="73"/>
  <c r="G41" i="69"/>
  <c r="G22" i="69"/>
  <c r="G41" i="68"/>
  <c r="G22" i="68"/>
  <c r="G27" i="12"/>
  <c r="G26" i="12"/>
  <c r="G41" i="11"/>
  <c r="G22" i="11"/>
  <c r="G25" i="12"/>
  <c r="C100" i="43"/>
  <c r="E11" i="43"/>
  <c r="E10" i="43"/>
  <c r="E9" i="43"/>
  <c r="E8" i="43"/>
  <c r="C7" i="43"/>
  <c r="E81" i="43"/>
  <c r="B79" i="43"/>
  <c r="E48" i="43"/>
  <c r="B46" i="43"/>
  <c r="E70" i="43"/>
  <c r="B68" i="43"/>
  <c r="F100" i="43"/>
  <c r="H17" i="43"/>
  <c r="G17" i="43"/>
  <c r="C16" i="43"/>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C7" i="21"/>
  <c r="C58" i="21"/>
  <c r="C7" i="40"/>
  <c r="C63" i="40"/>
  <c r="M47" i="9"/>
  <c r="G19" i="43"/>
  <c r="O19" i="43"/>
  <c r="C19" i="43"/>
  <c r="T35" i="4"/>
  <c r="A19" i="51"/>
  <c r="B14" i="72"/>
  <c r="C46" i="36"/>
  <c r="D46" i="36"/>
  <c r="C59" i="34"/>
  <c r="D59" i="34"/>
  <c r="E59" i="34"/>
  <c r="F59" i="34"/>
  <c r="G59" i="34"/>
  <c r="H59" i="34"/>
  <c r="C52" i="37"/>
  <c r="D52" i="37"/>
  <c r="C48" i="35"/>
  <c r="D48" i="35"/>
  <c r="H66" i="43"/>
  <c r="H65" i="43"/>
  <c r="H64" i="43"/>
  <c r="H63" i="43"/>
  <c r="H55" i="43"/>
  <c r="H56" i="43"/>
  <c r="H72" i="43"/>
  <c r="L20" i="6"/>
  <c r="K11" i="1"/>
  <c r="B9" i="1"/>
  <c r="E9" i="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25" i="39"/>
  <c r="U13" i="39"/>
  <c r="AB13" i="39"/>
  <c r="AA13" i="39"/>
  <c r="S13" i="39"/>
  <c r="S14" i="39"/>
  <c r="AA14" i="39"/>
  <c r="U43" i="39"/>
  <c r="AB43" i="39"/>
  <c r="AA27"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A26" i="21"/>
  <c r="AB14" i="21"/>
  <c r="AB46" i="21"/>
  <c r="U40" i="21"/>
  <c r="U13" i="21"/>
  <c r="AB13" i="21"/>
  <c r="W8" i="21"/>
  <c r="AC19" i="21"/>
  <c r="AC14" i="21"/>
  <c r="W30" i="21"/>
  <c r="S46" i="21"/>
  <c r="H45" i="21"/>
  <c r="U45" i="21"/>
  <c r="F29" i="21"/>
  <c r="S29" i="21"/>
  <c r="F13" i="21"/>
  <c r="AA13" i="21"/>
  <c r="H9" i="21"/>
  <c r="AB9" i="21"/>
  <c r="J9" i="21"/>
  <c r="AC9" i="21"/>
  <c r="AA31" i="21"/>
  <c r="S9" i="21"/>
  <c r="K141" i="21"/>
  <c r="K144" i="21"/>
  <c r="K143" i="21"/>
  <c r="U27" i="21"/>
  <c r="AB25" i="21"/>
  <c r="AB44" i="21"/>
  <c r="AA30" i="21"/>
  <c r="W13" i="21"/>
  <c r="AC45" i="21"/>
  <c r="F10" i="21"/>
  <c r="S10" i="21"/>
  <c r="K145" i="21"/>
  <c r="W25" i="21"/>
  <c r="AC26" i="21"/>
  <c r="AB29" i="21"/>
  <c r="W10" i="21"/>
  <c r="AB36" i="21"/>
  <c r="W30" i="40"/>
  <c r="C19" i="39"/>
  <c r="C15" i="40"/>
  <c r="C17" i="40"/>
  <c r="C23" i="40"/>
  <c r="C21" i="40"/>
  <c r="U30" i="40"/>
  <c r="B54" i="43"/>
  <c r="B65" i="43"/>
  <c r="B49" i="43"/>
  <c r="B52" i="43"/>
  <c r="B56" i="43"/>
  <c r="B60" i="43"/>
  <c r="B63" i="43"/>
  <c r="B67" i="43"/>
  <c r="D23" i="15"/>
  <c r="D22" i="15"/>
  <c r="F30" i="11"/>
  <c r="C48" i="11"/>
  <c r="E7" i="70"/>
  <c r="AA39" i="40"/>
  <c r="S39" i="40"/>
  <c r="S12" i="33"/>
  <c r="AA12" i="33"/>
  <c r="S26" i="35"/>
  <c r="U9" i="35"/>
  <c r="AB9" i="35"/>
  <c r="AA9" i="35"/>
  <c r="S9" i="35"/>
  <c r="W26" i="35"/>
  <c r="AB26" i="35"/>
  <c r="U26" i="35"/>
  <c r="AC17" i="37"/>
  <c r="J19" i="37"/>
  <c r="W19" i="37"/>
  <c r="G75" i="37"/>
  <c r="AA23" i="37"/>
  <c r="J23" i="37"/>
  <c r="AC23" i="37"/>
  <c r="G79" i="37"/>
  <c r="J10" i="37"/>
  <c r="I60" i="37"/>
  <c r="G63" i="37"/>
  <c r="H63" i="37"/>
  <c r="I63" i="37"/>
  <c r="J63" i="37"/>
  <c r="K63" i="37"/>
  <c r="L63" i="37"/>
  <c r="M63" i="37"/>
  <c r="H11" i="37"/>
  <c r="U10" i="37"/>
  <c r="G70" i="34"/>
  <c r="H11" i="34"/>
  <c r="AB10" i="34"/>
  <c r="U10" i="34"/>
  <c r="J10" i="34"/>
  <c r="AC10" i="34"/>
  <c r="U41" i="33"/>
  <c r="W35" i="33"/>
  <c r="J36" i="33"/>
  <c r="AC36" i="33"/>
  <c r="H36" i="33"/>
  <c r="AA36" i="33"/>
  <c r="AC32" i="33"/>
  <c r="U27" i="33"/>
  <c r="AB27" i="33"/>
  <c r="G91" i="33"/>
  <c r="H91" i="33"/>
  <c r="I91" i="33"/>
  <c r="J91" i="33"/>
  <c r="K91" i="33"/>
  <c r="L91" i="33"/>
  <c r="M91" i="33"/>
  <c r="J27" i="33"/>
  <c r="U25" i="33"/>
  <c r="AA25" i="33"/>
  <c r="G87" i="33"/>
  <c r="H87" i="33"/>
  <c r="I87" i="33"/>
  <c r="J87" i="33"/>
  <c r="K87" i="33"/>
  <c r="L87" i="33"/>
  <c r="M87" i="33"/>
  <c r="J25" i="33"/>
  <c r="W25" i="33"/>
  <c r="AB23" i="33"/>
  <c r="F23" i="33"/>
  <c r="G85" i="33"/>
  <c r="AC23" i="33"/>
  <c r="W23" i="33"/>
  <c r="AA19" i="33"/>
  <c r="H19" i="33"/>
  <c r="AB19" i="33"/>
  <c r="G81" i="33"/>
  <c r="G79" i="33"/>
  <c r="H17" i="33"/>
  <c r="U17" i="33"/>
  <c r="F17" i="33"/>
  <c r="AA17" i="33"/>
  <c r="W17" i="33"/>
  <c r="AB10" i="33"/>
  <c r="AC10" i="33"/>
  <c r="AA23" i="21"/>
  <c r="J23" i="21"/>
  <c r="F85" i="21"/>
  <c r="G85" i="21"/>
  <c r="H23" i="21"/>
  <c r="AB23" i="21"/>
  <c r="S13" i="21"/>
  <c r="D6" i="52"/>
  <c r="D121" i="9"/>
  <c r="D7" i="52"/>
  <c r="K120" i="9"/>
  <c r="J59" i="9"/>
  <c r="J61" i="9"/>
  <c r="R22" i="31"/>
  <c r="A18" i="62"/>
  <c r="B64" i="72"/>
  <c r="AB11" i="37"/>
  <c r="U11" i="37"/>
  <c r="J11" i="37"/>
  <c r="W10" i="37"/>
  <c r="AC10" i="37"/>
  <c r="U11" i="34"/>
  <c r="AB11" i="34"/>
  <c r="H70" i="34"/>
  <c r="I70" i="34"/>
  <c r="J70" i="34"/>
  <c r="K70" i="34"/>
  <c r="L70" i="34"/>
  <c r="M70" i="34"/>
  <c r="J11" i="34"/>
  <c r="W36" i="33"/>
  <c r="U36" i="33"/>
  <c r="AB36" i="33"/>
  <c r="W27" i="33"/>
  <c r="AC27" i="33"/>
  <c r="AA23" i="33"/>
  <c r="S23" i="33"/>
  <c r="S17" i="33"/>
  <c r="AC23" i="21"/>
  <c r="W23" i="21"/>
  <c r="AC11" i="37"/>
  <c r="W11" i="37"/>
  <c r="W11" i="34"/>
  <c r="AC11" i="34"/>
  <c r="AE7" i="1"/>
  <c r="AE8" i="1"/>
  <c r="AG6" i="1"/>
  <c r="H109" i="9"/>
  <c r="H110" i="9"/>
  <c r="D18" i="53"/>
  <c r="B35" i="72" s="1"/>
  <c r="H112" i="9"/>
  <c r="D21" i="53"/>
  <c r="B39" i="72"/>
  <c r="H111" i="9"/>
  <c r="D126" i="9"/>
  <c r="I14" i="74"/>
  <c r="B8" i="74"/>
  <c r="D19" i="53"/>
  <c r="B38" i="72"/>
  <c r="D59" i="9"/>
  <c r="M55" i="9"/>
  <c r="D20" i="53"/>
  <c r="B40" i="72"/>
  <c r="AD3" i="71"/>
  <c r="J1" i="73"/>
  <c r="C77" i="9"/>
  <c r="C74" i="9"/>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E68" i="39"/>
  <c r="D58" i="21"/>
  <c r="E58" i="21"/>
  <c r="AB12" i="71"/>
  <c r="X10" i="71"/>
  <c r="X9" i="71"/>
  <c r="AA10" i="71"/>
  <c r="AA9" i="71"/>
  <c r="X13" i="71"/>
  <c r="Y9" i="71"/>
  <c r="Z9" i="71"/>
  <c r="AB10" i="71"/>
  <c r="AB9" i="71"/>
  <c r="F11" i="71"/>
  <c r="F10" i="71"/>
  <c r="F9" i="71"/>
  <c r="F8" i="71"/>
  <c r="F7" i="71"/>
  <c r="Y10" i="71"/>
  <c r="Z10" i="71"/>
  <c r="X3" i="71"/>
  <c r="E11" i="71"/>
  <c r="E10" i="71"/>
  <c r="E9" i="71"/>
  <c r="E8" i="71"/>
  <c r="E7" i="71"/>
  <c r="E6" i="71"/>
  <c r="G20" i="43"/>
  <c r="F58" i="21"/>
  <c r="G58" i="21"/>
  <c r="H58" i="21"/>
  <c r="D70" i="39"/>
  <c r="E41" i="43"/>
  <c r="C41" i="43"/>
  <c r="I59" i="34"/>
  <c r="J59" i="34"/>
  <c r="K59" i="34"/>
  <c r="S19" i="21"/>
  <c r="E19" i="11"/>
  <c r="AZ585" i="3"/>
  <c r="F68" i="39"/>
  <c r="E70" i="39"/>
  <c r="D9" i="53"/>
  <c r="B25" i="72"/>
  <c r="B24" i="72"/>
  <c r="AB12" i="37"/>
  <c r="U12" i="37"/>
  <c r="BL585" i="3"/>
  <c r="E125" i="21"/>
  <c r="F125" i="21"/>
  <c r="G125" i="21"/>
  <c r="F43" i="21"/>
  <c r="H43" i="21"/>
  <c r="D16" i="53"/>
  <c r="W10" i="34"/>
  <c r="W23" i="37"/>
  <c r="U9" i="21"/>
  <c r="AA19" i="37"/>
  <c r="S17" i="37"/>
  <c r="C20" i="43"/>
  <c r="BQ5" i="3"/>
  <c r="F28" i="6" s="1"/>
  <c r="AA25" i="21"/>
  <c r="AC36" i="34"/>
  <c r="AZ513" i="3"/>
  <c r="AB33" i="35"/>
  <c r="S12" i="36"/>
  <c r="AA12" i="36"/>
  <c r="AB12" i="33"/>
  <c r="AB34" i="21"/>
  <c r="U34" i="21"/>
  <c r="AA12" i="34"/>
  <c r="S12" i="34"/>
  <c r="E5" i="71"/>
  <c r="V6" i="71"/>
  <c r="V10" i="71"/>
  <c r="D124" i="9"/>
  <c r="AB17" i="33"/>
  <c r="U19" i="33"/>
  <c r="AC25" i="33"/>
  <c r="AC19" i="37"/>
  <c r="AB45" i="21"/>
  <c r="AB23" i="39"/>
  <c r="W10" i="36"/>
  <c r="AB20" i="36"/>
  <c r="AA12" i="39"/>
  <c r="AB19" i="40"/>
  <c r="AA19" i="40"/>
  <c r="H75" i="43"/>
  <c r="U14" i="40"/>
  <c r="AZ525" i="3"/>
  <c r="AZ533" i="3"/>
  <c r="AZ541" i="3"/>
  <c r="AZ516" i="3"/>
  <c r="AZ572" i="3"/>
  <c r="U13" i="33"/>
  <c r="W11" i="36"/>
  <c r="U46" i="33"/>
  <c r="S14" i="37"/>
  <c r="S13" i="35"/>
  <c r="U13" i="34"/>
  <c r="U11" i="35"/>
  <c r="AB11" i="35"/>
  <c r="W30" i="34"/>
  <c r="S13" i="33"/>
  <c r="AA13" i="33"/>
  <c r="W28" i="21"/>
  <c r="AC28" i="21"/>
  <c r="AA28" i="34"/>
  <c r="W33" i="36"/>
  <c r="AC33" i="36"/>
  <c r="BL587" i="3"/>
  <c r="S12" i="21"/>
  <c r="AA12" i="21"/>
  <c r="H31" i="21"/>
  <c r="J31" i="21"/>
  <c r="AB14" i="37"/>
  <c r="U14" i="37"/>
  <c r="AC45" i="33"/>
  <c r="S21" i="40"/>
  <c r="AZ571" i="3"/>
  <c r="AZ579" i="3"/>
  <c r="AZ494" i="3"/>
  <c r="AZ568" i="3"/>
  <c r="AC14" i="37"/>
  <c r="W14" i="37"/>
  <c r="AC14" i="39"/>
  <c r="W14" i="39"/>
  <c r="BA587" i="3"/>
  <c r="AZ587" i="3"/>
  <c r="BL586" i="3"/>
  <c r="AZ586" i="3"/>
  <c r="H28" i="21"/>
  <c r="F28" i="21"/>
  <c r="AB12" i="35"/>
  <c r="U12" i="35"/>
  <c r="AA40" i="40"/>
  <c r="S40" i="40"/>
  <c r="W9" i="34"/>
  <c r="U31" i="36"/>
  <c r="H12" i="21"/>
  <c r="H35" i="21"/>
  <c r="G27" i="6"/>
  <c r="J35" i="21"/>
  <c r="F26" i="37"/>
  <c r="J26" i="37"/>
  <c r="H35" i="39"/>
  <c r="H40" i="40"/>
  <c r="G526" i="3"/>
  <c r="AZ425" i="3"/>
  <c r="AZ449" i="3"/>
  <c r="U36" i="39"/>
  <c r="F45" i="21"/>
  <c r="F27" i="21"/>
  <c r="U30" i="35"/>
  <c r="AC8" i="35"/>
  <c r="S38" i="40"/>
  <c r="U38" i="40"/>
  <c r="W22" i="35"/>
  <c r="W28" i="36"/>
  <c r="W8" i="36"/>
  <c r="J12" i="21"/>
  <c r="F35" i="21"/>
  <c r="H38" i="21"/>
  <c r="J38" i="21"/>
  <c r="W38" i="21"/>
  <c r="F81" i="21"/>
  <c r="G81" i="21"/>
  <c r="F9" i="33"/>
  <c r="AC31" i="35"/>
  <c r="F34" i="35"/>
  <c r="J40" i="40"/>
  <c r="G562" i="3"/>
  <c r="AZ406" i="3"/>
  <c r="AZ418" i="3"/>
  <c r="AZ435" i="3"/>
  <c r="G578" i="3"/>
  <c r="AZ400" i="3"/>
  <c r="AZ432" i="3"/>
  <c r="AZ436" i="3"/>
  <c r="AZ475" i="3"/>
  <c r="AZ486" i="3"/>
  <c r="AZ424" i="3"/>
  <c r="AZ450" i="3"/>
  <c r="AZ476" i="3"/>
  <c r="AZ419" i="3"/>
  <c r="AZ420" i="3"/>
  <c r="AZ422" i="3"/>
  <c r="BL440" i="3"/>
  <c r="AZ444" i="3"/>
  <c r="BL452" i="3"/>
  <c r="BA456" i="3"/>
  <c r="AZ456" i="3"/>
  <c r="G460" i="3"/>
  <c r="BL463" i="3"/>
  <c r="BL465" i="3"/>
  <c r="AZ465" i="3"/>
  <c r="G467" i="3"/>
  <c r="BL470" i="3"/>
  <c r="BA473" i="3"/>
  <c r="AZ473" i="3"/>
  <c r="BL477" i="3"/>
  <c r="AZ477" i="3"/>
  <c r="G482" i="3"/>
  <c r="BL484" i="3"/>
  <c r="AZ484" i="3"/>
  <c r="G486" i="3"/>
  <c r="BL489" i="3"/>
  <c r="G492" i="3"/>
  <c r="BL308" i="3"/>
  <c r="AZ308" i="3"/>
  <c r="BA317" i="3"/>
  <c r="AZ317" i="3"/>
  <c r="BL324" i="3"/>
  <c r="AZ324" i="3"/>
  <c r="AZ332" i="3"/>
  <c r="AZ208" i="3"/>
  <c r="AZ221" i="3"/>
  <c r="AZ236" i="3"/>
  <c r="BL402" i="3"/>
  <c r="BA407" i="3"/>
  <c r="AZ407" i="3"/>
  <c r="BA410" i="3"/>
  <c r="AZ410" i="3"/>
  <c r="BL413" i="3"/>
  <c r="BA421" i="3"/>
  <c r="AZ421" i="3"/>
  <c r="BL423" i="3"/>
  <c r="AZ423" i="3"/>
  <c r="G425" i="3"/>
  <c r="BL427" i="3"/>
  <c r="AZ427" i="3"/>
  <c r="AZ440" i="3"/>
  <c r="AZ451" i="3"/>
  <c r="AZ452" i="3"/>
  <c r="AZ454" i="3"/>
  <c r="AZ458" i="3"/>
  <c r="AZ462" i="3"/>
  <c r="AZ463" i="3"/>
  <c r="AZ469" i="3"/>
  <c r="AZ470" i="3"/>
  <c r="AZ489" i="3"/>
  <c r="G15" i="3"/>
  <c r="BA402" i="3"/>
  <c r="AZ402" i="3"/>
  <c r="BL406" i="3"/>
  <c r="BL409" i="3"/>
  <c r="AZ409" i="3"/>
  <c r="BA411" i="3"/>
  <c r="AZ411" i="3"/>
  <c r="BA413" i="3"/>
  <c r="AZ413" i="3"/>
  <c r="BL419" i="3"/>
  <c r="G421" i="3"/>
  <c r="BL424" i="3"/>
  <c r="BL431" i="3"/>
  <c r="AZ431" i="3"/>
  <c r="BL433" i="3"/>
  <c r="AZ433" i="3"/>
  <c r="BL443" i="3"/>
  <c r="AZ443" i="3"/>
  <c r="G445" i="3"/>
  <c r="BL448" i="3"/>
  <c r="AZ448" i="3"/>
  <c r="BA453" i="3"/>
  <c r="AZ453" i="3"/>
  <c r="BL455" i="3"/>
  <c r="AZ455" i="3"/>
  <c r="G457" i="3"/>
  <c r="BA459" i="3"/>
  <c r="AZ459" i="3"/>
  <c r="BA464" i="3"/>
  <c r="AZ464" i="3"/>
  <c r="BA466" i="3"/>
  <c r="AZ466" i="3"/>
  <c r="BA471" i="3"/>
  <c r="AZ471" i="3"/>
  <c r="G474" i="3"/>
  <c r="BL476" i="3"/>
  <c r="BA478" i="3"/>
  <c r="AZ478" i="3"/>
  <c r="BA481" i="3"/>
  <c r="AZ481" i="3"/>
  <c r="BA485" i="3"/>
  <c r="AZ485" i="3"/>
  <c r="BA491" i="3"/>
  <c r="AZ491" i="3"/>
  <c r="BA303" i="3"/>
  <c r="AZ303" i="3"/>
  <c r="BA319" i="3"/>
  <c r="AZ319" i="3"/>
  <c r="AZ212" i="3"/>
  <c r="AZ225" i="3"/>
  <c r="AZ228" i="3"/>
  <c r="AZ262" i="3"/>
  <c r="AZ134" i="3"/>
  <c r="AZ293" i="3"/>
  <c r="AZ301" i="3"/>
  <c r="AZ113" i="3"/>
  <c r="AZ193" i="3"/>
  <c r="D58" i="79"/>
  <c r="E58" i="79"/>
  <c r="F58" i="79"/>
  <c r="G58" i="79"/>
  <c r="H58" i="79"/>
  <c r="I58" i="79"/>
  <c r="J58" i="79"/>
  <c r="K58" i="79"/>
  <c r="L58" i="79"/>
  <c r="M58" i="79"/>
  <c r="N58" i="79"/>
  <c r="O58" i="79"/>
  <c r="F7" i="79"/>
  <c r="J7" i="79"/>
  <c r="H7" i="79"/>
  <c r="BA216" i="3"/>
  <c r="AZ216" i="3"/>
  <c r="BA230" i="3"/>
  <c r="AZ230" i="3"/>
  <c r="BA237" i="3"/>
  <c r="AZ237" i="3"/>
  <c r="BL241" i="3"/>
  <c r="AZ241" i="3"/>
  <c r="AZ244" i="3"/>
  <c r="AZ274" i="3"/>
  <c r="AZ282" i="3"/>
  <c r="AZ289" i="3"/>
  <c r="BL154" i="3"/>
  <c r="BA156" i="3"/>
  <c r="AZ156" i="3"/>
  <c r="BL158" i="3"/>
  <c r="AZ158" i="3"/>
  <c r="BA162" i="3"/>
  <c r="AZ162" i="3"/>
  <c r="BL167" i="3"/>
  <c r="AZ167" i="3"/>
  <c r="BA169" i="3"/>
  <c r="AZ169" i="3"/>
  <c r="G176" i="3"/>
  <c r="BL178" i="3"/>
  <c r="AZ178" i="3"/>
  <c r="BA181" i="3"/>
  <c r="AZ181" i="3"/>
  <c r="BA186" i="3"/>
  <c r="AZ186" i="3"/>
  <c r="BA192" i="3"/>
  <c r="AZ192" i="3"/>
  <c r="BL195" i="3"/>
  <c r="AZ195" i="3"/>
  <c r="G196" i="3"/>
  <c r="BL198" i="3"/>
  <c r="BA200" i="3"/>
  <c r="AZ200" i="3"/>
  <c r="BL207" i="3"/>
  <c r="BL215" i="3"/>
  <c r="AZ215" i="3"/>
  <c r="BA219" i="3"/>
  <c r="AZ219" i="3"/>
  <c r="BA224" i="3"/>
  <c r="AZ224" i="3"/>
  <c r="BL229" i="3"/>
  <c r="AZ229" i="3"/>
  <c r="BL234" i="3"/>
  <c r="AZ234" i="3"/>
  <c r="BL239" i="3"/>
  <c r="BL247" i="3"/>
  <c r="G250" i="3"/>
  <c r="BA252" i="3"/>
  <c r="AZ252" i="3"/>
  <c r="BA261" i="3"/>
  <c r="AZ261" i="3"/>
  <c r="BL264" i="3"/>
  <c r="G267" i="3"/>
  <c r="BA269" i="3"/>
  <c r="AZ269" i="3"/>
  <c r="G272" i="3"/>
  <c r="BL277" i="3"/>
  <c r="BL279" i="3"/>
  <c r="AZ279" i="3"/>
  <c r="BL285" i="3"/>
  <c r="G288" i="3"/>
  <c r="BA290" i="3"/>
  <c r="AZ290" i="3"/>
  <c r="BL292" i="3"/>
  <c r="AZ292" i="3"/>
  <c r="G294" i="3"/>
  <c r="BA296" i="3"/>
  <c r="AZ296" i="3"/>
  <c r="BA298" i="3"/>
  <c r="AZ298" i="3"/>
  <c r="BL300" i="3"/>
  <c r="G302" i="3"/>
  <c r="BA114" i="3"/>
  <c r="AZ114" i="3"/>
  <c r="BL121" i="3"/>
  <c r="AZ121" i="3"/>
  <c r="G123" i="3"/>
  <c r="BA125" i="3"/>
  <c r="AZ125" i="3"/>
  <c r="BL133" i="3"/>
  <c r="BL135" i="3"/>
  <c r="AZ135" i="3"/>
  <c r="BL138" i="3"/>
  <c r="AZ138" i="3"/>
  <c r="BA142" i="3"/>
  <c r="AZ142" i="3"/>
  <c r="BA145" i="3"/>
  <c r="AZ145" i="3"/>
  <c r="BA149" i="3"/>
  <c r="AZ149" i="3"/>
  <c r="BA154" i="3"/>
  <c r="AZ154" i="3"/>
  <c r="BA160" i="3"/>
  <c r="AZ160" i="3"/>
  <c r="G164" i="3"/>
  <c r="BA180" i="3"/>
  <c r="AZ180" i="3"/>
  <c r="BL187" i="3"/>
  <c r="AZ187" i="3"/>
  <c r="BL193" i="3"/>
  <c r="BL201" i="3"/>
  <c r="AZ201" i="3"/>
  <c r="G202" i="3"/>
  <c r="G205" i="3"/>
  <c r="BL206" i="3"/>
  <c r="AZ206" i="3"/>
  <c r="BL29" i="3"/>
  <c r="AZ29" i="3"/>
  <c r="G30" i="3"/>
  <c r="C76" i="71"/>
  <c r="D76" i="71"/>
  <c r="D77" i="71"/>
  <c r="AZ239" i="3"/>
  <c r="AZ247" i="3"/>
  <c r="AZ264" i="3"/>
  <c r="AZ277" i="3"/>
  <c r="AZ285" i="3"/>
  <c r="AZ300" i="3"/>
  <c r="BL122" i="3"/>
  <c r="AZ122" i="3"/>
  <c r="BA126" i="3"/>
  <c r="AZ126" i="3"/>
  <c r="BA129" i="3"/>
  <c r="AZ129" i="3"/>
  <c r="BA133" i="3"/>
  <c r="AZ133" i="3"/>
  <c r="BL141" i="3"/>
  <c r="AZ141" i="3"/>
  <c r="G144" i="3"/>
  <c r="BA148" i="3"/>
  <c r="AZ148" i="3"/>
  <c r="BL155" i="3"/>
  <c r="AZ155" i="3"/>
  <c r="BL161" i="3"/>
  <c r="AZ161" i="3"/>
  <c r="BL163" i="3"/>
  <c r="AZ163" i="3"/>
  <c r="BL166" i="3"/>
  <c r="AZ166" i="3"/>
  <c r="BA168" i="3"/>
  <c r="AZ168" i="3"/>
  <c r="G170" i="3"/>
  <c r="G182" i="3"/>
  <c r="G187" i="3"/>
  <c r="BA189" i="3"/>
  <c r="AZ189" i="3"/>
  <c r="BA198" i="3"/>
  <c r="BA207" i="3"/>
  <c r="BL23" i="3"/>
  <c r="BL24" i="3"/>
  <c r="AZ34" i="3"/>
  <c r="BA36" i="3"/>
  <c r="AZ38" i="3"/>
  <c r="BL20" i="3"/>
  <c r="G35" i="3"/>
  <c r="G40" i="3"/>
  <c r="BL44" i="3"/>
  <c r="AZ44" i="3"/>
  <c r="BA47" i="3"/>
  <c r="AZ47" i="3"/>
  <c r="BA50" i="3"/>
  <c r="AZ50" i="3"/>
  <c r="BA52" i="3"/>
  <c r="AZ52" i="3"/>
  <c r="BL18" i="3"/>
  <c r="G19" i="3"/>
  <c r="BA25" i="3"/>
  <c r="BA27" i="3"/>
  <c r="AZ27" i="3"/>
  <c r="BL33" i="3"/>
  <c r="AZ33" i="3"/>
  <c r="BL36" i="3"/>
  <c r="AZ46" i="3"/>
  <c r="AZ49" i="3"/>
  <c r="AZ57" i="3"/>
  <c r="AZ68" i="3"/>
  <c r="AZ70" i="3"/>
  <c r="AZ78" i="3"/>
  <c r="AZ81" i="3"/>
  <c r="AZ95" i="3"/>
  <c r="AZ96" i="3"/>
  <c r="AZ104" i="3"/>
  <c r="AZ106" i="3"/>
  <c r="D36" i="71"/>
  <c r="C37" i="71"/>
  <c r="D37" i="71"/>
  <c r="G22" i="3"/>
  <c r="G23" i="3"/>
  <c r="G24" i="3"/>
  <c r="G25" i="3"/>
  <c r="BA26" i="3"/>
  <c r="BL31" i="3"/>
  <c r="AZ31" i="3"/>
  <c r="BL43" i="3"/>
  <c r="AZ43" i="3"/>
  <c r="BL52" i="3"/>
  <c r="AZ60" i="3"/>
  <c r="AZ62" i="3"/>
  <c r="AZ73" i="3"/>
  <c r="AZ76" i="3"/>
  <c r="AB23" i="71"/>
  <c r="F24" i="71"/>
  <c r="F25" i="71"/>
  <c r="F26" i="71"/>
  <c r="V26" i="71"/>
  <c r="AB20" i="71"/>
  <c r="AB16" i="71"/>
  <c r="AA28" i="71"/>
  <c r="AA27" i="71"/>
  <c r="AA22" i="71"/>
  <c r="AA24" i="71"/>
  <c r="AA16" i="71"/>
  <c r="AA26" i="71"/>
  <c r="AA20" i="71"/>
  <c r="AA3" i="71"/>
  <c r="W18" i="35"/>
  <c r="AC18" i="35"/>
  <c r="E29" i="71"/>
  <c r="E30" i="71"/>
  <c r="U30" i="71"/>
  <c r="Y27" i="71"/>
  <c r="Z27" i="71"/>
  <c r="C28" i="71"/>
  <c r="Y21" i="71"/>
  <c r="Z21" i="71"/>
  <c r="Y19" i="71"/>
  <c r="Z19" i="71"/>
  <c r="Y18" i="71"/>
  <c r="Z18" i="71"/>
  <c r="F3" i="35"/>
  <c r="X17" i="71"/>
  <c r="X19" i="71"/>
  <c r="X18" i="71"/>
  <c r="X23" i="71"/>
  <c r="X24" i="71"/>
  <c r="X21" i="71"/>
  <c r="X25" i="71"/>
  <c r="X22" i="71"/>
  <c r="D42" i="71"/>
  <c r="T42" i="71"/>
  <c r="AA12" i="43"/>
  <c r="AA10" i="43"/>
  <c r="AE12" i="43"/>
  <c r="AE10" i="43"/>
  <c r="AI12" i="43"/>
  <c r="AI10" i="43"/>
  <c r="X8" i="71"/>
  <c r="AB14" i="71"/>
  <c r="Y12" i="71"/>
  <c r="Z12" i="71"/>
  <c r="Y8" i="71"/>
  <c r="Z8" i="71"/>
  <c r="AB8" i="71"/>
  <c r="S21" i="33"/>
  <c r="AA21" i="33"/>
  <c r="B86" i="43"/>
  <c r="C25" i="40"/>
  <c r="X20" i="71"/>
  <c r="V70" i="71"/>
  <c r="F69" i="71"/>
  <c r="F68" i="71"/>
  <c r="I100" i="43"/>
  <c r="D22" i="67"/>
  <c r="C40" i="68"/>
  <c r="Y14" i="71"/>
  <c r="Z14" i="71"/>
  <c r="AB19" i="71"/>
  <c r="AA25" i="71"/>
  <c r="Y26" i="71"/>
  <c r="Z26" i="71"/>
  <c r="S58" i="71"/>
  <c r="B57" i="71"/>
  <c r="N58" i="71"/>
  <c r="D74" i="71"/>
  <c r="C73" i="71"/>
  <c r="AC12" i="43"/>
  <c r="AC10" i="43"/>
  <c r="AG10" i="43"/>
  <c r="AG12" i="43"/>
  <c r="Y13" i="71"/>
  <c r="Z13" i="71"/>
  <c r="AB13" i="71"/>
  <c r="AA8" i="71"/>
  <c r="X7" i="71"/>
  <c r="AA7" i="71"/>
  <c r="J51" i="15"/>
  <c r="B66" i="43"/>
  <c r="C16" i="71"/>
  <c r="D16" i="71"/>
  <c r="AA15" i="71"/>
  <c r="AB15" i="71"/>
  <c r="D32" i="71"/>
  <c r="D20" i="71"/>
  <c r="C21" i="71"/>
  <c r="AB22" i="71"/>
  <c r="E24" i="71"/>
  <c r="E25" i="71"/>
  <c r="E26" i="71"/>
  <c r="U26" i="71"/>
  <c r="AA23" i="71"/>
  <c r="AA21" i="71"/>
  <c r="C49" i="71"/>
  <c r="B65" i="71"/>
  <c r="B64" i="71"/>
  <c r="AA11" i="71"/>
  <c r="Y7" i="71"/>
  <c r="Z7" i="71"/>
  <c r="S21" i="34"/>
  <c r="C29" i="39"/>
  <c r="AA17" i="71"/>
  <c r="AB17" i="71"/>
  <c r="F18" i="71"/>
  <c r="F17" i="71"/>
  <c r="F16" i="71"/>
  <c r="B18" i="71"/>
  <c r="X16" i="71"/>
  <c r="X15" i="71"/>
  <c r="Y15" i="71"/>
  <c r="Z15" i="71"/>
  <c r="Y17" i="71"/>
  <c r="Z17" i="71"/>
  <c r="AA19" i="71"/>
  <c r="AB21" i="71"/>
  <c r="Y25" i="71"/>
  <c r="Z25" i="71"/>
  <c r="E33" i="71"/>
  <c r="E34" i="71"/>
  <c r="U34" i="71"/>
  <c r="V58" i="71"/>
  <c r="T70" i="71"/>
  <c r="C69" i="71"/>
  <c r="X12" i="71"/>
  <c r="AB7" i="71"/>
  <c r="X14" i="71"/>
  <c r="V14" i="71"/>
  <c r="AA12" i="71"/>
  <c r="AA5" i="71"/>
  <c r="AH10" i="43"/>
  <c r="Z10" i="43"/>
  <c r="K56" i="9"/>
  <c r="B14" i="71"/>
  <c r="C14" i="71"/>
  <c r="AB5" i="71"/>
  <c r="Y11" i="71"/>
  <c r="Z11" i="71"/>
  <c r="AB11" i="71"/>
  <c r="X11" i="71"/>
  <c r="X5" i="71"/>
  <c r="AD10" i="43"/>
  <c r="AA14" i="71"/>
  <c r="AA13" i="71"/>
  <c r="P61" i="15"/>
  <c r="G7" i="1"/>
  <c r="G1" i="69"/>
  <c r="B6" i="1"/>
  <c r="E6" i="1"/>
  <c r="K1" i="12"/>
  <c r="BA23" i="3"/>
  <c r="AZ23" i="3" s="1"/>
  <c r="BD5" i="3"/>
  <c r="G28" i="3"/>
  <c r="BA28" i="3"/>
  <c r="AZ28" i="3" s="1"/>
  <c r="AZ26" i="3"/>
  <c r="BL25" i="3"/>
  <c r="AZ25" i="3"/>
  <c r="BA24" i="3"/>
  <c r="BA22" i="3"/>
  <c r="AZ22" i="3" s="1"/>
  <c r="BA20" i="3"/>
  <c r="BA18" i="3"/>
  <c r="AZ18" i="3" s="1"/>
  <c r="AP6" i="1"/>
  <c r="G18" i="3"/>
  <c r="BL19" i="3"/>
  <c r="BA19" i="3"/>
  <c r="A2" i="9"/>
  <c r="A4" i="52"/>
  <c r="B41" i="72"/>
  <c r="F42" i="21"/>
  <c r="J42" i="21"/>
  <c r="G123" i="21"/>
  <c r="H123" i="21"/>
  <c r="I123" i="21"/>
  <c r="J123" i="21"/>
  <c r="K123" i="21"/>
  <c r="L123" i="21"/>
  <c r="M123" i="21"/>
  <c r="H42" i="21"/>
  <c r="U42" i="21"/>
  <c r="H39" i="21"/>
  <c r="J39" i="21"/>
  <c r="F39" i="21"/>
  <c r="AA39" i="21"/>
  <c r="H37" i="21"/>
  <c r="F37" i="21"/>
  <c r="AA37" i="21"/>
  <c r="J37" i="21"/>
  <c r="H113" i="21"/>
  <c r="H32" i="21"/>
  <c r="AB32" i="21"/>
  <c r="F32" i="21"/>
  <c r="S32" i="21"/>
  <c r="F101" i="21"/>
  <c r="G101" i="21"/>
  <c r="H101" i="21"/>
  <c r="I101" i="21"/>
  <c r="J101" i="21"/>
  <c r="K101" i="21"/>
  <c r="L101" i="21"/>
  <c r="M101" i="21"/>
  <c r="J32" i="21"/>
  <c r="AC32" i="21"/>
  <c r="U21" i="21"/>
  <c r="AB19" i="21"/>
  <c r="U19" i="21"/>
  <c r="F17" i="21"/>
  <c r="G79" i="21"/>
  <c r="H17" i="21"/>
  <c r="J17" i="21"/>
  <c r="F77" i="21"/>
  <c r="G77" i="21"/>
  <c r="F15" i="21"/>
  <c r="H15" i="21"/>
  <c r="AB15" i="21"/>
  <c r="J15" i="21"/>
  <c r="AC38" i="21"/>
  <c r="AC40" i="21"/>
  <c r="S37" i="21"/>
  <c r="W27" i="21"/>
  <c r="AC27" i="21"/>
  <c r="AC29" i="21"/>
  <c r="W29" i="21"/>
  <c r="AA29" i="21"/>
  <c r="AB30" i="21"/>
  <c r="U23" i="21"/>
  <c r="AC21" i="21"/>
  <c r="S21" i="21"/>
  <c r="W9" i="21"/>
  <c r="AA10" i="21"/>
  <c r="AB42" i="21"/>
  <c r="U32" i="21"/>
  <c r="AC34" i="21"/>
  <c r="S34" i="21"/>
  <c r="G21" i="3"/>
  <c r="BL21" i="3"/>
  <c r="BA21" i="3"/>
  <c r="AZ21" i="3" s="1"/>
  <c r="AZ20" i="3"/>
  <c r="H5" i="3"/>
  <c r="G29" i="6"/>
  <c r="G28" i="6"/>
  <c r="BB5" i="3"/>
  <c r="BA13" i="3"/>
  <c r="AZ13" i="3"/>
  <c r="F29" i="6"/>
  <c r="BL15" i="3"/>
  <c r="BL5" i="3"/>
  <c r="AC5" i="3"/>
  <c r="L27" i="6"/>
  <c r="I4" i="6"/>
  <c r="C11" i="39" s="1"/>
  <c r="C11" i="21" s="1"/>
  <c r="J11" i="21" s="1"/>
  <c r="C5" i="11"/>
  <c r="BA15" i="3"/>
  <c r="W9" i="39"/>
  <c r="U12" i="39"/>
  <c r="H107" i="39"/>
  <c r="I107" i="39"/>
  <c r="J107" i="39"/>
  <c r="K107" i="39"/>
  <c r="L107" i="39"/>
  <c r="M107" i="39"/>
  <c r="H32" i="39"/>
  <c r="AB32" i="39"/>
  <c r="J32" i="39"/>
  <c r="AC32" i="39"/>
  <c r="F32" i="39"/>
  <c r="AA32" i="39"/>
  <c r="F31" i="39"/>
  <c r="F105" i="39"/>
  <c r="G105" i="39"/>
  <c r="H105" i="39"/>
  <c r="I105" i="39"/>
  <c r="J105" i="39"/>
  <c r="K105" i="39"/>
  <c r="L105" i="39"/>
  <c r="M105" i="39"/>
  <c r="H31" i="39"/>
  <c r="J31" i="39"/>
  <c r="U29" i="39"/>
  <c r="F97" i="39"/>
  <c r="G97" i="39"/>
  <c r="F95" i="39"/>
  <c r="G95" i="39"/>
  <c r="J21" i="39"/>
  <c r="F21" i="39"/>
  <c r="AA21" i="39"/>
  <c r="H21" i="39"/>
  <c r="F17" i="39"/>
  <c r="AA17" i="39"/>
  <c r="G91" i="39"/>
  <c r="H17" i="39"/>
  <c r="J17" i="39"/>
  <c r="F89" i="39"/>
  <c r="G89" i="39"/>
  <c r="H15" i="39"/>
  <c r="U15" i="39"/>
  <c r="F15" i="39"/>
  <c r="AA15" i="39"/>
  <c r="J15" i="39"/>
  <c r="W15" i="39"/>
  <c r="H124" i="39"/>
  <c r="I124" i="39"/>
  <c r="J124" i="39"/>
  <c r="K124" i="39"/>
  <c r="L124" i="39"/>
  <c r="M124" i="39"/>
  <c r="F41" i="39"/>
  <c r="J41" i="39"/>
  <c r="W41" i="39"/>
  <c r="H41" i="39"/>
  <c r="W32" i="39"/>
  <c r="S29" i="39"/>
  <c r="W23" i="39"/>
  <c r="AC15" i="39"/>
  <c r="AB15" i="39"/>
  <c r="S15" i="39"/>
  <c r="U42" i="39"/>
  <c r="S42" i="39"/>
  <c r="S40" i="39"/>
  <c r="W40" i="39"/>
  <c r="U32" i="39"/>
  <c r="U9" i="39"/>
  <c r="P74" i="67"/>
  <c r="C24" i="12"/>
  <c r="F30" i="69"/>
  <c r="C30" i="69"/>
  <c r="F52" i="9"/>
  <c r="D68" i="9"/>
  <c r="F28" i="15"/>
  <c r="C28" i="15"/>
  <c r="F32" i="67"/>
  <c r="F60" i="67"/>
  <c r="F28" i="67"/>
  <c r="C28" i="67"/>
  <c r="C30" i="11"/>
  <c r="F54" i="9"/>
  <c r="M18" i="15"/>
  <c r="F32" i="15"/>
  <c r="F60" i="15"/>
  <c r="M18" i="67"/>
  <c r="F31" i="12"/>
  <c r="F30" i="68"/>
  <c r="C94" i="9"/>
  <c r="C92" i="9"/>
  <c r="AQ11" i="1"/>
  <c r="T11" i="1"/>
  <c r="AR11" i="1"/>
  <c r="AR13" i="1"/>
  <c r="AQ10" i="1"/>
  <c r="T10" i="1"/>
  <c r="AR12" i="1"/>
  <c r="T12" i="1"/>
  <c r="AQ12" i="1"/>
  <c r="P12" i="1"/>
  <c r="A15" i="62"/>
  <c r="B61" i="72"/>
  <c r="C5" i="43"/>
  <c r="T12" i="43"/>
  <c r="V12" i="43"/>
  <c r="D5" i="43"/>
  <c r="C36" i="43"/>
  <c r="E36" i="43"/>
  <c r="T14" i="43"/>
  <c r="V14" i="43"/>
  <c r="H50" i="43"/>
  <c r="D12" i="52"/>
  <c r="D127" i="9"/>
  <c r="D13" i="52"/>
  <c r="H7" i="34"/>
  <c r="L59" i="34"/>
  <c r="M59" i="34"/>
  <c r="N59" i="34"/>
  <c r="O59" i="34"/>
  <c r="J7" i="34"/>
  <c r="G68" i="39"/>
  <c r="F70" i="39"/>
  <c r="I58" i="21"/>
  <c r="J58" i="21"/>
  <c r="K58" i="21"/>
  <c r="L58" i="21"/>
  <c r="M58" i="21"/>
  <c r="N58" i="21"/>
  <c r="O58" i="21"/>
  <c r="J7" i="21"/>
  <c r="E52" i="37"/>
  <c r="F52" i="37"/>
  <c r="G52" i="37"/>
  <c r="H52" i="37"/>
  <c r="I52" i="37"/>
  <c r="J52" i="37"/>
  <c r="K52" i="37"/>
  <c r="L52" i="37"/>
  <c r="M52" i="37"/>
  <c r="N52" i="37"/>
  <c r="O52" i="37"/>
  <c r="E46" i="36"/>
  <c r="F46" i="36"/>
  <c r="G46" i="36"/>
  <c r="H46" i="36"/>
  <c r="I46" i="36"/>
  <c r="J46" i="36"/>
  <c r="K46" i="36"/>
  <c r="L46" i="36"/>
  <c r="M46" i="36"/>
  <c r="N46" i="36"/>
  <c r="O46" i="36"/>
  <c r="H7" i="21"/>
  <c r="F7" i="34"/>
  <c r="F7" i="21"/>
  <c r="E48" i="35"/>
  <c r="F48" i="35"/>
  <c r="G48" i="35"/>
  <c r="H48" i="35"/>
  <c r="I48" i="35"/>
  <c r="J48" i="35"/>
  <c r="K48" i="35"/>
  <c r="L48" i="35"/>
  <c r="M48" i="35"/>
  <c r="N48" i="35"/>
  <c r="O48" i="35"/>
  <c r="D63" i="40"/>
  <c r="C65" i="40"/>
  <c r="D58" i="33"/>
  <c r="E58" i="33"/>
  <c r="F58" i="33"/>
  <c r="G58" i="33"/>
  <c r="H58" i="33"/>
  <c r="I58" i="33"/>
  <c r="J58" i="33"/>
  <c r="K58" i="33"/>
  <c r="L58" i="33"/>
  <c r="M58" i="33"/>
  <c r="N58" i="33"/>
  <c r="O58" i="33"/>
  <c r="C48" i="69"/>
  <c r="B4" i="49"/>
  <c r="B6" i="49"/>
  <c r="E14" i="49"/>
  <c r="Y6" i="71"/>
  <c r="Z6" i="71"/>
  <c r="Y5" i="71"/>
  <c r="AA6" i="71"/>
  <c r="AB3" i="71"/>
  <c r="E22" i="49"/>
  <c r="E11" i="49"/>
  <c r="T9" i="43"/>
  <c r="V9" i="43"/>
  <c r="C39" i="43"/>
  <c r="X6" i="71"/>
  <c r="AB6" i="71"/>
  <c r="T15" i="43"/>
  <c r="V15" i="43"/>
  <c r="Z5" i="71"/>
  <c r="Y3" i="71"/>
  <c r="Z3" i="71"/>
  <c r="F6" i="71"/>
  <c r="F5" i="71"/>
  <c r="AF3" i="71"/>
  <c r="P22" i="43"/>
  <c r="P24" i="43"/>
  <c r="B66" i="40"/>
  <c r="T10" i="43"/>
  <c r="V10" i="43"/>
  <c r="C33" i="43"/>
  <c r="T16" i="43"/>
  <c r="V16" i="43"/>
  <c r="T8" i="43"/>
  <c r="V8" i="43"/>
  <c r="K1" i="73"/>
  <c r="F31" i="15"/>
  <c r="M17" i="67"/>
  <c r="F31" i="67"/>
  <c r="M17" i="15"/>
  <c r="F59" i="15"/>
  <c r="F59" i="67"/>
  <c r="J7" i="33"/>
  <c r="S39" i="21"/>
  <c r="B13" i="71"/>
  <c r="B12" i="71"/>
  <c r="B11" i="71"/>
  <c r="B10" i="71"/>
  <c r="S14" i="71"/>
  <c r="C72" i="71"/>
  <c r="D72" i="71"/>
  <c r="D73" i="71"/>
  <c r="D28" i="71"/>
  <c r="C29" i="71"/>
  <c r="AZ36" i="3"/>
  <c r="AZ207" i="3"/>
  <c r="AB7" i="79"/>
  <c r="U7" i="79"/>
  <c r="AA34" i="35"/>
  <c r="S34" i="35"/>
  <c r="S45" i="21"/>
  <c r="AA45" i="21"/>
  <c r="W26" i="37"/>
  <c r="AC26" i="37"/>
  <c r="AB35" i="21"/>
  <c r="U35" i="21"/>
  <c r="H14" i="74"/>
  <c r="B7" i="74"/>
  <c r="D10" i="52"/>
  <c r="D125" i="9"/>
  <c r="D11" i="52"/>
  <c r="AB43" i="21"/>
  <c r="U43" i="21"/>
  <c r="C34" i="43"/>
  <c r="C35" i="43"/>
  <c r="E35" i="43"/>
  <c r="J7" i="36"/>
  <c r="C37" i="43"/>
  <c r="H7" i="36"/>
  <c r="H7" i="37"/>
  <c r="U15" i="21"/>
  <c r="S18" i="71"/>
  <c r="B17" i="71"/>
  <c r="B16" i="71"/>
  <c r="AZ198" i="3"/>
  <c r="W7" i="79"/>
  <c r="AC7" i="79"/>
  <c r="U38" i="21"/>
  <c r="AB38" i="21"/>
  <c r="AA26" i="37"/>
  <c r="S26" i="37"/>
  <c r="AB12" i="21"/>
  <c r="U12" i="21"/>
  <c r="AA28" i="21"/>
  <c r="S28" i="21"/>
  <c r="AC31" i="21"/>
  <c r="W31" i="21"/>
  <c r="S43" i="21"/>
  <c r="AA43" i="21"/>
  <c r="D69" i="71"/>
  <c r="C68" i="71"/>
  <c r="D68" i="71"/>
  <c r="C50" i="71"/>
  <c r="D49" i="71"/>
  <c r="S7" i="79"/>
  <c r="AA7" i="79"/>
  <c r="S9" i="33"/>
  <c r="AA9" i="33"/>
  <c r="AA35" i="21"/>
  <c r="S35" i="21"/>
  <c r="U40" i="40"/>
  <c r="AB40" i="40"/>
  <c r="W35" i="21"/>
  <c r="AC35" i="21"/>
  <c r="AB28" i="21"/>
  <c r="U28" i="21"/>
  <c r="AB31" i="21"/>
  <c r="U31" i="21"/>
  <c r="C38" i="43"/>
  <c r="P21" i="43"/>
  <c r="H7" i="33"/>
  <c r="F7" i="36"/>
  <c r="J7" i="37"/>
  <c r="S21" i="39"/>
  <c r="AZ15" i="3"/>
  <c r="AA32" i="21"/>
  <c r="AZ24" i="3"/>
  <c r="C13" i="71"/>
  <c r="D14" i="71"/>
  <c r="U14" i="71"/>
  <c r="T14" i="71"/>
  <c r="C22" i="71"/>
  <c r="D21" i="71"/>
  <c r="N57" i="71"/>
  <c r="B56" i="71"/>
  <c r="W40" i="40"/>
  <c r="AC40" i="40"/>
  <c r="AC12" i="21"/>
  <c r="W12" i="21"/>
  <c r="AA27" i="21"/>
  <c r="S27" i="21"/>
  <c r="AB35" i="39"/>
  <c r="U35" i="39"/>
  <c r="E21" i="6"/>
  <c r="K8" i="1" s="1"/>
  <c r="B34" i="72"/>
  <c r="D17" i="53"/>
  <c r="B36" i="72"/>
  <c r="T13" i="43"/>
  <c r="V13" i="43"/>
  <c r="G35" i="43"/>
  <c r="I35" i="43"/>
  <c r="G36" i="43"/>
  <c r="I36" i="43"/>
  <c r="AC42" i="21"/>
  <c r="W42" i="21"/>
  <c r="AA42" i="21"/>
  <c r="S42" i="21"/>
  <c r="AC39" i="21"/>
  <c r="W39" i="21"/>
  <c r="U39" i="21"/>
  <c r="AB39" i="21"/>
  <c r="W37" i="21"/>
  <c r="AC37" i="21"/>
  <c r="U37" i="21"/>
  <c r="AB37" i="21"/>
  <c r="W32" i="21"/>
  <c r="AC17" i="21"/>
  <c r="W17" i="21"/>
  <c r="AB17" i="21"/>
  <c r="U17" i="21"/>
  <c r="AA17" i="21"/>
  <c r="S17" i="21"/>
  <c r="W15" i="21"/>
  <c r="AC15" i="21"/>
  <c r="S15" i="21"/>
  <c r="AA15" i="21"/>
  <c r="S17" i="39"/>
  <c r="E5" i="6"/>
  <c r="H11" i="39"/>
  <c r="U11" i="39" s="1"/>
  <c r="AC41" i="39"/>
  <c r="S32" i="39"/>
  <c r="W31" i="39"/>
  <c r="AC31" i="39"/>
  <c r="AB31" i="39"/>
  <c r="U31" i="39"/>
  <c r="AA31" i="39"/>
  <c r="S31" i="39"/>
  <c r="AB21" i="39"/>
  <c r="U21" i="39"/>
  <c r="W21" i="39"/>
  <c r="AC21" i="39"/>
  <c r="W17" i="39"/>
  <c r="AC17" i="39"/>
  <c r="AB17" i="39"/>
  <c r="U17" i="39"/>
  <c r="AB41" i="39"/>
  <c r="U41" i="39"/>
  <c r="S41" i="39"/>
  <c r="AA41" i="39"/>
  <c r="C30" i="68"/>
  <c r="C48" i="68"/>
  <c r="T11" i="43"/>
  <c r="V11" i="43"/>
  <c r="F7" i="33"/>
  <c r="H7" i="35"/>
  <c r="F7" i="35"/>
  <c r="AA7" i="21"/>
  <c r="S7" i="21"/>
  <c r="U7" i="21"/>
  <c r="AB7" i="21"/>
  <c r="AC7" i="36"/>
  <c r="V36" i="36"/>
  <c r="I36" i="36"/>
  <c r="W7" i="36"/>
  <c r="F7" i="37"/>
  <c r="H68" i="39"/>
  <c r="G70" i="39"/>
  <c r="U7" i="33"/>
  <c r="AB7" i="33"/>
  <c r="T48" i="33"/>
  <c r="G48" i="33"/>
  <c r="W7" i="33"/>
  <c r="AC7" i="33"/>
  <c r="V48" i="33"/>
  <c r="I48" i="33"/>
  <c r="D65" i="40"/>
  <c r="E63" i="40"/>
  <c r="J7" i="35"/>
  <c r="AA7" i="34"/>
  <c r="R49" i="34"/>
  <c r="S7" i="34"/>
  <c r="S7" i="36"/>
  <c r="AA7" i="36"/>
  <c r="R36" i="36"/>
  <c r="AB7" i="36"/>
  <c r="T36" i="36"/>
  <c r="G36" i="36"/>
  <c r="U7" i="36"/>
  <c r="AC7" i="37"/>
  <c r="V42" i="37"/>
  <c r="I42" i="37"/>
  <c r="W7" i="37"/>
  <c r="AB7" i="37"/>
  <c r="T42" i="37"/>
  <c r="G42" i="37"/>
  <c r="U7" i="37"/>
  <c r="AC7" i="21"/>
  <c r="W7" i="21"/>
  <c r="AC7" i="34"/>
  <c r="V49" i="34"/>
  <c r="I49" i="34"/>
  <c r="W7" i="34"/>
  <c r="U7" i="34"/>
  <c r="AB7" i="34"/>
  <c r="T49" i="34"/>
  <c r="G49" i="34"/>
  <c r="E39" i="43"/>
  <c r="G39" i="43"/>
  <c r="I39" i="43"/>
  <c r="P25" i="43"/>
  <c r="P23" i="43"/>
  <c r="B71" i="39"/>
  <c r="E38" i="43"/>
  <c r="G38" i="43"/>
  <c r="I38" i="43"/>
  <c r="G34" i="43"/>
  <c r="I34" i="43"/>
  <c r="E34" i="43"/>
  <c r="G33" i="43"/>
  <c r="I33" i="43"/>
  <c r="E33" i="43"/>
  <c r="C12" i="71"/>
  <c r="D13" i="71"/>
  <c r="E7" i="12"/>
  <c r="D22" i="71"/>
  <c r="T22" i="71"/>
  <c r="D50" i="71"/>
  <c r="T50" i="71"/>
  <c r="E37" i="43"/>
  <c r="G37" i="43"/>
  <c r="I37" i="43"/>
  <c r="N56" i="71"/>
  <c r="N55" i="71"/>
  <c r="C30" i="71"/>
  <c r="D29" i="71"/>
  <c r="B9" i="71"/>
  <c r="B8" i="71"/>
  <c r="B7" i="71"/>
  <c r="B6" i="71"/>
  <c r="S10" i="71"/>
  <c r="D9" i="11"/>
  <c r="C9" i="11" s="1"/>
  <c r="AB11" i="39"/>
  <c r="I53" i="34"/>
  <c r="J53" i="34"/>
  <c r="E36" i="36"/>
  <c r="R37" i="36"/>
  <c r="W7" i="35"/>
  <c r="AC7" i="35"/>
  <c r="V38" i="35"/>
  <c r="I38" i="35"/>
  <c r="I68" i="39"/>
  <c r="H70" i="39"/>
  <c r="S7" i="35"/>
  <c r="AA7" i="35"/>
  <c r="R38" i="35"/>
  <c r="G53" i="34"/>
  <c r="H53" i="34"/>
  <c r="G54" i="34"/>
  <c r="H54" i="34"/>
  <c r="G46" i="37"/>
  <c r="H46" i="37"/>
  <c r="G47" i="37"/>
  <c r="H47" i="37"/>
  <c r="I46" i="37"/>
  <c r="J46" i="37"/>
  <c r="G40" i="36"/>
  <c r="H40" i="36"/>
  <c r="G41" i="36"/>
  <c r="H41" i="36"/>
  <c r="R50" i="34"/>
  <c r="E49" i="34"/>
  <c r="F63" i="40"/>
  <c r="E65" i="40"/>
  <c r="I52" i="33"/>
  <c r="J52" i="33"/>
  <c r="G52" i="33"/>
  <c r="H52" i="33"/>
  <c r="G53" i="33"/>
  <c r="H53" i="33"/>
  <c r="AA7" i="37"/>
  <c r="R42" i="37"/>
  <c r="S7" i="37"/>
  <c r="I40" i="36"/>
  <c r="J40" i="36"/>
  <c r="I41" i="36"/>
  <c r="J41" i="36"/>
  <c r="U7" i="35"/>
  <c r="AB7" i="35"/>
  <c r="T38" i="35"/>
  <c r="G38" i="35"/>
  <c r="S7" i="33"/>
  <c r="AA7" i="33"/>
  <c r="R48" i="33"/>
  <c r="D30" i="71"/>
  <c r="T30" i="71"/>
  <c r="B5" i="71"/>
  <c r="S6" i="71"/>
  <c r="M8" i="1"/>
  <c r="C11" i="71"/>
  <c r="D12" i="71"/>
  <c r="D3" i="21"/>
  <c r="G42" i="35"/>
  <c r="H42" i="35"/>
  <c r="G43" i="35"/>
  <c r="H43" i="35"/>
  <c r="E54" i="34"/>
  <c r="F54" i="34"/>
  <c r="E53" i="34"/>
  <c r="F53" i="34"/>
  <c r="E42" i="37"/>
  <c r="R43" i="37"/>
  <c r="F65" i="40"/>
  <c r="G63" i="40"/>
  <c r="C50" i="34"/>
  <c r="C49" i="34"/>
  <c r="J68" i="39"/>
  <c r="I70" i="39"/>
  <c r="E40" i="36"/>
  <c r="F40" i="36"/>
  <c r="E41" i="36"/>
  <c r="F41" i="36"/>
  <c r="R49" i="33"/>
  <c r="E48" i="33"/>
  <c r="R39" i="35"/>
  <c r="E38" i="35"/>
  <c r="I42" i="35"/>
  <c r="J42" i="35"/>
  <c r="I43" i="35"/>
  <c r="J43" i="35"/>
  <c r="C36" i="36"/>
  <c r="C37" i="36"/>
  <c r="I54" i="34"/>
  <c r="J54" i="34"/>
  <c r="D11" i="71"/>
  <c r="C10" i="71"/>
  <c r="O8" i="1"/>
  <c r="E6" i="70"/>
  <c r="C39" i="35"/>
  <c r="C38" i="35"/>
  <c r="C48" i="33"/>
  <c r="C49" i="33"/>
  <c r="K68" i="39"/>
  <c r="J70" i="39"/>
  <c r="G65" i="40"/>
  <c r="H63" i="40"/>
  <c r="C42" i="37"/>
  <c r="C43" i="37"/>
  <c r="E43" i="35"/>
  <c r="F43" i="35"/>
  <c r="E42" i="35"/>
  <c r="F42" i="35"/>
  <c r="E53" i="33"/>
  <c r="F53" i="33"/>
  <c r="E52" i="33"/>
  <c r="F52" i="33"/>
  <c r="I53" i="33"/>
  <c r="J53" i="33"/>
  <c r="E47" i="37"/>
  <c r="F47" i="37"/>
  <c r="E46" i="37"/>
  <c r="F46" i="37"/>
  <c r="I47" i="37"/>
  <c r="J47" i="37"/>
  <c r="AE6" i="1"/>
  <c r="C9" i="71"/>
  <c r="D10" i="71"/>
  <c r="U10" i="71"/>
  <c r="T10" i="71"/>
  <c r="H65" i="40"/>
  <c r="I63" i="40"/>
  <c r="L68" i="39"/>
  <c r="K70" i="39"/>
  <c r="C8" i="71"/>
  <c r="D9" i="71"/>
  <c r="C19" i="68"/>
  <c r="M68" i="39"/>
  <c r="L70" i="39"/>
  <c r="I65" i="40"/>
  <c r="J63" i="40"/>
  <c r="C7" i="71"/>
  <c r="D8" i="71"/>
  <c r="K63" i="40"/>
  <c r="J65" i="40"/>
  <c r="N68" i="39"/>
  <c r="M70" i="39"/>
  <c r="C6" i="71"/>
  <c r="D7" i="71"/>
  <c r="O68" i="39"/>
  <c r="O70" i="39"/>
  <c r="J7" i="39"/>
  <c r="N70" i="39"/>
  <c r="L63" i="40"/>
  <c r="K65" i="40"/>
  <c r="C5" i="71"/>
  <c r="T6" i="71"/>
  <c r="D6" i="71"/>
  <c r="U6" i="71"/>
  <c r="M63" i="40"/>
  <c r="L65" i="40"/>
  <c r="F7" i="39"/>
  <c r="W7" i="39"/>
  <c r="AC7" i="39"/>
  <c r="H7" i="39"/>
  <c r="D5" i="71"/>
  <c r="M20" i="43"/>
  <c r="U7" i="39"/>
  <c r="AB7" i="39"/>
  <c r="S7" i="39"/>
  <c r="AA7" i="39"/>
  <c r="N63" i="40"/>
  <c r="M65" i="40"/>
  <c r="N65" i="40"/>
  <c r="O63" i="40"/>
  <c r="O65" i="40"/>
  <c r="F7" i="40"/>
  <c r="J7" i="40"/>
  <c r="H7" i="40"/>
  <c r="AC7" i="40"/>
  <c r="V42" i="40"/>
  <c r="I42" i="40" s="1"/>
  <c r="I46" i="40" s="1"/>
  <c r="J46" i="40" s="1"/>
  <c r="W7" i="40"/>
  <c r="U7" i="40"/>
  <c r="AB7" i="40"/>
  <c r="T42" i="40"/>
  <c r="G42" i="40" s="1"/>
  <c r="G46" i="40" s="1"/>
  <c r="H46" i="40" s="1"/>
  <c r="AA7" i="40"/>
  <c r="R42" i="40"/>
  <c r="R43" i="40" s="1"/>
  <c r="C43" i="40" s="1"/>
  <c r="S7" i="40"/>
  <c r="E13" i="76"/>
  <c r="F40" i="67"/>
  <c r="D4" i="73"/>
  <c r="M9" i="67"/>
  <c r="F13" i="67"/>
  <c r="J15" i="15"/>
  <c r="M9" i="15"/>
  <c r="L48" i="15"/>
  <c r="F42" i="67"/>
  <c r="M27" i="67"/>
  <c r="B10" i="76"/>
  <c r="B11" i="76"/>
  <c r="F5" i="73"/>
  <c r="B12" i="76"/>
  <c r="F43" i="67"/>
  <c r="F8" i="15"/>
  <c r="M24" i="67"/>
  <c r="B8" i="76"/>
  <c r="F16" i="67"/>
  <c r="M28" i="15"/>
  <c r="M8" i="67"/>
  <c r="F36" i="67"/>
  <c r="E11" i="76"/>
  <c r="F8" i="67"/>
  <c r="F43" i="15"/>
  <c r="M29" i="67"/>
  <c r="M22" i="15"/>
  <c r="F36" i="15"/>
  <c r="M23" i="15"/>
  <c r="M8" i="15"/>
  <c r="AO7" i="1"/>
  <c r="D2" i="37"/>
  <c r="D5" i="73"/>
  <c r="D2" i="36"/>
  <c r="M6" i="15"/>
  <c r="AO12" i="1"/>
  <c r="F26" i="15"/>
  <c r="E2" i="69"/>
  <c r="F20" i="31"/>
  <c r="D2" i="33"/>
  <c r="L47" i="15"/>
  <c r="F7" i="15"/>
  <c r="F41" i="67"/>
  <c r="F37" i="67"/>
  <c r="E12" i="76"/>
  <c r="B7" i="76"/>
  <c r="F38" i="15"/>
  <c r="AO13" i="1"/>
  <c r="F42" i="15"/>
  <c r="M6" i="67"/>
  <c r="F6" i="67"/>
  <c r="E9" i="76"/>
  <c r="M26" i="15"/>
  <c r="D6" i="73"/>
  <c r="F35" i="67"/>
  <c r="AO6" i="1"/>
  <c r="D2" i="79"/>
  <c r="F38" i="67"/>
  <c r="E7" i="76"/>
  <c r="F7" i="73"/>
  <c r="AO8" i="1"/>
  <c r="F7" i="67"/>
  <c r="F9" i="67"/>
  <c r="E10" i="76"/>
  <c r="M22" i="67"/>
  <c r="F16" i="15"/>
  <c r="AO10" i="1"/>
  <c r="B9" i="76"/>
  <c r="C76" i="67"/>
  <c r="M26" i="67"/>
  <c r="E2" i="68"/>
  <c r="F13" i="15"/>
  <c r="F4" i="73"/>
  <c r="M29" i="15"/>
  <c r="M27" i="15"/>
  <c r="F9" i="15"/>
  <c r="F40" i="15"/>
  <c r="F6" i="15"/>
  <c r="C76" i="15"/>
  <c r="D2" i="35"/>
  <c r="E8" i="76"/>
  <c r="D2" i="21"/>
  <c r="M23" i="67"/>
  <c r="F6" i="73"/>
  <c r="B13" i="76"/>
  <c r="D2" i="34"/>
  <c r="F3" i="73"/>
  <c r="D3" i="73"/>
  <c r="M24" i="15"/>
  <c r="F37" i="15"/>
  <c r="F26" i="67"/>
  <c r="M28" i="67"/>
  <c r="AO11" i="1"/>
  <c r="L47" i="67"/>
  <c r="J15" i="67"/>
  <c r="L48" i="67"/>
  <c r="D7" i="73"/>
  <c r="M21" i="67"/>
  <c r="F16" i="74" l="1"/>
  <c r="P8" i="1"/>
  <c r="AC11" i="21"/>
  <c r="W11" i="21"/>
  <c r="J11" i="39"/>
  <c r="F11" i="39"/>
  <c r="C11" i="79"/>
  <c r="C42" i="40"/>
  <c r="G5" i="3"/>
  <c r="B3" i="3" s="1"/>
  <c r="E207" i="3" s="1"/>
  <c r="G47" i="40"/>
  <c r="H47" i="40" s="1"/>
  <c r="E576" i="3"/>
  <c r="E508" i="3"/>
  <c r="E338" i="3"/>
  <c r="E120" i="3"/>
  <c r="E123" i="3"/>
  <c r="E84" i="3"/>
  <c r="E381" i="3"/>
  <c r="E138" i="3"/>
  <c r="E325" i="3"/>
  <c r="E554" i="3"/>
  <c r="E548" i="3"/>
  <c r="E475" i="3"/>
  <c r="E435" i="3"/>
  <c r="E226" i="3"/>
  <c r="E587" i="3"/>
  <c r="K6" i="3"/>
  <c r="E366" i="3"/>
  <c r="E579" i="3"/>
  <c r="E311" i="3"/>
  <c r="AB6" i="3"/>
  <c r="E189" i="3"/>
  <c r="E91" i="3"/>
  <c r="E153" i="3"/>
  <c r="E567" i="3"/>
  <c r="E353" i="3"/>
  <c r="E402" i="3"/>
  <c r="E159" i="3"/>
  <c r="E157" i="3"/>
  <c r="E253" i="3"/>
  <c r="E286" i="3"/>
  <c r="E499" i="3"/>
  <c r="E502" i="3"/>
  <c r="E509" i="3"/>
  <c r="E445" i="3"/>
  <c r="E563" i="3"/>
  <c r="E69" i="3"/>
  <c r="E246" i="3"/>
  <c r="E296" i="3"/>
  <c r="E45" i="3"/>
  <c r="E519" i="3"/>
  <c r="E458" i="3"/>
  <c r="E512" i="3"/>
  <c r="E451" i="3"/>
  <c r="E556" i="3"/>
  <c r="E31" i="3"/>
  <c r="E351" i="3"/>
  <c r="E150" i="3"/>
  <c r="E436" i="3"/>
  <c r="E456" i="3"/>
  <c r="E104" i="3"/>
  <c r="E452" i="3"/>
  <c r="E443" i="3"/>
  <c r="E85" i="3"/>
  <c r="E369" i="3"/>
  <c r="E348" i="3"/>
  <c r="E194" i="3"/>
  <c r="E50" i="3"/>
  <c r="E295" i="3"/>
  <c r="E103" i="3"/>
  <c r="E88" i="3"/>
  <c r="E363" i="3"/>
  <c r="E482" i="3"/>
  <c r="E220" i="3"/>
  <c r="E86" i="3"/>
  <c r="E102" i="3"/>
  <c r="E83" i="3"/>
  <c r="E273" i="3"/>
  <c r="E386" i="3"/>
  <c r="E425" i="3"/>
  <c r="E364" i="3"/>
  <c r="E479" i="3"/>
  <c r="E237" i="3"/>
  <c r="E160" i="3"/>
  <c r="W6" i="3"/>
  <c r="E418" i="3"/>
  <c r="E191" i="3"/>
  <c r="E175" i="3"/>
  <c r="E122" i="3"/>
  <c r="E164" i="3"/>
  <c r="G3" i="43"/>
  <c r="D7" i="12"/>
  <c r="K7" i="1"/>
  <c r="AO6" i="3"/>
  <c r="E511" i="3"/>
  <c r="E538" i="3"/>
  <c r="E107" i="3"/>
  <c r="E380" i="3"/>
  <c r="E382" i="3"/>
  <c r="E561" i="3"/>
  <c r="E225" i="3"/>
  <c r="E385" i="3"/>
  <c r="E169" i="3"/>
  <c r="E390" i="3"/>
  <c r="E282" i="3"/>
  <c r="E505" i="3"/>
  <c r="E429" i="3"/>
  <c r="E330" i="3"/>
  <c r="E332" i="3"/>
  <c r="E106" i="3"/>
  <c r="E489" i="3"/>
  <c r="E176" i="3"/>
  <c r="E430" i="3"/>
  <c r="E124" i="3"/>
  <c r="E267" i="3"/>
  <c r="E51" i="3"/>
  <c r="E248" i="3"/>
  <c r="E109" i="3"/>
  <c r="E211" i="3"/>
  <c r="E255" i="3"/>
  <c r="E22" i="3"/>
  <c r="E158" i="3"/>
  <c r="AF6" i="3"/>
  <c r="E206" i="3"/>
  <c r="E35" i="3"/>
  <c r="E324" i="3"/>
  <c r="E174" i="3"/>
  <c r="E96" i="3"/>
  <c r="E428" i="3"/>
  <c r="E544" i="3"/>
  <c r="E292" i="3"/>
  <c r="E132" i="3"/>
  <c r="E404" i="3"/>
  <c r="E492" i="3"/>
  <c r="E233" i="3"/>
  <c r="E47" i="3"/>
  <c r="E121" i="3"/>
  <c r="E365" i="3"/>
  <c r="E340" i="3"/>
  <c r="E392" i="3"/>
  <c r="E170" i="3"/>
  <c r="E75" i="3"/>
  <c r="E297" i="3"/>
  <c r="E531" i="3"/>
  <c r="E156" i="3"/>
  <c r="I6" i="3"/>
  <c r="E116" i="3"/>
  <c r="E485" i="3"/>
  <c r="E345" i="3"/>
  <c r="E498" i="3"/>
  <c r="E483" i="3"/>
  <c r="E463" i="3"/>
  <c r="E25" i="3"/>
  <c r="E244" i="3"/>
  <c r="E398" i="3"/>
  <c r="E413" i="3"/>
  <c r="E39" i="3"/>
  <c r="E146" i="3"/>
  <c r="E171" i="3"/>
  <c r="E214" i="3"/>
  <c r="E315" i="3"/>
  <c r="E362" i="3"/>
  <c r="E74" i="3"/>
  <c r="J6" i="3"/>
  <c r="F11" i="21"/>
  <c r="H11" i="21"/>
  <c r="AZ19" i="3"/>
  <c r="BA5" i="3"/>
  <c r="AZ5" i="3"/>
  <c r="B55" i="40"/>
  <c r="F55" i="40" s="1"/>
  <c r="B58" i="40"/>
  <c r="B54" i="40"/>
  <c r="F54" i="40" s="1"/>
  <c r="B53" i="40"/>
  <c r="F53" i="40" s="1"/>
  <c r="B59" i="40"/>
  <c r="B52" i="40"/>
  <c r="F52" i="40" s="1"/>
  <c r="B56" i="40"/>
  <c r="B60" i="40"/>
  <c r="B57" i="40"/>
  <c r="B51" i="40"/>
  <c r="E42" i="40"/>
  <c r="I47" i="40" s="1"/>
  <c r="J47" i="40" s="1"/>
  <c r="D9" i="68"/>
  <c r="C9" i="68" s="1"/>
  <c r="D19" i="12"/>
  <c r="C19" i="12" s="1"/>
  <c r="M11" i="1"/>
  <c r="Q16" i="1"/>
  <c r="H16" i="1"/>
  <c r="D9" i="69"/>
  <c r="C9" i="69" s="1"/>
  <c r="G101" i="43"/>
  <c r="M101" i="43"/>
  <c r="E22" i="43"/>
  <c r="D101" i="43"/>
  <c r="J101" i="43"/>
  <c r="AE11" i="43"/>
  <c r="AE13" i="43" s="1"/>
  <c r="N104" i="46"/>
  <c r="H22" i="43"/>
  <c r="L101" i="43"/>
  <c r="B113" i="43"/>
  <c r="I101" i="43"/>
  <c r="Z7" i="43"/>
  <c r="C101" i="43"/>
  <c r="AB11" i="43"/>
  <c r="AB13" i="43" s="1"/>
  <c r="F101" i="43"/>
  <c r="J22" i="43"/>
  <c r="AH11" i="43"/>
  <c r="AH13" i="43" s="1"/>
  <c r="AC11" i="43"/>
  <c r="AC13" i="43" s="1"/>
  <c r="G22" i="43"/>
  <c r="AJ11" i="43"/>
  <c r="AJ13" i="43" s="1"/>
  <c r="AD11" i="43"/>
  <c r="AD13" i="43" s="1"/>
  <c r="AA11" i="43"/>
  <c r="AA13" i="43" s="1"/>
  <c r="AG11" i="43"/>
  <c r="AG13" i="43" s="1"/>
  <c r="H101" i="43"/>
  <c r="S4" i="43"/>
  <c r="T4" i="43" s="1"/>
  <c r="V4" i="43" s="1"/>
  <c r="E8" i="6"/>
  <c r="E14" i="6"/>
  <c r="E13" i="6"/>
  <c r="E12" i="6"/>
  <c r="E15" i="6"/>
  <c r="E10" i="6"/>
  <c r="E11" i="6"/>
  <c r="O6" i="1"/>
  <c r="O10" i="1"/>
  <c r="P10" i="1" s="1"/>
  <c r="E29" i="6"/>
  <c r="G30" i="6"/>
  <c r="G31" i="6" s="1"/>
  <c r="F30" i="6"/>
  <c r="E28" i="6"/>
  <c r="O13" i="1"/>
  <c r="P13" i="1" s="1"/>
  <c r="AQ13" i="1"/>
  <c r="B13" i="49"/>
  <c r="E4" i="4" s="1"/>
  <c r="B5" i="62" s="1"/>
  <c r="B73" i="72" s="1"/>
  <c r="B14" i="49"/>
  <c r="E13" i="49"/>
  <c r="B22" i="49"/>
  <c r="E7" i="49"/>
  <c r="E4" i="49"/>
  <c r="B11" i="49"/>
  <c r="C4" i="4" s="1"/>
  <c r="B9" i="49"/>
  <c r="E21" i="49"/>
  <c r="B8" i="49"/>
  <c r="B10" i="49"/>
  <c r="E10" i="49"/>
  <c r="E9" i="49"/>
  <c r="E6" i="49"/>
  <c r="E8" i="49"/>
  <c r="E16" i="74"/>
  <c r="B6" i="70"/>
  <c r="J20" i="67"/>
  <c r="F63" i="67"/>
  <c r="C62" i="67" s="1"/>
  <c r="C34" i="67"/>
  <c r="J57" i="67"/>
  <c r="J55" i="67" s="1"/>
  <c r="J58" i="67" s="1"/>
  <c r="Q50" i="67" s="1"/>
  <c r="L56" i="67"/>
  <c r="I54" i="67"/>
  <c r="J59" i="67"/>
  <c r="L57" i="67"/>
  <c r="J60" i="67"/>
  <c r="Q48" i="67" s="1"/>
  <c r="L60" i="67"/>
  <c r="L46" i="67"/>
  <c r="C6" i="67"/>
  <c r="L58" i="67"/>
  <c r="N59" i="67"/>
  <c r="B13" i="70"/>
  <c r="F66" i="15"/>
  <c r="B11" i="70"/>
  <c r="C27" i="67"/>
  <c r="F65" i="67"/>
  <c r="F65" i="15"/>
  <c r="F69" i="67"/>
  <c r="E20" i="43"/>
  <c r="F50" i="15"/>
  <c r="M7" i="15"/>
  <c r="J6" i="15" s="1"/>
  <c r="L58" i="15"/>
  <c r="N59" i="15"/>
  <c r="B20" i="31"/>
  <c r="B21" i="31" s="1"/>
  <c r="F68" i="67"/>
  <c r="C27" i="15"/>
  <c r="B12" i="70"/>
  <c r="B2" i="36"/>
  <c r="B3" i="36" s="1"/>
  <c r="B2" i="35"/>
  <c r="B3" i="35" s="1"/>
  <c r="B7" i="70"/>
  <c r="Q71" i="15"/>
  <c r="C6" i="15"/>
  <c r="F68" i="15"/>
  <c r="F64" i="15"/>
  <c r="F71" i="15"/>
  <c r="I1" i="73"/>
  <c r="B39" i="1" s="1"/>
  <c r="F51" i="67"/>
  <c r="F64" i="67"/>
  <c r="Q71" i="67"/>
  <c r="B10" i="70"/>
  <c r="F51" i="15"/>
  <c r="F71" i="67"/>
  <c r="M7" i="67"/>
  <c r="J6" i="67" s="1"/>
  <c r="F50" i="67"/>
  <c r="B8" i="70"/>
  <c r="F70" i="67"/>
  <c r="F66" i="67"/>
  <c r="J57" i="15"/>
  <c r="J55" i="15" s="1"/>
  <c r="J58" i="15" s="1"/>
  <c r="Q50" i="15" s="1"/>
  <c r="L56" i="15"/>
  <c r="I54" i="15"/>
  <c r="J59" i="15"/>
  <c r="L60" i="15"/>
  <c r="J60" i="15"/>
  <c r="Q48" i="15" s="1"/>
  <c r="L57" i="15"/>
  <c r="G1" i="73"/>
  <c r="C16" i="15"/>
  <c r="C16" i="67"/>
  <c r="C17" i="67"/>
  <c r="C14" i="67"/>
  <c r="B40" i="1" l="1"/>
  <c r="E335" i="3"/>
  <c r="E570" i="3"/>
  <c r="E247" i="3"/>
  <c r="E361" i="3"/>
  <c r="E262" i="3"/>
  <c r="E406" i="3"/>
  <c r="E372" i="3"/>
  <c r="E178" i="3"/>
  <c r="E221" i="3"/>
  <c r="E537" i="3"/>
  <c r="E549" i="3"/>
  <c r="E110" i="3"/>
  <c r="E584" i="3"/>
  <c r="E284" i="3"/>
  <c r="E291" i="3"/>
  <c r="E71" i="3"/>
  <c r="E536" i="3"/>
  <c r="E438" i="3"/>
  <c r="E269" i="3"/>
  <c r="AA11" i="39"/>
  <c r="S11" i="39"/>
  <c r="J11" i="79"/>
  <c r="F11" i="79"/>
  <c r="H11" i="79"/>
  <c r="AC11" i="39"/>
  <c r="W11" i="39"/>
  <c r="C33" i="79"/>
  <c r="E204" i="3"/>
  <c r="E474" i="3"/>
  <c r="E305" i="3"/>
  <c r="E198" i="3"/>
  <c r="E562" i="3"/>
  <c r="E222" i="3"/>
  <c r="E476" i="3"/>
  <c r="E232" i="3"/>
  <c r="E78" i="3"/>
  <c r="E192" i="3"/>
  <c r="E266" i="3"/>
  <c r="E52" i="3"/>
  <c r="E28" i="3"/>
  <c r="E427" i="3"/>
  <c r="E420" i="3"/>
  <c r="E582" i="3"/>
  <c r="E279" i="3"/>
  <c r="E13" i="3"/>
  <c r="E440" i="3"/>
  <c r="E529" i="3"/>
  <c r="E117" i="3"/>
  <c r="X6" i="3"/>
  <c r="E395" i="3"/>
  <c r="E464" i="3"/>
  <c r="AD6" i="3"/>
  <c r="E212" i="3"/>
  <c r="E301" i="3"/>
  <c r="E165" i="3"/>
  <c r="E501" i="3"/>
  <c r="E230" i="3"/>
  <c r="V6" i="3"/>
  <c r="E151" i="3"/>
  <c r="E516" i="3"/>
  <c r="E583" i="3"/>
  <c r="E560" i="3"/>
  <c r="AE6" i="3"/>
  <c r="E242" i="3"/>
  <c r="E500" i="3"/>
  <c r="E433" i="3"/>
  <c r="E543" i="3"/>
  <c r="E70" i="3"/>
  <c r="E36" i="3"/>
  <c r="E373" i="3"/>
  <c r="E163" i="3"/>
  <c r="Y6" i="3"/>
  <c r="E144" i="3"/>
  <c r="E126" i="3"/>
  <c r="E371" i="3"/>
  <c r="AP6" i="3"/>
  <c r="E341" i="3"/>
  <c r="E115" i="3"/>
  <c r="E55" i="3"/>
  <c r="E565" i="3"/>
  <c r="E61" i="3"/>
  <c r="E288" i="3"/>
  <c r="E188" i="3"/>
  <c r="E379" i="3"/>
  <c r="E216" i="3"/>
  <c r="E186" i="3"/>
  <c r="E184" i="3"/>
  <c r="AM6" i="3"/>
  <c r="E118" i="3"/>
  <c r="E127" i="3"/>
  <c r="E98" i="3"/>
  <c r="E462" i="3"/>
  <c r="E234" i="3"/>
  <c r="E405" i="3"/>
  <c r="E432" i="3"/>
  <c r="E72" i="3"/>
  <c r="E417" i="3"/>
  <c r="E276" i="3"/>
  <c r="E344" i="3"/>
  <c r="E133" i="3"/>
  <c r="E261" i="3"/>
  <c r="E569" i="3"/>
  <c r="E358" i="3"/>
  <c r="E407" i="3"/>
  <c r="E130" i="3"/>
  <c r="E426" i="3"/>
  <c r="E302" i="3"/>
  <c r="E504" i="3"/>
  <c r="E467" i="3"/>
  <c r="E287" i="3"/>
  <c r="E76" i="3"/>
  <c r="E101" i="3"/>
  <c r="E280" i="3"/>
  <c r="E399" i="3"/>
  <c r="E318" i="3"/>
  <c r="E507" i="3"/>
  <c r="E434" i="3"/>
  <c r="E550" i="3"/>
  <c r="E141" i="3"/>
  <c r="E586" i="3"/>
  <c r="E254" i="3"/>
  <c r="E559" i="3"/>
  <c r="E183" i="3"/>
  <c r="E424" i="3"/>
  <c r="E108" i="3"/>
  <c r="E547" i="3"/>
  <c r="E15" i="3"/>
  <c r="E210" i="3"/>
  <c r="E82" i="3"/>
  <c r="E264" i="3"/>
  <c r="E187" i="3"/>
  <c r="E457" i="3"/>
  <c r="S6" i="3"/>
  <c r="E439" i="3"/>
  <c r="E343" i="3"/>
  <c r="E534" i="3"/>
  <c r="E179" i="3"/>
  <c r="E29" i="3"/>
  <c r="E378" i="3"/>
  <c r="E450" i="3"/>
  <c r="E119" i="3"/>
  <c r="E481" i="3"/>
  <c r="E503" i="3"/>
  <c r="E551" i="3"/>
  <c r="E53" i="3"/>
  <c r="E495" i="3"/>
  <c r="E99" i="3"/>
  <c r="E167" i="3"/>
  <c r="E542" i="3"/>
  <c r="E239" i="3"/>
  <c r="E415" i="3"/>
  <c r="E314" i="3"/>
  <c r="E224" i="3"/>
  <c r="E486" i="3"/>
  <c r="E490" i="3"/>
  <c r="E32" i="3"/>
  <c r="E394" i="3"/>
  <c r="E256" i="3"/>
  <c r="E57" i="3"/>
  <c r="E566" i="3"/>
  <c r="E217" i="3"/>
  <c r="E401" i="3"/>
  <c r="E557" i="3"/>
  <c r="E564" i="3"/>
  <c r="E322" i="3"/>
  <c r="E131" i="3"/>
  <c r="E455" i="3"/>
  <c r="E112" i="3"/>
  <c r="E453" i="3"/>
  <c r="E87" i="3"/>
  <c r="E403" i="3"/>
  <c r="E258" i="3"/>
  <c r="E43" i="3"/>
  <c r="E129" i="3"/>
  <c r="E342" i="3"/>
  <c r="E251" i="3"/>
  <c r="E308" i="3"/>
  <c r="E27" i="3"/>
  <c r="E521" i="3"/>
  <c r="E63" i="3"/>
  <c r="E33" i="3"/>
  <c r="E195" i="3"/>
  <c r="E449" i="3"/>
  <c r="AQ6" i="3"/>
  <c r="E468" i="3"/>
  <c r="E139" i="3"/>
  <c r="E527" i="3"/>
  <c r="E466" i="3"/>
  <c r="E173" i="3"/>
  <c r="E37" i="3"/>
  <c r="E17" i="3"/>
  <c r="E523" i="3"/>
  <c r="AT6" i="3"/>
  <c r="E423" i="3"/>
  <c r="E177" i="3"/>
  <c r="E231" i="3"/>
  <c r="E337" i="3"/>
  <c r="E271" i="3"/>
  <c r="E94" i="3"/>
  <c r="AG6" i="3"/>
  <c r="E137" i="3"/>
  <c r="E200" i="3"/>
  <c r="E546" i="3"/>
  <c r="E23" i="3"/>
  <c r="E19" i="3"/>
  <c r="E209" i="3"/>
  <c r="E283" i="3"/>
  <c r="E289" i="3"/>
  <c r="E240" i="3"/>
  <c r="E105" i="3"/>
  <c r="E515" i="3"/>
  <c r="E574" i="3"/>
  <c r="E477" i="3"/>
  <c r="E540" i="3"/>
  <c r="E383" i="3"/>
  <c r="E480" i="3"/>
  <c r="E473" i="3"/>
  <c r="E581" i="3"/>
  <c r="E111" i="3"/>
  <c r="E376" i="3"/>
  <c r="E313" i="3"/>
  <c r="E114" i="3"/>
  <c r="E552" i="3"/>
  <c r="E181" i="3"/>
  <c r="E539" i="3"/>
  <c r="E320" i="3"/>
  <c r="E396" i="3"/>
  <c r="E161" i="3"/>
  <c r="E333" i="3"/>
  <c r="AJ6" i="3"/>
  <c r="AA6" i="3"/>
  <c r="E447" i="3"/>
  <c r="E66" i="3"/>
  <c r="E64" i="3"/>
  <c r="E44" i="3"/>
  <c r="E81" i="3"/>
  <c r="E577" i="3"/>
  <c r="E73" i="3"/>
  <c r="AI6" i="3"/>
  <c r="E135" i="3"/>
  <c r="E327" i="3"/>
  <c r="E46" i="3"/>
  <c r="E300" i="3"/>
  <c r="E307" i="3"/>
  <c r="E20" i="3"/>
  <c r="E180" i="3"/>
  <c r="T6" i="3"/>
  <c r="L6" i="3"/>
  <c r="AK6" i="3"/>
  <c r="E229" i="3"/>
  <c r="E294" i="3"/>
  <c r="E461" i="3"/>
  <c r="E350" i="3"/>
  <c r="E149" i="3"/>
  <c r="E312" i="3"/>
  <c r="E421" i="3"/>
  <c r="E260" i="3"/>
  <c r="E553" i="3"/>
  <c r="E136" i="3"/>
  <c r="E532" i="3"/>
  <c r="E422" i="3"/>
  <c r="AH6" i="3"/>
  <c r="E580" i="3"/>
  <c r="E274" i="3"/>
  <c r="E203" i="3"/>
  <c r="E520" i="3"/>
  <c r="E525" i="3"/>
  <c r="E40" i="3"/>
  <c r="E419" i="3"/>
  <c r="E400" i="3"/>
  <c r="E148" i="3"/>
  <c r="E541" i="3"/>
  <c r="E375" i="3"/>
  <c r="E219" i="3"/>
  <c r="E62" i="3"/>
  <c r="E334" i="3"/>
  <c r="E272" i="3"/>
  <c r="E95" i="3"/>
  <c r="E349" i="3"/>
  <c r="E412" i="3"/>
  <c r="E275" i="3"/>
  <c r="E34" i="3"/>
  <c r="E80" i="3"/>
  <c r="E268" i="3"/>
  <c r="E377" i="3"/>
  <c r="E24" i="3"/>
  <c r="E317" i="3"/>
  <c r="E162" i="3"/>
  <c r="E299" i="3"/>
  <c r="E310" i="3"/>
  <c r="E238" i="3"/>
  <c r="E487" i="3"/>
  <c r="E42" i="3"/>
  <c r="E306" i="3"/>
  <c r="E196" i="3"/>
  <c r="Q6" i="3"/>
  <c r="E321" i="3"/>
  <c r="E493" i="3"/>
  <c r="E352" i="3"/>
  <c r="E585" i="3"/>
  <c r="E89" i="3"/>
  <c r="E68" i="3"/>
  <c r="E513" i="3"/>
  <c r="E446" i="3"/>
  <c r="E100" i="3"/>
  <c r="E367" i="3"/>
  <c r="E54" i="3"/>
  <c r="E56" i="3"/>
  <c r="E346" i="3"/>
  <c r="E465" i="3"/>
  <c r="E277" i="3"/>
  <c r="E528" i="3"/>
  <c r="E431" i="3"/>
  <c r="E514" i="3"/>
  <c r="E387" i="3"/>
  <c r="E134" i="3"/>
  <c r="E328" i="3"/>
  <c r="AN6" i="3"/>
  <c r="E228" i="3"/>
  <c r="E199" i="3"/>
  <c r="R6" i="3"/>
  <c r="E535" i="3"/>
  <c r="E278" i="3"/>
  <c r="E16" i="3"/>
  <c r="E193" i="3"/>
  <c r="E469" i="3"/>
  <c r="E360" i="3"/>
  <c r="E93" i="3"/>
  <c r="E357" i="3"/>
  <c r="E208" i="3"/>
  <c r="E90" i="3"/>
  <c r="E459" i="3"/>
  <c r="E41" i="3"/>
  <c r="E470" i="3"/>
  <c r="E558" i="3"/>
  <c r="E393" i="3"/>
  <c r="E125" i="3"/>
  <c r="E155" i="3"/>
  <c r="E38" i="3"/>
  <c r="E147" i="3"/>
  <c r="AS6" i="3"/>
  <c r="E154" i="3"/>
  <c r="E444" i="3"/>
  <c r="E241" i="3"/>
  <c r="E488" i="3"/>
  <c r="E190" i="3"/>
  <c r="E522" i="3"/>
  <c r="E370" i="3"/>
  <c r="E326" i="3"/>
  <c r="E182" i="3"/>
  <c r="E65" i="3"/>
  <c r="E67" i="3"/>
  <c r="E249" i="3"/>
  <c r="E166" i="3"/>
  <c r="E526" i="3"/>
  <c r="E409" i="3"/>
  <c r="E454" i="3"/>
  <c r="E281" i="3"/>
  <c r="E437" i="3"/>
  <c r="E524" i="3"/>
  <c r="E414" i="3"/>
  <c r="E140" i="3"/>
  <c r="E236" i="3"/>
  <c r="E97" i="3"/>
  <c r="E298" i="3"/>
  <c r="E205" i="3"/>
  <c r="E496" i="3"/>
  <c r="E533" i="3"/>
  <c r="E518" i="3"/>
  <c r="AR6" i="3"/>
  <c r="E145" i="3"/>
  <c r="E555" i="3"/>
  <c r="E448" i="3"/>
  <c r="E128" i="3"/>
  <c r="AL6" i="3"/>
  <c r="E285" i="3"/>
  <c r="E510" i="3"/>
  <c r="E143" i="3"/>
  <c r="E545" i="3"/>
  <c r="E245" i="3"/>
  <c r="E331" i="3"/>
  <c r="E441" i="3"/>
  <c r="E48" i="3"/>
  <c r="E316" i="3"/>
  <c r="E568" i="3"/>
  <c r="E471" i="3"/>
  <c r="E416" i="3"/>
  <c r="E202" i="3"/>
  <c r="E60" i="3"/>
  <c r="E472" i="3"/>
  <c r="E293" i="3"/>
  <c r="E388" i="3"/>
  <c r="E201" i="3"/>
  <c r="M6" i="3"/>
  <c r="H6" i="3" s="1"/>
  <c r="E215" i="3"/>
  <c r="E319" i="3"/>
  <c r="E227" i="3"/>
  <c r="E303" i="3"/>
  <c r="E77" i="3"/>
  <c r="E575" i="3"/>
  <c r="E442" i="3"/>
  <c r="E172" i="3"/>
  <c r="N6" i="3"/>
  <c r="E290" i="3"/>
  <c r="E573" i="3"/>
  <c r="E408" i="3"/>
  <c r="E497" i="3"/>
  <c r="E14" i="3"/>
  <c r="E257" i="3"/>
  <c r="E168" i="3"/>
  <c r="E460" i="3"/>
  <c r="E223" i="3"/>
  <c r="E26" i="3"/>
  <c r="E494" i="3"/>
  <c r="P6" i="3"/>
  <c r="E368" i="3"/>
  <c r="I3" i="6"/>
  <c r="E58" i="3"/>
  <c r="E339" i="3"/>
  <c r="E218" i="3"/>
  <c r="E59" i="3"/>
  <c r="E309" i="3"/>
  <c r="E152" i="3"/>
  <c r="E389" i="3"/>
  <c r="E18" i="3"/>
  <c r="E235" i="3"/>
  <c r="E49" i="3"/>
  <c r="E113" i="3"/>
  <c r="E197" i="3"/>
  <c r="E572" i="3"/>
  <c r="E250" i="3"/>
  <c r="E92" i="3"/>
  <c r="E347" i="3"/>
  <c r="E79" i="3"/>
  <c r="E30" i="3"/>
  <c r="E478" i="3"/>
  <c r="E517" i="3"/>
  <c r="E571" i="3"/>
  <c r="E336" i="3"/>
  <c r="C33" i="21"/>
  <c r="E491" i="3"/>
  <c r="E391" i="3"/>
  <c r="O6" i="3"/>
  <c r="E506" i="3"/>
  <c r="E530" i="3"/>
  <c r="E263" i="3"/>
  <c r="E304" i="3"/>
  <c r="E185" i="3"/>
  <c r="E374" i="3"/>
  <c r="E578" i="3"/>
  <c r="U6" i="3"/>
  <c r="E252" i="3"/>
  <c r="E270" i="3"/>
  <c r="E259" i="3"/>
  <c r="AC6" i="3"/>
  <c r="E265" i="3"/>
  <c r="E355" i="3"/>
  <c r="E354" i="3"/>
  <c r="E323" i="3"/>
  <c r="E142" i="3"/>
  <c r="E21" i="3"/>
  <c r="E484" i="3"/>
  <c r="E384" i="3"/>
  <c r="E397" i="3"/>
  <c r="E356" i="3"/>
  <c r="E243" i="3"/>
  <c r="E359" i="3"/>
  <c r="E329" i="3"/>
  <c r="E410" i="3"/>
  <c r="E213" i="3"/>
  <c r="E411" i="3"/>
  <c r="Z6" i="3"/>
  <c r="E3" i="6"/>
  <c r="AY6" i="3"/>
  <c r="AA11" i="21"/>
  <c r="S11" i="21"/>
  <c r="M7" i="1"/>
  <c r="AP7" i="1"/>
  <c r="C36" i="69" s="1"/>
  <c r="G16" i="1"/>
  <c r="Z11" i="43"/>
  <c r="Z13" i="43" s="1"/>
  <c r="AF11" i="43"/>
  <c r="AF13" i="43" s="1"/>
  <c r="N101" i="43"/>
  <c r="AI11" i="43"/>
  <c r="AI13" i="43" s="1"/>
  <c r="F22" i="43"/>
  <c r="S3" i="43"/>
  <c r="T3" i="43" s="1"/>
  <c r="V3" i="43" s="1"/>
  <c r="S5" i="43"/>
  <c r="T5" i="43" s="1"/>
  <c r="V5" i="43" s="1"/>
  <c r="S7" i="43"/>
  <c r="T7" i="43" s="1"/>
  <c r="V7" i="43" s="1"/>
  <c r="K101" i="43"/>
  <c r="C23" i="43"/>
  <c r="C21" i="43" s="1"/>
  <c r="C29" i="43" s="1"/>
  <c r="S6" i="43"/>
  <c r="T6" i="43" s="1"/>
  <c r="V6" i="43" s="1"/>
  <c r="Y11" i="43"/>
  <c r="Y13" i="43" s="1"/>
  <c r="E101" i="43"/>
  <c r="S2" i="43"/>
  <c r="T2" i="43" s="1"/>
  <c r="V2" i="43" s="1"/>
  <c r="AB11" i="21"/>
  <c r="U11" i="21"/>
  <c r="K15" i="1"/>
  <c r="E57" i="40"/>
  <c r="E62" i="39"/>
  <c r="E59" i="40"/>
  <c r="E64" i="39"/>
  <c r="F104" i="43"/>
  <c r="F103" i="43"/>
  <c r="F109" i="43"/>
  <c r="F106" i="43"/>
  <c r="F105" i="43"/>
  <c r="F107" i="43"/>
  <c r="F102" i="43"/>
  <c r="C105" i="43"/>
  <c r="C104" i="43"/>
  <c r="C103" i="43"/>
  <c r="C109" i="43"/>
  <c r="C106" i="43"/>
  <c r="C107" i="43"/>
  <c r="C102" i="43"/>
  <c r="I107" i="43"/>
  <c r="I103" i="43"/>
  <c r="I106" i="43"/>
  <c r="I109" i="43"/>
  <c r="I102" i="43"/>
  <c r="I105" i="43"/>
  <c r="I104" i="43"/>
  <c r="L106" i="43"/>
  <c r="L103" i="43"/>
  <c r="L105" i="43"/>
  <c r="L109" i="43"/>
  <c r="L102" i="43"/>
  <c r="L104" i="43"/>
  <c r="L107" i="43"/>
  <c r="J105" i="43"/>
  <c r="J102" i="43"/>
  <c r="J103" i="43"/>
  <c r="J107" i="43"/>
  <c r="J104" i="43"/>
  <c r="J109" i="43"/>
  <c r="J106" i="43"/>
  <c r="D22" i="43"/>
  <c r="G106" i="43"/>
  <c r="G109" i="43"/>
  <c r="G104" i="43"/>
  <c r="G103" i="43"/>
  <c r="G105" i="43"/>
  <c r="G102" i="43"/>
  <c r="G107" i="43"/>
  <c r="O11" i="1"/>
  <c r="P11" i="1" s="1"/>
  <c r="E46" i="40"/>
  <c r="F46" i="40" s="1"/>
  <c r="E47" i="40"/>
  <c r="F47" i="40" s="1"/>
  <c r="E30" i="6"/>
  <c r="K14" i="1"/>
  <c r="P6" i="1"/>
  <c r="E61" i="39"/>
  <c r="E56" i="40"/>
  <c r="E65" i="39"/>
  <c r="E60" i="40"/>
  <c r="F60" i="40" s="1"/>
  <c r="E63" i="39"/>
  <c r="E58" i="40"/>
  <c r="F58" i="40" s="1"/>
  <c r="E56" i="39"/>
  <c r="E66" i="39" s="1"/>
  <c r="E51" i="40"/>
  <c r="F51" i="40" s="1"/>
  <c r="E16" i="6"/>
  <c r="F27" i="6"/>
  <c r="H107" i="43"/>
  <c r="H104" i="43"/>
  <c r="H106" i="43"/>
  <c r="H103" i="43"/>
  <c r="H105" i="43"/>
  <c r="H109" i="43"/>
  <c r="H102" i="43"/>
  <c r="D118" i="43"/>
  <c r="E118" i="43" s="1"/>
  <c r="F118" i="43" s="1"/>
  <c r="B118" i="43"/>
  <c r="C118" i="43" s="1"/>
  <c r="B115" i="43"/>
  <c r="G118" i="43"/>
  <c r="H118" i="43" s="1"/>
  <c r="B117" i="43"/>
  <c r="C117" i="43" s="1"/>
  <c r="I118" i="43"/>
  <c r="J118" i="43" s="1"/>
  <c r="K118" i="43" s="1"/>
  <c r="L118" i="43" s="1"/>
  <c r="M118" i="43" s="1"/>
  <c r="I115" i="43"/>
  <c r="J115" i="43" s="1"/>
  <c r="K115" i="43" s="1"/>
  <c r="L115" i="43" s="1"/>
  <c r="M115" i="43" s="1"/>
  <c r="B116" i="43"/>
  <c r="C116" i="43" s="1"/>
  <c r="I116" i="43"/>
  <c r="J116" i="43" s="1"/>
  <c r="K116" i="43" s="1"/>
  <c r="L116" i="43" s="1"/>
  <c r="M116" i="43" s="1"/>
  <c r="I117" i="43"/>
  <c r="J117" i="43" s="1"/>
  <c r="K117" i="43" s="1"/>
  <c r="L117" i="43" s="1"/>
  <c r="M117" i="43" s="1"/>
  <c r="D116" i="43"/>
  <c r="E116" i="43" s="1"/>
  <c r="F116" i="43" s="1"/>
  <c r="G116" i="43" s="1"/>
  <c r="H116" i="43" s="1"/>
  <c r="D115" i="43"/>
  <c r="E115" i="43" s="1"/>
  <c r="F115" i="43" s="1"/>
  <c r="G115" i="43" s="1"/>
  <c r="H115" i="43" s="1"/>
  <c r="D117" i="43"/>
  <c r="E117" i="43" s="1"/>
  <c r="F117" i="43" s="1"/>
  <c r="G117" i="43" s="1"/>
  <c r="H117" i="43" s="1"/>
  <c r="D103" i="43"/>
  <c r="D105" i="43"/>
  <c r="D104" i="43"/>
  <c r="D106" i="43"/>
  <c r="D102" i="43"/>
  <c r="D107" i="43"/>
  <c r="D109" i="43"/>
  <c r="M106" i="43"/>
  <c r="M104" i="43"/>
  <c r="M105" i="43"/>
  <c r="M102" i="43"/>
  <c r="M109" i="43"/>
  <c r="M107" i="43"/>
  <c r="M103" i="43"/>
  <c r="F27" i="68"/>
  <c r="F28" i="12"/>
  <c r="F27" i="69"/>
  <c r="F27" i="11"/>
  <c r="F57" i="40"/>
  <c r="F56" i="40"/>
  <c r="F59" i="40"/>
  <c r="C49" i="15"/>
  <c r="C49" i="67"/>
  <c r="K4" i="4"/>
  <c r="B46" i="48" s="1"/>
  <c r="B4" i="72" s="1"/>
  <c r="B4" i="62"/>
  <c r="B71" i="72" s="1"/>
  <c r="C15" i="67"/>
  <c r="C18" i="67"/>
  <c r="C19" i="67"/>
  <c r="J18" i="67"/>
  <c r="Q57" i="15"/>
  <c r="Q66" i="15"/>
  <c r="M11" i="67"/>
  <c r="J10" i="67" s="1"/>
  <c r="J5" i="67" s="1"/>
  <c r="M11" i="15"/>
  <c r="J10" i="15" s="1"/>
  <c r="J5" i="15" s="1"/>
  <c r="F11" i="15"/>
  <c r="F11" i="67"/>
  <c r="C53" i="67" s="1"/>
  <c r="F22" i="68"/>
  <c r="F22" i="69"/>
  <c r="F24" i="15"/>
  <c r="C24" i="15" s="1"/>
  <c r="F25" i="12"/>
  <c r="F24" i="67"/>
  <c r="C24" i="67" s="1"/>
  <c r="F22" i="11"/>
  <c r="J18" i="15"/>
  <c r="O28" i="43"/>
  <c r="N28" i="43"/>
  <c r="M28" i="43"/>
  <c r="P28" i="43"/>
  <c r="Q60" i="67"/>
  <c r="Q73" i="67"/>
  <c r="C32" i="67"/>
  <c r="C33" i="67"/>
  <c r="Q66" i="67"/>
  <c r="Q57" i="67"/>
  <c r="L46" i="15"/>
  <c r="C32" i="15"/>
  <c r="C33" i="15"/>
  <c r="Q73" i="15"/>
  <c r="Q60" i="15"/>
  <c r="C48" i="67" l="1"/>
  <c r="C66" i="67" s="1"/>
  <c r="E6" i="3"/>
  <c r="U11" i="79"/>
  <c r="AB11" i="79"/>
  <c r="W11" i="79"/>
  <c r="AC11" i="79"/>
  <c r="S11" i="79"/>
  <c r="AA11" i="79"/>
  <c r="C10" i="67"/>
  <c r="C5" i="67" s="1"/>
  <c r="C38" i="67" s="1"/>
  <c r="F33" i="79"/>
  <c r="J33" i="79"/>
  <c r="H33" i="79"/>
  <c r="H33" i="21"/>
  <c r="J33" i="21"/>
  <c r="F33" i="21"/>
  <c r="E109" i="43"/>
  <c r="E105" i="43"/>
  <c r="E106" i="43"/>
  <c r="E104" i="43"/>
  <c r="E107" i="43"/>
  <c r="E103" i="43"/>
  <c r="E102" i="43"/>
  <c r="K104" i="43"/>
  <c r="K103" i="43"/>
  <c r="K106" i="43"/>
  <c r="K107" i="43"/>
  <c r="K109" i="43"/>
  <c r="K105" i="43"/>
  <c r="K102" i="43"/>
  <c r="N105" i="43"/>
  <c r="N107" i="43"/>
  <c r="N109" i="43"/>
  <c r="N104" i="43"/>
  <c r="N102" i="43"/>
  <c r="N103" i="43"/>
  <c r="N106" i="43"/>
  <c r="AY66" i="3"/>
  <c r="AY201" i="3"/>
  <c r="AY74" i="3"/>
  <c r="AY489" i="3"/>
  <c r="AY67" i="3"/>
  <c r="AY180" i="3"/>
  <c r="AY209" i="3"/>
  <c r="AY289" i="3"/>
  <c r="AY294" i="3"/>
  <c r="BK6" i="3"/>
  <c r="AY268" i="3"/>
  <c r="AY206" i="3"/>
  <c r="AY569" i="3"/>
  <c r="AY395" i="3"/>
  <c r="AY358" i="3"/>
  <c r="AY123" i="3"/>
  <c r="AY455" i="3"/>
  <c r="AY50" i="3"/>
  <c r="AY228" i="3"/>
  <c r="AY77" i="3"/>
  <c r="AY106" i="3"/>
  <c r="AY59" i="3"/>
  <c r="AY334" i="3"/>
  <c r="AY237" i="3"/>
  <c r="AY163" i="3"/>
  <c r="AY171" i="3"/>
  <c r="AY98" i="3"/>
  <c r="AY133" i="3"/>
  <c r="AY190" i="3"/>
  <c r="AY61" i="3"/>
  <c r="AY533" i="3"/>
  <c r="AY420" i="3"/>
  <c r="AY372" i="3"/>
  <c r="AY26" i="3"/>
  <c r="AY335" i="3"/>
  <c r="AY188" i="3"/>
  <c r="AY51" i="3"/>
  <c r="AY281" i="3"/>
  <c r="AY473" i="3"/>
  <c r="AY116" i="3"/>
  <c r="AY343" i="3"/>
  <c r="AY417" i="3"/>
  <c r="AY539" i="3"/>
  <c r="AY84" i="3"/>
  <c r="AY193" i="3"/>
  <c r="AY134" i="3"/>
  <c r="AY247" i="3"/>
  <c r="AY230" i="3"/>
  <c r="AY204" i="3"/>
  <c r="AY252" i="3"/>
  <c r="AY131" i="3"/>
  <c r="AY160" i="3"/>
  <c r="AY465" i="3"/>
  <c r="AY170" i="3"/>
  <c r="AY342" i="3"/>
  <c r="AY23" i="3"/>
  <c r="AY147" i="3"/>
  <c r="AY191" i="3"/>
  <c r="AY165" i="3"/>
  <c r="AY92" i="3"/>
  <c r="AY463" i="3"/>
  <c r="AY529" i="3"/>
  <c r="AY115" i="3"/>
  <c r="AY366" i="3"/>
  <c r="AY379" i="3"/>
  <c r="AY540" i="3"/>
  <c r="AY198" i="3"/>
  <c r="AY263" i="3"/>
  <c r="AY219" i="3"/>
  <c r="AY374" i="3"/>
  <c r="BH6" i="3"/>
  <c r="AY73" i="3"/>
  <c r="AY202" i="3"/>
  <c r="AY145" i="3"/>
  <c r="AY259" i="3"/>
  <c r="AY388" i="3"/>
  <c r="AY333" i="3"/>
  <c r="AY87" i="3"/>
  <c r="AY303" i="3"/>
  <c r="AY355" i="3"/>
  <c r="BO6" i="3"/>
  <c r="AY182" i="3"/>
  <c r="AY255" i="3"/>
  <c r="AY83" i="3"/>
  <c r="AY45" i="3"/>
  <c r="AY28" i="3"/>
  <c r="AY452" i="3"/>
  <c r="AY444" i="3"/>
  <c r="AY75" i="3"/>
  <c r="AY18" i="3"/>
  <c r="AY154" i="3"/>
  <c r="AY97" i="3"/>
  <c r="AY310" i="3"/>
  <c r="AY441" i="3"/>
  <c r="AY176" i="3"/>
  <c r="AY236" i="3"/>
  <c r="AY212" i="3"/>
  <c r="AY573" i="3"/>
  <c r="AY20" i="3"/>
  <c r="AY286" i="3"/>
  <c r="AY196" i="3"/>
  <c r="AY118" i="3"/>
  <c r="AY138" i="3"/>
  <c r="AY553" i="3"/>
  <c r="AY350" i="3"/>
  <c r="AY278" i="3"/>
  <c r="AY544" i="3"/>
  <c r="AY225" i="3"/>
  <c r="AY43" i="3"/>
  <c r="AY69" i="3"/>
  <c r="AY246" i="3"/>
  <c r="AY360" i="3"/>
  <c r="AY56" i="3"/>
  <c r="AY295" i="3"/>
  <c r="AY353" i="3"/>
  <c r="AY152" i="3"/>
  <c r="AY404" i="3"/>
  <c r="AY126" i="3"/>
  <c r="AY384" i="3"/>
  <c r="BB6" i="3"/>
  <c r="AY181" i="3"/>
  <c r="AY258" i="3"/>
  <c r="AY309" i="3"/>
  <c r="AY467" i="3"/>
  <c r="AY454" i="3"/>
  <c r="AY435" i="3"/>
  <c r="AY525" i="3"/>
  <c r="BN6" i="3"/>
  <c r="AY518" i="3"/>
  <c r="AY508" i="3"/>
  <c r="AY577" i="3"/>
  <c r="AY49" i="3"/>
  <c r="AY205" i="3"/>
  <c r="AY122" i="3"/>
  <c r="AY390" i="3"/>
  <c r="AY25" i="3"/>
  <c r="AY211" i="3"/>
  <c r="AY186" i="3"/>
  <c r="AY325" i="3"/>
  <c r="AY462" i="3"/>
  <c r="BQ6" i="3"/>
  <c r="AY495" i="3"/>
  <c r="AY582" i="3"/>
  <c r="AY194"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139" i="3"/>
  <c r="AY319" i="3"/>
  <c r="AY103" i="3"/>
  <c r="AY409" i="3"/>
  <c r="AY60" i="3"/>
  <c r="AY245" i="3"/>
  <c r="AY486" i="3"/>
  <c r="AY292" i="3"/>
  <c r="AY82" i="3"/>
  <c r="AY185" i="3"/>
  <c r="BE6" i="3"/>
  <c r="AY327" i="3"/>
  <c r="AY470" i="3"/>
  <c r="AY207" i="3"/>
  <c r="AY326" i="3"/>
  <c r="AY162" i="3"/>
  <c r="AY392" i="3"/>
  <c r="BJ6" i="3"/>
  <c r="AY197" i="3"/>
  <c r="AY274" i="3"/>
  <c r="AY317" i="3"/>
  <c r="AY425" i="3"/>
  <c r="AY89" i="3"/>
  <c r="AY270" i="3"/>
  <c r="AY88" i="3"/>
  <c r="AY215" i="3"/>
  <c r="AY480" i="3"/>
  <c r="AY419" i="3"/>
  <c r="AY536" i="3"/>
  <c r="AY532" i="3"/>
  <c r="AY64" i="3"/>
  <c r="AY95" i="3"/>
  <c r="AY157" i="3"/>
  <c r="AY130" i="3"/>
  <c r="AY430" i="3"/>
  <c r="BG6" i="3"/>
  <c r="AY158" i="3"/>
  <c r="AY396" i="3"/>
  <c r="AY320" i="3"/>
  <c r="AY434" i="3"/>
  <c r="AY538" i="3"/>
  <c r="AY545" i="3"/>
  <c r="AY62" i="3"/>
  <c r="AY301" i="3"/>
  <c r="AY359" i="3"/>
  <c r="AY408" i="3"/>
  <c r="AY107" i="3"/>
  <c r="AY164" i="3"/>
  <c r="AY240" i="3"/>
  <c r="AY351" i="3"/>
  <c r="AY477" i="3"/>
  <c r="AY400" i="3"/>
  <c r="AY566" i="3"/>
  <c r="AY34" i="3"/>
  <c r="AY311" i="3"/>
  <c r="AY178" i="3"/>
  <c r="AY389" i="3"/>
  <c r="AY150" i="3"/>
  <c r="AY340" i="3"/>
  <c r="AY446" i="3"/>
  <c r="BM6" i="3"/>
  <c r="AY510" i="3"/>
  <c r="AY519" i="3"/>
  <c r="AY189" i="3"/>
  <c r="AY282" i="3"/>
  <c r="AY223" i="3"/>
  <c r="AY345" i="3"/>
  <c r="AY328" i="3"/>
  <c r="AY484" i="3"/>
  <c r="AY442" i="3"/>
  <c r="AY423" i="3"/>
  <c r="AY499" i="3"/>
  <c r="AY502" i="3"/>
  <c r="BR6" i="3"/>
  <c r="BA6" i="3"/>
  <c r="AY78" i="3"/>
  <c r="AY187" i="3"/>
  <c r="AY127" i="3"/>
  <c r="AY264" i="3"/>
  <c r="AY376" i="3"/>
  <c r="AY318" i="3"/>
  <c r="AY261" i="3"/>
  <c r="AY149" i="3"/>
  <c r="AY371" i="3"/>
  <c r="AY387" i="3"/>
  <c r="AY90" i="3"/>
  <c r="AY283" i="3"/>
  <c r="AY44" i="3"/>
  <c r="AY549" i="3"/>
  <c r="AY260" i="3"/>
  <c r="AY297" i="3"/>
  <c r="AY124" i="3"/>
  <c r="AY497" i="3"/>
  <c r="AY478" i="3"/>
  <c r="AY100" i="3"/>
  <c r="AY173" i="3"/>
  <c r="AY262" i="3"/>
  <c r="AY541" i="3"/>
  <c r="AY284" i="3"/>
  <c r="AY155" i="3"/>
  <c r="AY428" i="3"/>
  <c r="AY31" i="3"/>
  <c r="AY33" i="3"/>
  <c r="AY217" i="3"/>
  <c r="AY42" i="3"/>
  <c r="AY436" i="3"/>
  <c r="AY141" i="3"/>
  <c r="AY397" i="3"/>
  <c r="AY109" i="3"/>
  <c r="AY166" i="3"/>
  <c r="AY242" i="3"/>
  <c r="AY348" i="3"/>
  <c r="AY199" i="3"/>
  <c r="AY53" i="3"/>
  <c r="AY238" i="3"/>
  <c r="AY368" i="3"/>
  <c r="AY72" i="3"/>
  <c r="AY121" i="3"/>
  <c r="AY370" i="3"/>
  <c r="AY308" i="3"/>
  <c r="AY464" i="3"/>
  <c r="AY422" i="3"/>
  <c r="AY403" i="3"/>
  <c r="AY516" i="3"/>
  <c r="AY527" i="3"/>
  <c r="AY559" i="3"/>
  <c r="AY556" i="3"/>
  <c r="AY112" i="3"/>
  <c r="AY32" i="3"/>
  <c r="AY142" i="3"/>
  <c r="AY382" i="3"/>
  <c r="AY574" i="3"/>
  <c r="AY271" i="3"/>
  <c r="BI6" i="3"/>
  <c r="AY243" i="3"/>
  <c r="AY475" i="3"/>
  <c r="AY398" i="3"/>
  <c r="AY534" i="3"/>
  <c r="AY501" i="3"/>
  <c r="AY65" i="3"/>
  <c r="AY137"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363" i="3"/>
  <c r="AY433" i="3"/>
  <c r="AY183" i="3"/>
  <c r="AY108" i="3"/>
  <c r="AY299" i="3"/>
  <c r="AY513" i="3"/>
  <c r="AY58" i="3"/>
  <c r="AY220" i="3"/>
  <c r="AY132" i="3"/>
  <c r="AY125" i="3"/>
  <c r="AY76" i="3"/>
  <c r="AY401" i="3"/>
  <c r="AY300" i="3"/>
  <c r="AY276" i="3"/>
  <c r="AY412" i="3"/>
  <c r="AY105" i="3"/>
  <c r="AY231" i="3"/>
  <c r="AY357" i="3"/>
  <c r="AY41" i="3"/>
  <c r="AY114" i="3"/>
  <c r="AY377" i="3"/>
  <c r="AY144" i="3"/>
  <c r="AY481" i="3"/>
  <c r="AY146" i="3"/>
  <c r="AY373" i="3"/>
  <c r="AY161" i="3"/>
  <c r="AY324" i="3"/>
  <c r="AY438" i="3"/>
  <c r="AY580" i="3"/>
  <c r="AY552" i="3"/>
  <c r="AY523" i="3"/>
  <c r="AY174" i="3"/>
  <c r="AY447" i="3"/>
  <c r="AY365" i="3"/>
  <c r="AY316" i="3"/>
  <c r="AY585" i="3"/>
  <c r="AY101" i="3"/>
  <c r="AY267" i="3"/>
  <c r="AY337" i="3"/>
  <c r="AY476" i="3"/>
  <c r="AY415" i="3"/>
  <c r="AY515" i="3"/>
  <c r="AY493" i="3"/>
  <c r="AY248" i="3"/>
  <c r="AY547" i="3"/>
  <c r="AY293" i="3"/>
  <c r="AY307" i="3"/>
  <c r="AY521" i="3"/>
  <c r="AY460" i="3"/>
  <c r="AY239" i="3"/>
  <c r="AY226" i="3"/>
  <c r="AY427" i="3"/>
  <c r="AY584" i="3"/>
  <c r="AY129" i="3"/>
  <c r="AY369" i="3"/>
  <c r="AY487" i="3"/>
  <c r="AY410" i="3"/>
  <c r="D3" i="6"/>
  <c r="AY531" i="3"/>
  <c r="AY35" i="3"/>
  <c r="AY280" i="3"/>
  <c r="AY331" i="3"/>
  <c r="AY466" i="3"/>
  <c r="AY405" i="3"/>
  <c r="AY512" i="3"/>
  <c r="AY86" i="3"/>
  <c r="AY27" i="3"/>
  <c r="AY159" i="3"/>
  <c r="AY273" i="3"/>
  <c r="AY213" i="3"/>
  <c r="AY323" i="3"/>
  <c r="AY459" i="3"/>
  <c r="AY550" i="3"/>
  <c r="AY504" i="3"/>
  <c r="AY168" i="3"/>
  <c r="AY557" i="3"/>
  <c r="AY291" i="3"/>
  <c r="AY381" i="3"/>
  <c r="AY104" i="3"/>
  <c r="AY177" i="3"/>
  <c r="AY210" i="3"/>
  <c r="AY332" i="3"/>
  <c r="AY244" i="3"/>
  <c r="AY36" i="3"/>
  <c r="AY227" i="3"/>
  <c r="AY29" i="3"/>
  <c r="AY341" i="3"/>
  <c r="AY449" i="3"/>
  <c r="AY503" i="3"/>
  <c r="AY520" i="3"/>
  <c r="AY496" i="3"/>
  <c r="AY21" i="3"/>
  <c r="AY526" i="3"/>
  <c r="AY254" i="3"/>
  <c r="AY393" i="3"/>
  <c r="AY411" i="3"/>
  <c r="AY494" i="3"/>
  <c r="AY113" i="3"/>
  <c r="AY361" i="3"/>
  <c r="AY479" i="3"/>
  <c r="AY402" i="3"/>
  <c r="AY522" i="3"/>
  <c r="BP6" i="3"/>
  <c r="AY19" i="3"/>
  <c r="AY265" i="3"/>
  <c r="AY315" i="3"/>
  <c r="AY500" i="3"/>
  <c r="AY71" i="3"/>
  <c r="AY143" i="3"/>
  <c r="AY208" i="3"/>
  <c r="AY339" i="3"/>
  <c r="AY474" i="3"/>
  <c r="AY413" i="3"/>
  <c r="AY583" i="3"/>
  <c r="AY111" i="3"/>
  <c r="AY535" i="3"/>
  <c r="AY222" i="3"/>
  <c r="AY356" i="3"/>
  <c r="AY581" i="3"/>
  <c r="AY514" i="3"/>
  <c r="AY287" i="3"/>
  <c r="AY364" i="3"/>
  <c r="AY471" i="3"/>
  <c r="AY439" i="3"/>
  <c r="AY524" i="3"/>
  <c r="AY578" i="3"/>
  <c r="AY192" i="3"/>
  <c r="AY249" i="3"/>
  <c r="AY346" i="3"/>
  <c r="AY558" i="3"/>
  <c r="AY55" i="3"/>
  <c r="AY128" i="3"/>
  <c r="AY391" i="3"/>
  <c r="AY448" i="3"/>
  <c r="AY586" i="3"/>
  <c r="BS6" i="3"/>
  <c r="AY491" i="3"/>
  <c r="AY561" i="3"/>
  <c r="AY96" i="3"/>
  <c r="AY251" i="3"/>
  <c r="AY329" i="3"/>
  <c r="AY468" i="3"/>
  <c r="AY407" i="3"/>
  <c r="AY565" i="3"/>
  <c r="AY99" i="3"/>
  <c r="AY156" i="3"/>
  <c r="AY232" i="3"/>
  <c r="AY469" i="3"/>
  <c r="AY560" i="3"/>
  <c r="AY38" i="3"/>
  <c r="AY277" i="3"/>
  <c r="AY354" i="3"/>
  <c r="AY429" i="3"/>
  <c r="AY172" i="3"/>
  <c r="AY485" i="3"/>
  <c r="AY54" i="3"/>
  <c r="AY386" i="3"/>
  <c r="AY443" i="3"/>
  <c r="BT6" i="3"/>
  <c r="AY555" i="3"/>
  <c r="AY93" i="3"/>
  <c r="AY488" i="3"/>
  <c r="BF6" i="3"/>
  <c r="AY80" i="3"/>
  <c r="AY266" i="3"/>
  <c r="AY313" i="3"/>
  <c r="AY453" i="3"/>
  <c r="AY579" i="3"/>
  <c r="AY509" i="3"/>
  <c r="AY94" i="3"/>
  <c r="AY167" i="3"/>
  <c r="AY221" i="3"/>
  <c r="AY314" i="3"/>
  <c r="AY424" i="3"/>
  <c r="AY517" i="3"/>
  <c r="AY587" i="3"/>
  <c r="AY70" i="3"/>
  <c r="AY179" i="3"/>
  <c r="AY119" i="3"/>
  <c r="AY256" i="3"/>
  <c r="AY367" i="3"/>
  <c r="AY306" i="3"/>
  <c r="AY416" i="3"/>
  <c r="BC6" i="3"/>
  <c r="AY498" i="3"/>
  <c r="AY229" i="3"/>
  <c r="AY52" i="3"/>
  <c r="AY214" i="3"/>
  <c r="AY554" i="3"/>
  <c r="AY24" i="3"/>
  <c r="AY290" i="3"/>
  <c r="AY349" i="3"/>
  <c r="AY253" i="3"/>
  <c r="AY562" i="3"/>
  <c r="AY302" i="3"/>
  <c r="AY507" i="3"/>
  <c r="AY275" i="3"/>
  <c r="AY483" i="3"/>
  <c r="AY406" i="3"/>
  <c r="AY572" i="3"/>
  <c r="AY543" i="3"/>
  <c r="AY81" i="3"/>
  <c r="AY153" i="3"/>
  <c r="AY85" i="3"/>
  <c r="AY57" i="3"/>
  <c r="AY472" i="3"/>
  <c r="AY571" i="3"/>
  <c r="AY48" i="3"/>
  <c r="AY250" i="3"/>
  <c r="AY305" i="3"/>
  <c r="AY445" i="3"/>
  <c r="AY505" i="3"/>
  <c r="AY551" i="3"/>
  <c r="AY79" i="3"/>
  <c r="AY151" i="3"/>
  <c r="AY394" i="3"/>
  <c r="AY451" i="3"/>
  <c r="AY568" i="3"/>
  <c r="AY200" i="3"/>
  <c r="AY257" i="3"/>
  <c r="AY375" i="3"/>
  <c r="AY322" i="3"/>
  <c r="AY432" i="3"/>
  <c r="AY15" i="3"/>
  <c r="AY567" i="3"/>
  <c r="AY269" i="3"/>
  <c r="AY68" i="3"/>
  <c r="AY40" i="3"/>
  <c r="AY457" i="3"/>
  <c r="AY546" i="3"/>
  <c r="AY37" i="3"/>
  <c r="AY234" i="3"/>
  <c r="AY344" i="3"/>
  <c r="AY458" i="3"/>
  <c r="AY506" i="3"/>
  <c r="AY542" i="3"/>
  <c r="AY63" i="3"/>
  <c r="AY135" i="3"/>
  <c r="AY378" i="3"/>
  <c r="AY456" i="3"/>
  <c r="BL6" i="3"/>
  <c r="AY184" i="3"/>
  <c r="AY241" i="3"/>
  <c r="AY338" i="3"/>
  <c r="BD6" i="3"/>
  <c r="AY117" i="3"/>
  <c r="AY279" i="3"/>
  <c r="AY414" i="3"/>
  <c r="AY16" i="3"/>
  <c r="AY169" i="3"/>
  <c r="AY380" i="3"/>
  <c r="AY312" i="3"/>
  <c r="AY426" i="3"/>
  <c r="AY14" i="3"/>
  <c r="AY570" i="3"/>
  <c r="AY46" i="3"/>
  <c r="AY285" i="3"/>
  <c r="AY362" i="3"/>
  <c r="AY437" i="3"/>
  <c r="AY91" i="3"/>
  <c r="AY148" i="3"/>
  <c r="AY224" i="3"/>
  <c r="AY490" i="3"/>
  <c r="AY511" i="3"/>
  <c r="E29" i="43"/>
  <c r="C26" i="43" s="1"/>
  <c r="B2" i="43" s="1"/>
  <c r="C30" i="43"/>
  <c r="E30" i="43" s="1"/>
  <c r="C27" i="43" s="1"/>
  <c r="J10" i="40"/>
  <c r="H10" i="39"/>
  <c r="F10" i="39"/>
  <c r="F10" i="40"/>
  <c r="H10" i="40"/>
  <c r="J10" i="39"/>
  <c r="O7" i="1"/>
  <c r="P7" i="1" s="1"/>
  <c r="C13" i="12" s="1"/>
  <c r="E6" i="6"/>
  <c r="D3" i="39"/>
  <c r="L18" i="9"/>
  <c r="M18" i="9"/>
  <c r="B118" i="9" s="1"/>
  <c r="B14" i="74" s="1"/>
  <c r="B1" i="74" s="1"/>
  <c r="D3" i="37"/>
  <c r="B2" i="37" s="1"/>
  <c r="B3" i="37" s="1"/>
  <c r="D14" i="12"/>
  <c r="D17" i="12" s="1"/>
  <c r="C17" i="12" s="1"/>
  <c r="D19" i="11"/>
  <c r="C19" i="11" s="1"/>
  <c r="C20" i="11" s="1"/>
  <c r="D37" i="11"/>
  <c r="C17" i="4"/>
  <c r="B4" i="52" s="1"/>
  <c r="B43" i="72" s="1"/>
  <c r="D3" i="34"/>
  <c r="B2" i="34" s="1"/>
  <c r="B3" i="34" s="1"/>
  <c r="D3" i="33"/>
  <c r="B2" i="33" s="1"/>
  <c r="B3" i="33" s="1"/>
  <c r="C29" i="69"/>
  <c r="D27" i="69" s="1"/>
  <c r="C47" i="69"/>
  <c r="D45" i="69" s="1"/>
  <c r="C47" i="68"/>
  <c r="D45" i="68" s="1"/>
  <c r="E27" i="6"/>
  <c r="F31" i="6"/>
  <c r="M14" i="1"/>
  <c r="K16" i="1"/>
  <c r="C34" i="69"/>
  <c r="B3" i="43"/>
  <c r="C47" i="11"/>
  <c r="D45" i="11" s="1"/>
  <c r="C115" i="43"/>
  <c r="D113" i="43" s="1"/>
  <c r="J26" i="67"/>
  <c r="J29" i="67" s="1"/>
  <c r="J24" i="67"/>
  <c r="C26" i="69"/>
  <c r="D22" i="69" s="1"/>
  <c r="C44" i="69"/>
  <c r="D41" i="69" s="1"/>
  <c r="C31" i="67"/>
  <c r="J26" i="15"/>
  <c r="J24" i="15"/>
  <c r="C53" i="15"/>
  <c r="C48" i="15" s="1"/>
  <c r="C10" i="15"/>
  <c r="C5" i="15" s="1"/>
  <c r="C20" i="67"/>
  <c r="C23" i="67" s="1"/>
  <c r="E6" i="76"/>
  <c r="B6" i="76"/>
  <c r="C60" i="67" l="1"/>
  <c r="AA33" i="21"/>
  <c r="R48" i="21" s="1"/>
  <c r="S33" i="21"/>
  <c r="U33" i="21"/>
  <c r="AB33" i="21"/>
  <c r="T48" i="21" s="1"/>
  <c r="G48" i="21" s="1"/>
  <c r="U33" i="79"/>
  <c r="AB33" i="79"/>
  <c r="T48" i="79" s="1"/>
  <c r="G48" i="79" s="1"/>
  <c r="S33" i="79"/>
  <c r="AA33" i="79"/>
  <c r="R48" i="79" s="1"/>
  <c r="W33" i="21"/>
  <c r="AC33" i="21"/>
  <c r="V48" i="21" s="1"/>
  <c r="I48" i="21" s="1"/>
  <c r="I52" i="21" s="1"/>
  <c r="J52" i="21" s="1"/>
  <c r="W33" i="79"/>
  <c r="AC33" i="79"/>
  <c r="V48" i="79" s="1"/>
  <c r="I48" i="79" s="1"/>
  <c r="B2" i="76"/>
  <c r="D10" i="68"/>
  <c r="D10" i="11"/>
  <c r="C10" i="11" s="1"/>
  <c r="D10" i="69"/>
  <c r="D20" i="12"/>
  <c r="C20" i="12" s="1"/>
  <c r="W10" i="39"/>
  <c r="AC10" i="39"/>
  <c r="V47" i="39" s="1"/>
  <c r="I47" i="39" s="1"/>
  <c r="S10" i="40"/>
  <c r="AA10" i="40"/>
  <c r="AB10" i="39"/>
  <c r="T47" i="39" s="1"/>
  <c r="G47" i="39" s="1"/>
  <c r="U10" i="39"/>
  <c r="D25" i="6"/>
  <c r="D24" i="6"/>
  <c r="E61" i="40"/>
  <c r="F61" i="40" s="1"/>
  <c r="B2" i="40" s="1"/>
  <c r="B3" i="40" s="1"/>
  <c r="D23" i="6"/>
  <c r="D20" i="6"/>
  <c r="L19" i="9"/>
  <c r="C18" i="4"/>
  <c r="D6" i="6"/>
  <c r="D22" i="6"/>
  <c r="D5" i="6"/>
  <c r="D19" i="6"/>
  <c r="M19" i="9"/>
  <c r="C118" i="9" s="1"/>
  <c r="C14" i="74" s="1"/>
  <c r="B2" i="74" s="1"/>
  <c r="D21" i="6"/>
  <c r="D9" i="6"/>
  <c r="D26" i="6"/>
  <c r="D29" i="6"/>
  <c r="D14" i="6"/>
  <c r="D28" i="6"/>
  <c r="D30" i="6" s="1"/>
  <c r="D13" i="6"/>
  <c r="D10" i="6"/>
  <c r="D12" i="6"/>
  <c r="D11" i="6"/>
  <c r="D15" i="6"/>
  <c r="D8" i="6"/>
  <c r="C8" i="74"/>
  <c r="C7" i="74"/>
  <c r="E48" i="21"/>
  <c r="R49" i="21"/>
  <c r="U10" i="40"/>
  <c r="AB10" i="40"/>
  <c r="S10" i="39"/>
  <c r="AA10" i="39"/>
  <c r="R47" i="39" s="1"/>
  <c r="W10" i="40"/>
  <c r="AC10" i="40"/>
  <c r="E2" i="76"/>
  <c r="C38" i="69"/>
  <c r="C35" i="69"/>
  <c r="O14" i="1"/>
  <c r="O16" i="1" s="1"/>
  <c r="M16" i="1"/>
  <c r="E31" i="6"/>
  <c r="K26" i="6"/>
  <c r="M26" i="6" s="1"/>
  <c r="I26" i="6" s="1"/>
  <c r="K19" i="6"/>
  <c r="K20" i="6"/>
  <c r="K25" i="6"/>
  <c r="M25" i="6" s="1"/>
  <c r="I25" i="6" s="1"/>
  <c r="K23" i="6"/>
  <c r="M23" i="6" s="1"/>
  <c r="I23" i="6" s="1"/>
  <c r="K21" i="6"/>
  <c r="K22" i="6"/>
  <c r="K24" i="6"/>
  <c r="M24" i="6" s="1"/>
  <c r="I24" i="6" s="1"/>
  <c r="C26" i="67"/>
  <c r="C29" i="67" s="1"/>
  <c r="C38" i="15"/>
  <c r="C66" i="15"/>
  <c r="C60" i="15"/>
  <c r="B3" i="76" l="1"/>
  <c r="I52" i="79"/>
  <c r="J52" i="79" s="1"/>
  <c r="E48" i="79"/>
  <c r="I53" i="79" s="1"/>
  <c r="J53" i="79" s="1"/>
  <c r="R49" i="79"/>
  <c r="G52" i="79"/>
  <c r="H52" i="79" s="1"/>
  <c r="G53" i="79"/>
  <c r="H53" i="79" s="1"/>
  <c r="G53" i="21"/>
  <c r="H53" i="21" s="1"/>
  <c r="G52" i="21"/>
  <c r="H52" i="21" s="1"/>
  <c r="E47" i="39"/>
  <c r="R48" i="39"/>
  <c r="C49" i="21"/>
  <c r="C48" i="21"/>
  <c r="D16" i="6"/>
  <c r="D8" i="74"/>
  <c r="D7" i="74"/>
  <c r="I51" i="39"/>
  <c r="J51" i="39" s="1"/>
  <c r="I52" i="39"/>
  <c r="J52" i="39" s="1"/>
  <c r="E52" i="21"/>
  <c r="F52" i="21" s="1"/>
  <c r="E53" i="21"/>
  <c r="F53" i="21" s="1"/>
  <c r="I53" i="21"/>
  <c r="J53" i="21" s="1"/>
  <c r="D27" i="6"/>
  <c r="D31" i="6" s="1"/>
  <c r="A10" i="51"/>
  <c r="B9" i="72" s="1"/>
  <c r="A7" i="51"/>
  <c r="B7" i="72" s="1"/>
  <c r="C4" i="52"/>
  <c r="B45" i="72" s="1"/>
  <c r="G52" i="39"/>
  <c r="H52" i="39" s="1"/>
  <c r="G51" i="39"/>
  <c r="H51" i="39" s="1"/>
  <c r="C10" i="69"/>
  <c r="C8" i="69" s="1"/>
  <c r="C5" i="69" s="1"/>
  <c r="C23" i="69" s="1"/>
  <c r="D19" i="69"/>
  <c r="C10" i="68"/>
  <c r="B29" i="1" s="1"/>
  <c r="C8" i="68" s="1"/>
  <c r="D19" i="68"/>
  <c r="D37" i="68" s="1"/>
  <c r="S24" i="6"/>
  <c r="H24" i="6"/>
  <c r="R24" i="6" s="1"/>
  <c r="S8" i="1"/>
  <c r="M21" i="6"/>
  <c r="I21" i="6" s="1"/>
  <c r="S25" i="6"/>
  <c r="H25" i="6"/>
  <c r="R25" i="6" s="1"/>
  <c r="M19" i="6"/>
  <c r="S6" i="1"/>
  <c r="K27" i="6"/>
  <c r="P14" i="1"/>
  <c r="P16" i="1" s="1"/>
  <c r="C11" i="12" s="1"/>
  <c r="M22" i="6"/>
  <c r="I22" i="6" s="1"/>
  <c r="S9" i="1"/>
  <c r="H23" i="6"/>
  <c r="R23" i="6" s="1"/>
  <c r="S23" i="6"/>
  <c r="S7" i="1"/>
  <c r="M20" i="6"/>
  <c r="I20" i="6" s="1"/>
  <c r="H26" i="6"/>
  <c r="R26" i="6" s="1"/>
  <c r="S26" i="6"/>
  <c r="L16" i="1"/>
  <c r="N16" i="1"/>
  <c r="B21" i="1" s="1"/>
  <c r="C36" i="67"/>
  <c r="C13" i="67"/>
  <c r="C57" i="67"/>
  <c r="J14" i="67"/>
  <c r="Q49" i="67"/>
  <c r="J19" i="67"/>
  <c r="J17" i="67" s="1"/>
  <c r="C17" i="15"/>
  <c r="C48" i="79" l="1"/>
  <c r="C49" i="79"/>
  <c r="E52" i="79"/>
  <c r="F52" i="79" s="1"/>
  <c r="E53" i="79"/>
  <c r="F53" i="79" s="1"/>
  <c r="I6" i="6"/>
  <c r="I5" i="6"/>
  <c r="D37" i="69"/>
  <c r="C37" i="69" s="1"/>
  <c r="C33" i="69" s="1"/>
  <c r="C19" i="69"/>
  <c r="C18" i="12"/>
  <c r="B3" i="21"/>
  <c r="D6" i="12" s="1"/>
  <c r="B2" i="21"/>
  <c r="E51" i="39"/>
  <c r="F51" i="39" s="1"/>
  <c r="E52" i="39"/>
  <c r="F52" i="39" s="1"/>
  <c r="C48" i="39"/>
  <c r="C47" i="39"/>
  <c r="T7" i="1"/>
  <c r="AR7" i="1"/>
  <c r="AQ7" i="1"/>
  <c r="S22" i="6"/>
  <c r="H22" i="6"/>
  <c r="R22" i="6" s="1"/>
  <c r="R9" i="1" s="1"/>
  <c r="C12" i="12"/>
  <c r="C15" i="12"/>
  <c r="S16" i="1"/>
  <c r="AQ6" i="1"/>
  <c r="AR6" i="1"/>
  <c r="T6" i="1"/>
  <c r="S21" i="6"/>
  <c r="H21" i="6"/>
  <c r="R21" i="6" s="1"/>
  <c r="R8" i="1" s="1"/>
  <c r="B24" i="1"/>
  <c r="B23" i="1"/>
  <c r="C29" i="68"/>
  <c r="D27" i="68" s="1"/>
  <c r="C28" i="11"/>
  <c r="C27" i="11" s="1"/>
  <c r="C44" i="11"/>
  <c r="D41" i="11" s="1"/>
  <c r="C29" i="11"/>
  <c r="D27" i="11" s="1"/>
  <c r="C24" i="11"/>
  <c r="C24" i="68"/>
  <c r="C44" i="68"/>
  <c r="D41" i="68" s="1"/>
  <c r="S20" i="6"/>
  <c r="H20" i="6"/>
  <c r="R20" i="6" s="1"/>
  <c r="R7" i="1" s="1"/>
  <c r="AQ9" i="1"/>
  <c r="E9" i="70"/>
  <c r="E2" i="70" s="1"/>
  <c r="T9" i="1"/>
  <c r="AR9" i="1"/>
  <c r="M27" i="6"/>
  <c r="I19" i="6"/>
  <c r="AQ8" i="1"/>
  <c r="AR8" i="1"/>
  <c r="T8" i="1"/>
  <c r="C64" i="67"/>
  <c r="C61" i="67"/>
  <c r="C59" i="67" s="1"/>
  <c r="J13" i="67"/>
  <c r="J23" i="67" s="1"/>
  <c r="J22" i="67"/>
  <c r="Q70" i="67"/>
  <c r="C56" i="67"/>
  <c r="C65" i="67" s="1"/>
  <c r="C75" i="67"/>
  <c r="C37" i="67"/>
  <c r="C30" i="67" s="1"/>
  <c r="C39" i="67" s="1"/>
  <c r="M21" i="15"/>
  <c r="F35" i="15"/>
  <c r="C14" i="15"/>
  <c r="B3" i="79" l="1"/>
  <c r="C6" i="12" s="1"/>
  <c r="C8" i="12" s="1"/>
  <c r="B2" i="79"/>
  <c r="E6" i="12"/>
  <c r="E8" i="12" s="1"/>
  <c r="D8" i="12"/>
  <c r="C20" i="69"/>
  <c r="C24" i="69"/>
  <c r="B63" i="39"/>
  <c r="F63" i="39" s="1"/>
  <c r="B61" i="39"/>
  <c r="F61" i="39" s="1"/>
  <c r="B59" i="39"/>
  <c r="F59" i="39" s="1"/>
  <c r="B60" i="39"/>
  <c r="F60" i="39" s="1"/>
  <c r="B62" i="39"/>
  <c r="F62" i="39" s="1"/>
  <c r="B56" i="39"/>
  <c r="F56" i="39" s="1"/>
  <c r="B57" i="39"/>
  <c r="F57" i="39" s="1"/>
  <c r="B64" i="39"/>
  <c r="F64" i="39" s="1"/>
  <c r="B58" i="39"/>
  <c r="F58" i="39" s="1"/>
  <c r="B65" i="39"/>
  <c r="F65" i="39" s="1"/>
  <c r="C39" i="69"/>
  <c r="C42" i="69"/>
  <c r="C18" i="15"/>
  <c r="C15" i="15"/>
  <c r="J20" i="15"/>
  <c r="F63" i="15"/>
  <c r="C62" i="15" s="1"/>
  <c r="C34" i="15"/>
  <c r="C31" i="15" s="1"/>
  <c r="F34" i="68"/>
  <c r="F50" i="69"/>
  <c r="F11" i="12"/>
  <c r="C14" i="12" s="1"/>
  <c r="C16" i="12" s="1"/>
  <c r="C21" i="12" s="1"/>
  <c r="C22" i="12" s="1"/>
  <c r="F50" i="11"/>
  <c r="F50" i="68"/>
  <c r="F34" i="11"/>
  <c r="M59" i="67"/>
  <c r="L59" i="67" s="1"/>
  <c r="J53" i="15"/>
  <c r="M59" i="15"/>
  <c r="L59" i="15" s="1"/>
  <c r="J53" i="67"/>
  <c r="C26" i="12"/>
  <c r="D25" i="12" s="1"/>
  <c r="C29" i="12"/>
  <c r="D28" i="12" s="1"/>
  <c r="T16" i="1"/>
  <c r="H19" i="6"/>
  <c r="S19" i="6"/>
  <c r="S27" i="6" s="1"/>
  <c r="I27" i="6"/>
  <c r="C26" i="68"/>
  <c r="D22" i="68" s="1"/>
  <c r="C26" i="11"/>
  <c r="D22" i="11" s="1"/>
  <c r="C25" i="11"/>
  <c r="C23" i="11"/>
  <c r="J16" i="67"/>
  <c r="J25" i="67" s="1"/>
  <c r="Q69" i="67"/>
  <c r="Q68" i="67" s="1"/>
  <c r="C40" i="67"/>
  <c r="C80" i="67"/>
  <c r="C79" i="67" s="1"/>
  <c r="C58" i="67"/>
  <c r="C67" i="67" s="1"/>
  <c r="C68" i="67" s="1"/>
  <c r="L51" i="67"/>
  <c r="C19" i="15" l="1"/>
  <c r="C20" i="15" s="1"/>
  <c r="C26" i="15" s="1"/>
  <c r="C22" i="11"/>
  <c r="C31" i="11" s="1"/>
  <c r="C46" i="69"/>
  <c r="C45" i="69" s="1"/>
  <c r="C43" i="69"/>
  <c r="C41" i="69" s="1"/>
  <c r="F66" i="39"/>
  <c r="B2" i="39" s="1"/>
  <c r="C28" i="69"/>
  <c r="C27" i="69" s="1"/>
  <c r="C25" i="69"/>
  <c r="C22" i="69" s="1"/>
  <c r="Q52" i="67"/>
  <c r="F1" i="67"/>
  <c r="Q52" i="15"/>
  <c r="F1" i="15"/>
  <c r="C36" i="11"/>
  <c r="C37" i="11"/>
  <c r="C34" i="11"/>
  <c r="R19" i="6"/>
  <c r="H27" i="6"/>
  <c r="Q61" i="15"/>
  <c r="Q74" i="15"/>
  <c r="Q74" i="67"/>
  <c r="Q61" i="67"/>
  <c r="C34" i="68"/>
  <c r="C36" i="68"/>
  <c r="C37" i="68"/>
  <c r="Q67" i="67"/>
  <c r="C43" i="67"/>
  <c r="Q65" i="67"/>
  <c r="Q75" i="67" s="1"/>
  <c r="Q56" i="67"/>
  <c r="Q62" i="67" s="1"/>
  <c r="Q47" i="67"/>
  <c r="Q53" i="67" s="1"/>
  <c r="D2" i="67"/>
  <c r="C83" i="67"/>
  <c r="C82" i="67" s="1"/>
  <c r="C71" i="67"/>
  <c r="C45" i="67"/>
  <c r="C46" i="67" s="1"/>
  <c r="AE9" i="1"/>
  <c r="C49" i="69" l="1"/>
  <c r="C51" i="69" s="1"/>
  <c r="C31" i="69"/>
  <c r="C23" i="15"/>
  <c r="C29" i="15" s="1"/>
  <c r="J14" i="15" s="1"/>
  <c r="B3" i="39"/>
  <c r="C6" i="68"/>
  <c r="C35" i="68"/>
  <c r="C38" i="68"/>
  <c r="R27" i="6"/>
  <c r="R6" i="1"/>
  <c r="R16" i="1" s="1"/>
  <c r="C35" i="11"/>
  <c r="C33" i="11"/>
  <c r="C38" i="11"/>
  <c r="B2" i="67"/>
  <c r="B3" i="67"/>
  <c r="F41" i="15"/>
  <c r="J29" i="15" l="1"/>
  <c r="F69" i="15"/>
  <c r="C52" i="69"/>
  <c r="C57" i="69" s="1"/>
  <c r="C56" i="69" s="1"/>
  <c r="C33" i="68"/>
  <c r="C42" i="68" s="1"/>
  <c r="J19" i="15"/>
  <c r="J17" i="15" s="1"/>
  <c r="C36" i="15"/>
  <c r="B2" i="69"/>
  <c r="B3" i="69" s="1"/>
  <c r="Q49" i="15"/>
  <c r="C57" i="15"/>
  <c r="C64" i="15" s="1"/>
  <c r="C13" i="15"/>
  <c r="C37" i="15" s="1"/>
  <c r="C7" i="68"/>
  <c r="C5" i="68" s="1"/>
  <c r="C39" i="11"/>
  <c r="C43" i="11" s="1"/>
  <c r="C42" i="11"/>
  <c r="C39" i="68"/>
  <c r="C43" i="68" s="1"/>
  <c r="J13" i="15"/>
  <c r="J23" i="15" s="1"/>
  <c r="J22" i="15"/>
  <c r="C61" i="15" l="1"/>
  <c r="C59" i="15" s="1"/>
  <c r="C75" i="15"/>
  <c r="C56" i="15"/>
  <c r="C65" i="15" s="1"/>
  <c r="Q70" i="15"/>
  <c r="C30" i="15"/>
  <c r="C39" i="15" s="1"/>
  <c r="C41" i="11"/>
  <c r="C46" i="11"/>
  <c r="C45" i="11" s="1"/>
  <c r="J16" i="15"/>
  <c r="J25" i="15" s="1"/>
  <c r="C46" i="68"/>
  <c r="C45" i="68" s="1"/>
  <c r="C41" i="68"/>
  <c r="C20" i="68"/>
  <c r="C25" i="68" s="1"/>
  <c r="C23" i="68"/>
  <c r="Q69" i="15"/>
  <c r="L51" i="15"/>
  <c r="C58" i="15" l="1"/>
  <c r="C67" i="15" s="1"/>
  <c r="C68" i="15" s="1"/>
  <c r="C46" i="15" s="1"/>
  <c r="Q68" i="15"/>
  <c r="Q67" i="15"/>
  <c r="C40" i="15"/>
  <c r="Q65" i="15" s="1"/>
  <c r="Q75" i="15" s="1"/>
  <c r="C80" i="15"/>
  <c r="C79" i="15" s="1"/>
  <c r="C49" i="68"/>
  <c r="C51" i="68" s="1"/>
  <c r="C49" i="11"/>
  <c r="C51" i="11" s="1"/>
  <c r="C52" i="11" s="1"/>
  <c r="B2" i="11" s="1"/>
  <c r="B3" i="11" s="1"/>
  <c r="C22" i="68"/>
  <c r="C28" i="68"/>
  <c r="C27" i="68" s="1"/>
  <c r="C31" i="68" s="1"/>
  <c r="C52" i="68" s="1"/>
  <c r="B2" i="68" s="1"/>
  <c r="C71" i="15"/>
  <c r="Q56" i="15"/>
  <c r="Q62" i="15" s="1"/>
  <c r="C19" i="9"/>
  <c r="C56" i="11" l="1"/>
  <c r="C57" i="11" s="1"/>
  <c r="C83" i="15"/>
  <c r="C82" i="15" s="1"/>
  <c r="B2" i="15"/>
  <c r="B3" i="15" s="1"/>
  <c r="F6" i="12" s="1"/>
  <c r="F8" i="12" s="1"/>
  <c r="C4" i="12" s="1"/>
  <c r="Q47" i="15"/>
  <c r="Q53" i="15" s="1"/>
  <c r="C43" i="15"/>
  <c r="C21" i="9"/>
  <c r="C102" i="9"/>
  <c r="B3" i="68"/>
  <c r="C57" i="68"/>
  <c r="C56" i="68" s="1"/>
  <c r="C20" i="9"/>
  <c r="AO9" i="1"/>
  <c r="D34" i="9"/>
  <c r="D35" i="9"/>
  <c r="B9" i="70" l="1"/>
  <c r="B2" i="70" s="1"/>
  <c r="B3" i="70" s="1"/>
  <c r="C103" i="9"/>
  <c r="C23" i="12"/>
  <c r="C31" i="12"/>
  <c r="C27" i="12" l="1"/>
  <c r="C25" i="12" s="1"/>
  <c r="C30" i="12"/>
  <c r="C28" i="12" s="1"/>
  <c r="C32" i="12" l="1"/>
  <c r="B2" i="12" s="1"/>
  <c r="B3" i="12" s="1"/>
  <c r="D19" i="9"/>
  <c r="D20" i="9"/>
  <c r="D22" i="9" l="1"/>
  <c r="D21" i="9"/>
  <c r="D102" i="9"/>
  <c r="G19" i="9"/>
  <c r="G21" i="9" s="1"/>
  <c r="D103" i="9"/>
  <c r="G20" i="9"/>
  <c r="C32" i="9" l="1"/>
  <c r="C35" i="9" s="1"/>
  <c r="F118" i="9" s="1"/>
  <c r="H118" i="9" l="1"/>
  <c r="H4" i="52" s="1"/>
  <c r="C34" i="9"/>
  <c r="D118" i="9" s="1"/>
  <c r="D4" i="52" s="1"/>
  <c r="B47" i="72" s="1"/>
  <c r="D119" i="9"/>
  <c r="D5" i="52" s="1"/>
  <c r="B49" i="72" s="1"/>
  <c r="G118" i="9"/>
  <c r="G4" i="52" s="1"/>
  <c r="B52" i="72" s="1"/>
  <c r="F4" i="52"/>
  <c r="B51" i="72" s="1"/>
  <c r="F119" i="9"/>
  <c r="F5" i="52" s="1"/>
  <c r="B53" i="72" s="1"/>
  <c r="C104" i="9" l="1"/>
  <c r="I118" i="9"/>
  <c r="H119" i="9"/>
  <c r="H5" i="52" s="1"/>
  <c r="D14" i="74"/>
  <c r="B5" i="74" s="1"/>
  <c r="H101" i="9"/>
  <c r="D45" i="9" s="1"/>
  <c r="F14" i="74"/>
  <c r="D5" i="53"/>
  <c r="C105" i="9"/>
  <c r="I4" i="52"/>
  <c r="H102" i="9"/>
  <c r="D7" i="53" s="1"/>
  <c r="B21" i="72" s="1"/>
  <c r="E118" i="9"/>
  <c r="E4" i="52" s="1"/>
  <c r="B48" i="72" s="1"/>
  <c r="H107" i="9" l="1"/>
  <c r="H108" i="9" s="1"/>
  <c r="D15" i="53" s="1"/>
  <c r="B31" i="72" s="1"/>
  <c r="M48" i="9"/>
  <c r="G14" i="74"/>
  <c r="B6" i="74" s="1"/>
  <c r="D6" i="74" s="1"/>
  <c r="E14" i="74"/>
  <c r="C85" i="9"/>
  <c r="D55" i="9"/>
  <c r="M53" i="9" s="1"/>
  <c r="C64" i="9"/>
  <c r="C63" i="9" s="1"/>
  <c r="C67" i="9" s="1"/>
  <c r="C68" i="9" s="1"/>
  <c r="D54" i="9" s="1"/>
  <c r="C78" i="9"/>
  <c r="C73" i="9" s="1"/>
  <c r="C93" i="9"/>
  <c r="C86" i="9" s="1"/>
  <c r="D52" i="9"/>
  <c r="C72" i="9"/>
  <c r="D53" i="9"/>
  <c r="C5" i="74"/>
  <c r="D5" i="74"/>
  <c r="D13" i="53"/>
  <c r="D122" i="9"/>
  <c r="B20" i="72"/>
  <c r="D6" i="53"/>
  <c r="B22" i="72" s="1"/>
  <c r="C6" i="74"/>
  <c r="M49" i="9" l="1"/>
  <c r="L68" i="9" s="1"/>
  <c r="M68" i="9" s="1"/>
  <c r="C79" i="9"/>
  <c r="C80" i="9" s="1"/>
  <c r="E80" i="9" s="1"/>
  <c r="E81" i="9" s="1"/>
  <c r="L67" i="9"/>
  <c r="M67" i="9" s="1"/>
  <c r="L66" i="9"/>
  <c r="M66" i="9" s="1"/>
  <c r="L63" i="9"/>
  <c r="M63" i="9" s="1"/>
  <c r="L65" i="9"/>
  <c r="M65" i="9" s="1"/>
  <c r="L64" i="9"/>
  <c r="M64" i="9" s="1"/>
  <c r="D8" i="52"/>
  <c r="D123" i="9"/>
  <c r="D9" i="52" s="1"/>
  <c r="D14" i="53"/>
  <c r="B32" i="72" s="1"/>
  <c r="B30" i="72"/>
  <c r="C95" i="9"/>
  <c r="M69" i="9" l="1"/>
  <c r="N69" i="9" s="1"/>
  <c r="C96" i="9"/>
  <c r="E96" i="9" s="1"/>
  <c r="E97" i="9" s="1"/>
  <c r="C81" i="9"/>
  <c r="C97" i="9" l="1"/>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<sst xmlns="http://schemas.openxmlformats.org/spreadsheetml/2006/main" count="8365" uniqueCount="3358">
  <si>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</si>
  <si>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</si>
  <si>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</si>
  <si>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</si>
  <si>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</si>
  <si>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</si>
  <si>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</si>
  <si>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</si>
  <si>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</si>
  <si>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</si>
  <si>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</si>
  <si>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</si>
  <si>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</si>
  <si>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</si>
  <si>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</si>
  <si>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</si>
  <si>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</si>
  <si>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</si>
  <si>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</si>
  <si>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</si>
  <si>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</si>
  <si>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</si>
  <si>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</si>
  <si>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</si>
  <si>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</si>
  <si>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</si>
  <si>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</si>
  <si>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</si>
  <si>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</si>
  <si>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</si>
  <si>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</si>
  <si>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</si>
  <si>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</si>
  <si>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</si>
  <si>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</si>
  <si>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</si>
  <si>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</si>
  <si>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</si>
  <si>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</si>
  <si>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</si>
  <si>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</si>
  <si>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</si>
  <si>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</si>
  <si>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</si>
  <si>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</si>
  <si>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</si>
  <si>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</si>
  <si>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</si>
  <si>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</si>
  <si>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</si>
  <si>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</si>
  <si>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</si>
  <si>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</si>
  <si>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</si>
  <si>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</si>
  <si>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</si>
  <si>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</si>
  <si>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</si>
  <si>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</si>
  <si>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</si>
  <si>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</si>
  <si>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</si>
  <si>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</si>
  <si>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</si>
  <si>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</si>
  <si>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</si>
  <si>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</si>
  <si>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</si>
  <si>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</si>
  <si>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</si>
  <si>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</si>
  <si>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</si>
  <si>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</si>
  <si>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</si>
  <si>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</si>
  <si>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</si>
  <si>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</si>
  <si>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</si>
  <si>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</si>
  <si>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</si>
  <si>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</si>
  <si>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</si>
  <si>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</si>
  <si>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</si>
  <si>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</si>
  <si>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</si>
  <si>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</si>
  <si>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</si>
  <si>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</si>
  <si>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</si>
  <si>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</si>
  <si>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</si>
  <si>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</si>
  <si>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</si>
  <si>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</si>
  <si>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</si>
  <si>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</si>
  <si>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</si>
  <si>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</si>
  <si>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</si>
  <si>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</si>
  <si>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</si>
  <si>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</si>
  <si>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</si>
  <si>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</si>
  <si>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</si>
  <si>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</si>
  <si>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</si>
  <si>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</si>
  <si>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</si>
  <si>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</si>
  <si>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</si>
  <si>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</si>
  <si>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</si>
  <si>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</si>
  <si>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</si>
  <si>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</si>
  <si>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</si>
  <si>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</si>
  <si>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</si>
  <si>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</si>
  <si>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</si>
  <si>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</si>
  <si>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</si>
  <si>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</si>
  <si>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</si>
  <si>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</si>
  <si>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</si>
  <si>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</si>
  <si>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</si>
  <si>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</si>
  <si>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</si>
  <si>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</si>
  <si>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</si>
  <si>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</si>
  <si>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</si>
  <si>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</si>
  <si>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</si>
  <si>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</si>
  <si>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</si>
  <si>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</si>
  <si>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</si>
  <si>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</si>
  <si>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</si>
  <si>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</si>
  <si>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</si>
  <si>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</si>
  <si>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</si>
  <si>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</si>
  <si>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</si>
  <si>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</si>
  <si>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</si>
  <si>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</si>
  <si>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</si>
  <si>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</si>
  <si>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</si>
  <si>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</si>
  <si>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</si>
  <si>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</si>
  <si>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</si>
  <si>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</si>
  <si>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</si>
  <si>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</si>
  <si>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</si>
  <si>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</si>
  <si>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</si>
  <si>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</si>
  <si>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</si>
  <si>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</si>
  <si>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</si>
  <si>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</si>
  <si>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</si>
  <si>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</si>
  <si>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</si>
  <si>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</si>
  <si>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</si>
  <si>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</si>
  <si>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</si>
  <si>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</si>
  <si>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</si>
  <si>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</si>
  <si>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</si>
  <si>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</si>
  <si>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</si>
  <si>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</si>
  <si>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</si>
  <si>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</si>
  <si>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</si>
  <si>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</si>
  <si>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</si>
  <si>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</si>
  <si>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</si>
  <si>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</si>
  <si>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</si>
  <si>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</si>
  <si>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</si>
  <si>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</si>
  <si>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</si>
  <si>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</si>
  <si>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</si>
  <si>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</si>
  <si>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</si>
  <si>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</si>
  <si>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</si>
  <si>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</si>
  <si>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</si>
  <si>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</si>
  <si>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</si>
  <si>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</si>
  <si>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</si>
  <si>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</si>
  <si>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</si>
  <si>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</si>
  <si>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</si>
  <si>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</si>
  <si>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</si>
  <si>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</si>
  <si>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</si>
  <si>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</si>
  <si>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</si>
  <si>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</si>
  <si>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</si>
  <si>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</si>
  <si>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</si>
  <si>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</si>
  <si>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</si>
  <si>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</si>
  <si>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</si>
  <si>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</si>
  <si>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</si>
  <si>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</si>
  <si>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</si>
  <si>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</si>
  <si>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</si>
  <si>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</si>
  <si>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</si>
  <si>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</si>
  <si>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</si>
  <si>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</si>
  <si>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</si>
  <si>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</si>
  <si>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</si>
  <si>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</si>
  <si>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</si>
  <si>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</si>
  <si>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</si>
  <si>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</si>
  <si>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</si>
  <si>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</si>
  <si>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</si>
  <si>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</si>
  <si>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</si>
  <si>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</si>
  <si>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</si>
  <si>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</si>
  <si>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</si>
  <si>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</si>
  <si>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</si>
  <si>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</si>
  <si>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</si>
  <si>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</si>
  <si>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</si>
  <si>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</si>
  <si>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</si>
  <si>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</si>
  <si>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</si>
  <si>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</si>
  <si>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</si>
  <si>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</si>
  <si>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</si>
  <si>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</si>
  <si>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</si>
  <si>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</si>
  <si>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</si>
  <si>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</si>
  <si>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</si>
  <si>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</si>
  <si>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</si>
  <si>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</si>
  <si>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</si>
  <si>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</si>
  <si>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</si>
  <si>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</si>
  <si>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</si>
  <si>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</si>
  <si>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</si>
  <si>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</si>
  <si>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</si>
  <si>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</si>
  <si>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</si>
  <si>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</si>
  <si>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</si>
  <si>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</si>
  <si>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</si>
  <si>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</si>
  <si>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</si>
  <si>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</si>
  <si>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</si>
  <si>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</si>
  <si>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</si>
  <si>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</si>
  <si>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</si>
  <si>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</si>
  <si>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</si>
  <si>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</si>
  <si>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</si>
  <si>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</si>
  <si>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</si>
  <si>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</si>
  <si>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</si>
  <si>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</si>
  <si>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</si>
  <si>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</si>
  <si>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</si>
  <si>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</si>
  <si>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</si>
  <si>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</si>
  <si>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</si>
  <si>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</si>
  <si>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</si>
  <si>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</si>
  <si>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</si>
  <si>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</si>
  <si>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</si>
  <si>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</si>
  <si>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</si>
  <si>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</si>
  <si>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</si>
  <si>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</si>
  <si>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</si>
  <si>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</si>
  <si>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</si>
  <si>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</si>
  <si>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</si>
  <si>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</si>
  <si>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</si>
  <si>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</si>
  <si>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</si>
  <si>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</si>
  <si>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</si>
  <si>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</si>
  <si>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</si>
  <si>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</si>
  <si>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</si>
  <si>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</si>
  <si>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</si>
  <si>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</si>
  <si>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</si>
  <si>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</si>
  <si>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</si>
  <si>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</si>
  <si>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</si>
  <si>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</si>
  <si>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</si>
  <si>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</si>
  <si>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</si>
  <si>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</si>
  <si>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</si>
  <si>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</si>
  <si>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</si>
  <si>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</si>
  <si>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</si>
  <si>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</si>
  <si>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</si>
  <si>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</si>
  <si>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</si>
  <si>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</si>
  <si>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</si>
  <si>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</si>
  <si>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</si>
  <si>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</si>
  <si>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</si>
  <si>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</si>
  <si>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</si>
  <si>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</si>
  <si>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</si>
  <si>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</si>
  <si>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</si>
  <si>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</si>
  <si>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</si>
  <si>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</si>
  <si>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</si>
  <si>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</si>
  <si>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</si>
  <si>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</si>
  <si>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</si>
  <si>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</si>
  <si>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</si>
  <si>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</si>
  <si>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</si>
  <si>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</si>
  <si>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</si>
  <si>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</si>
  <si>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</si>
  <si>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</si>
  <si>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</si>
  <si>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</si>
  <si>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</si>
  <si>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</si>
  <si>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</si>
  <si>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</si>
  <si>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</si>
  <si>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</si>
  <si>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</si>
  <si>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</si>
  <si>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</si>
  <si>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</si>
  <si>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</si>
  <si>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</si>
  <si>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</si>
  <si>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</si>
  <si>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</si>
  <si>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</si>
  <si>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</si>
  <si>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</si>
  <si>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</si>
  <si>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</si>
  <si>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</si>
  <si>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</si>
  <si>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</si>
  <si>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</si>
  <si>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</si>
  <si>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</si>
  <si>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</si>
  <si>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</si>
  <si>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</si>
  <si>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</si>
  <si>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</si>
  <si>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</si>
  <si>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</si>
  <si>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</si>
  <si>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</si>
  <si>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</si>
  <si>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</si>
  <si>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</si>
  <si>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</si>
  <si>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</si>
  <si>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</si>
  <si>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</si>
  <si>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</si>
  <si>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</si>
  <si>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</si>
  <si>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</si>
  <si>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</si>
  <si>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</si>
  <si>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</si>
  <si>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</si>
  <si>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</si>
  <si>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</si>
  <si>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</si>
  <si>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</si>
  <si>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</si>
  <si>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</si>
  <si>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</si>
  <si>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</si>
  <si>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</si>
  <si>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</si>
  <si>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</si>
  <si>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</si>
  <si>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</si>
  <si>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</si>
  <si>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</si>
  <si>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</si>
  <si>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</si>
  <si>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</si>
  <si>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</si>
  <si>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</si>
  <si>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</si>
  <si>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</si>
  <si>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</si>
  <si>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</si>
  <si>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</si>
  <si>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</si>
  <si>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</si>
  <si>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</si>
  <si>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</si>
  <si>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</si>
  <si>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</si>
  <si>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</si>
  <si>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</si>
  <si>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</si>
  <si>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</si>
  <si>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</si>
  <si>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</si>
  <si>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</si>
  <si>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</si>
  <si>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</si>
  <si>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</si>
  <si>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</si>
  <si>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</si>
  <si>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</si>
  <si>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</si>
  <si>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</si>
  <si>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</si>
  <si>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</si>
  <si>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</si>
  <si>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</si>
  <si>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</si>
  <si>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</si>
  <si>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</si>
  <si>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</si>
  <si>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</si>
  <si>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</si>
  <si>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</si>
  <si>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</si>
  <si>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</si>
  <si>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</si>
  <si>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</si>
  <si>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</si>
  <si>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</si>
  <si>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</si>
  <si>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</si>
  <si>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</si>
  <si>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</si>
  <si>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</si>
  <si>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</si>
  <si>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</si>
  <si>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</si>
  <si>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</si>
  <si>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</si>
  <si>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</si>
  <si>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</si>
  <si>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</si>
  <si>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</si>
  <si>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</si>
  <si>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</si>
  <si>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</si>
  <si>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</si>
  <si>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</si>
  <si>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</si>
  <si>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</si>
  <si>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</si>
  <si>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</si>
  <si>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</si>
  <si>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</si>
  <si>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</si>
  <si>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</si>
  <si>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</si>
  <si>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</si>
  <si>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</si>
  <si>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</si>
  <si>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</si>
  <si>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</si>
  <si>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</si>
  <si>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</si>
  <si>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</si>
  <si>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</si>
  <si>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</si>
  <si>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</si>
  <si>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</si>
  <si>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</si>
  <si>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</si>
  <si>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</si>
  <si>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</si>
  <si>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</si>
  <si>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</si>
  <si>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</si>
  <si>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</si>
  <si>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</si>
  <si>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</si>
  <si>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</si>
  <si>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</si>
  <si>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</si>
  <si>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</si>
  <si>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</si>
  <si>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</si>
  <si>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</si>
  <si>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</si>
  <si>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</si>
  <si>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</si>
  <si>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</si>
  <si>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</si>
  <si>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</si>
  <si>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</si>
  <si>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</si>
  <si>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</si>
  <si>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</si>
  <si>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</si>
  <si>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</si>
  <si>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</si>
  <si>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</si>
  <si>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</si>
  <si>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</si>
  <si>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</si>
  <si>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</si>
  <si>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</si>
  <si>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</si>
  <si>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</si>
  <si>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</si>
  <si>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</si>
  <si>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</si>
  <si>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</si>
  <si>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</si>
  <si>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</si>
  <si>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</si>
  <si>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</si>
  <si>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</si>
  <si>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</si>
  <si>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</si>
  <si>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</si>
  <si>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</si>
  <si>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</si>
  <si>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</si>
  <si>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</si>
  <si>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</si>
  <si>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</si>
  <si>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</si>
  <si>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</si>
  <si>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</si>
  <si>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</si>
  <si>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</si>
  <si>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</si>
  <si>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</si>
  <si>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</si>
  <si>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</si>
  <si>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</si>
  <si>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</si>
  <si>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</si>
  <si>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</si>
  <si>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</si>
  <si>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</si>
  <si>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</si>
  <si>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</si>
  <si>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</si>
  <si>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</si>
  <si>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</si>
  <si>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</si>
  <si>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</si>
  <si>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</si>
  <si>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</si>
  <si>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</si>
  <si>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</si>
  <si>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</si>
  <si>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</si>
  <si>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</si>
  <si>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</si>
  <si>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</si>
  <si>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</si>
  <si>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</si>
  <si>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</si>
  <si>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</si>
  <si>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</si>
  <si>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</si>
  <si>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</si>
  <si>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</si>
  <si>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</si>
  <si>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</si>
  <si>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</si>
  <si>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</si>
  <si>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</si>
  <si>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</si>
  <si>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</si>
  <si>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</si>
  <si>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</si>
  <si>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</si>
  <si>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</si>
  <si>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</si>
  <si>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</si>
  <si>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</si>
  <si>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</si>
  <si>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</si>
  <si>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</si>
  <si>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</si>
  <si>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</si>
  <si>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</si>
  <si>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</si>
  <si>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</si>
  <si>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</si>
  <si>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</si>
  <si>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</si>
  <si>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</si>
  <si>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</si>
  <si>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</si>
  <si>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</si>
  <si>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</si>
  <si>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</si>
  <si>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</si>
  <si>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</si>
  <si>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</si>
  <si>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</si>
  <si>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</si>
  <si>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</si>
  <si>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</si>
  <si>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</si>
  <si>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</si>
  <si>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</si>
  <si>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</si>
  <si>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</si>
  <si>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</si>
  <si>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</si>
  <si>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</si>
  <si>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</si>
  <si>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</si>
  <si>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</si>
  <si>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</si>
  <si>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</si>
  <si>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</si>
  <si>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</si>
  <si>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</si>
  <si>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</si>
  <si>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</si>
  <si>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</si>
  <si>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</si>
  <si>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</si>
  <si>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</si>
  <si>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</si>
  <si>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</si>
  <si>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</si>
  <si>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</si>
  <si>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</si>
  <si>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</si>
  <si>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</si>
  <si>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</si>
  <si>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</si>
  <si>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</si>
  <si>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</si>
  <si>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</si>
  <si>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</si>
  <si>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</si>
  <si>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</si>
  <si>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</si>
  <si>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</si>
  <si>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</si>
  <si>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</si>
  <si>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</si>
  <si>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</si>
  <si>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</si>
  <si>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</si>
  <si>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</si>
  <si>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</si>
  <si>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</si>
  <si>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</si>
  <si>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</si>
  <si>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</si>
  <si>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</si>
  <si>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</si>
  <si>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</si>
  <si>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</si>
  <si>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</si>
  <si>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</si>
  <si>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</si>
  <si>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</si>
  <si>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</si>
  <si>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</si>
  <si>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</si>
  <si>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</si>
  <si>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</si>
  <si>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</si>
  <si>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</si>
  <si>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</si>
  <si>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</si>
  <si>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</si>
  <si>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</si>
  <si>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</si>
  <si>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</si>
  <si>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</si>
  <si>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</si>
  <si>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</si>
  <si>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</si>
  <si>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</si>
  <si>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</si>
  <si>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</si>
  <si>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</si>
  <si>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</si>
  <si>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</si>
  <si>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</si>
  <si>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</si>
  <si>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</si>
  <si>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</si>
  <si>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</si>
  <si>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</si>
  <si>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</si>
  <si>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</si>
  <si>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</si>
  <si>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</si>
  <si>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</si>
  <si>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</si>
  <si>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</si>
  <si>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</si>
  <si>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</si>
  <si>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</si>
  <si>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</si>
  <si>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</si>
  <si>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</si>
  <si>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</si>
  <si>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</si>
  <si>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</si>
  <si>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</si>
  <si>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</si>
  <si>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</si>
  <si>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</si>
  <si>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</si>
  <si>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</si>
  <si>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</si>
  <si>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</si>
  <si>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</si>
  <si>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</si>
  <si>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</si>
  <si>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</si>
  <si>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</si>
  <si>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</si>
  <si>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</si>
  <si>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</si>
  <si>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</si>
  <si>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</si>
  <si>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</si>
  <si>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</si>
  <si>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</si>
  <si>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</si>
  <si>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</si>
  <si>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</si>
  <si>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</si>
  <si>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</si>
  <si>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</si>
  <si>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</si>
  <si>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</si>
  <si>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</si>
  <si>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</si>
  <si>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</si>
  <si>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</si>
  <si>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</si>
  <si>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</si>
  <si>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</si>
  <si>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</si>
  <si>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</si>
  <si>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</si>
  <si>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</si>
  <si>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</si>
  <si>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</si>
  <si>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</si>
  <si>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</si>
  <si>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</si>
  <si>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</si>
  <si>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</si>
  <si>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</si>
  <si>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</si>
  <si>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</si>
  <si>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</si>
  <si>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</si>
  <si>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</si>
  <si>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</si>
  <si>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</si>
  <si>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</si>
  <si>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</si>
  <si>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</si>
  <si>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</si>
  <si>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</si>
  <si>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</si>
  <si>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</si>
  <si>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</si>
  <si>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</si>
  <si>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</si>
  <si>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</si>
  <si>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</si>
  <si>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</si>
  <si>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</si>
  <si>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</si>
  <si>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</si>
  <si>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</si>
  <si>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</si>
  <si>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</si>
  <si>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</si>
  <si>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</si>
  <si>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</si>
  <si>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</si>
  <si>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</si>
  <si>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</si>
  <si>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</si>
  <si>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</si>
  <si>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</si>
  <si>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</si>
  <si>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</si>
  <si>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</si>
  <si>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</si>
  <si>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</si>
  <si>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</si>
  <si>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</si>
  <si>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</si>
  <si>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</si>
  <si>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</si>
  <si>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</si>
  <si>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</si>
  <si>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</si>
  <si>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</si>
  <si>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</si>
  <si>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</si>
  <si>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</si>
  <si>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</si>
  <si>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</si>
  <si>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</si>
  <si>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</si>
  <si>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</si>
  <si>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</si>
  <si>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</si>
  <si>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</si>
  <si>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</si>
  <si>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</si>
  <si>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</si>
  <si>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</si>
  <si>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</si>
  <si>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</si>
  <si>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</si>
  <si>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</si>
  <si>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</si>
  <si>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</si>
  <si>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</si>
  <si>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</si>
  <si>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</si>
  <si>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</si>
  <si>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</si>
  <si>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</si>
  <si>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</si>
  <si>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</si>
  <si>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</si>
  <si>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</si>
  <si>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</si>
  <si>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</si>
  <si>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</si>
  <si>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</si>
  <si>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</si>
  <si>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</si>
  <si>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</si>
  <si>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</si>
  <si>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</si>
  <si>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</si>
  <si>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</si>
  <si>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</si>
  <si>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</si>
  <si>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</si>
  <si>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</si>
  <si>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</si>
  <si>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</si>
  <si>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</si>
  <si>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</si>
  <si>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</si>
  <si>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</si>
  <si>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</si>
  <si>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</si>
  <si>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</si>
  <si>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</si>
  <si>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</si>
  <si>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</si>
  <si>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</si>
  <si>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</si>
  <si>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</si>
  <si>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</si>
  <si>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</si>
  <si>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</si>
  <si>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</si>
  <si>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</si>
  <si>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</si>
  <si>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</si>
  <si>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</si>
  <si>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</si>
  <si>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</si>
  <si>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</si>
  <si>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</si>
  <si>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</si>
  <si>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</si>
  <si>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</si>
  <si>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</si>
  <si>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</si>
  <si>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</si>
  <si>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</si>
  <si>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</si>
  <si>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</si>
  <si>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</si>
  <si>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</si>
  <si>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</si>
  <si>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</si>
  <si>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</si>
  <si>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</si>
  <si>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</si>
  <si>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</si>
  <si>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</si>
  <si>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</si>
  <si>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</si>
  <si>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</si>
  <si>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</si>
  <si>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</si>
  <si>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</si>
  <si>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</si>
  <si>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</si>
  <si>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</si>
  <si>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</si>
  <si>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</si>
  <si>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</si>
  <si>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</si>
  <si>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</si>
  <si>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</si>
  <si>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</si>
  <si>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</si>
  <si>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</si>
  <si>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</si>
  <si>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</si>
  <si>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</si>
  <si>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</si>
  <si>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</si>
  <si>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</si>
  <si>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</si>
  <si>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</si>
  <si>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</si>
  <si>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</si>
  <si>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</si>
  <si>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</si>
  <si>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</si>
  <si>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</si>
  <si>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</si>
  <si>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</si>
  <si>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</si>
  <si>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</si>
  <si>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</si>
  <si>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</si>
  <si>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</si>
  <si>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</si>
  <si>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</si>
  <si>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</si>
  <si>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</si>
  <si>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</si>
  <si>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</si>
  <si>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</si>
  <si>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</si>
  <si>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</si>
  <si>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</si>
  <si>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</si>
  <si>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</si>
  <si>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</si>
  <si>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</si>
  <si>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</si>
  <si>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</si>
  <si>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</si>
  <si>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</si>
  <si>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</si>
  <si>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</si>
  <si>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</si>
  <si>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</si>
  <si>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</si>
  <si>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</si>
  <si>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</si>
  <si>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</si>
  <si>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</si>
  <si>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</si>
  <si>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</si>
  <si>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</si>
  <si>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</si>
  <si>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</si>
  <si>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</si>
  <si>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</si>
  <si>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</si>
  <si>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</si>
  <si>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</si>
  <si>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</si>
  <si>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</si>
  <si>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</si>
  <si>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</si>
  <si>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</si>
  <si>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</si>
  <si>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</si>
  <si>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</si>
  <si>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</si>
  <si>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</si>
  <si>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</si>
  <si>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</si>
  <si>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</si>
  <si>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</si>
  <si>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</si>
  <si>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</si>
  <si>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</si>
  <si>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</si>
  <si>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</si>
  <si>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</si>
  <si>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</si>
  <si>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</si>
  <si>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</si>
  <si>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</si>
  <si>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</si>
  <si>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</si>
  <si>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</si>
  <si>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</si>
  <si>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</si>
  <si>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</si>
  <si>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</si>
  <si>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</si>
  <si>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</si>
  <si>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</si>
  <si>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</si>
  <si>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</si>
  <si>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</si>
  <si>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</si>
  <si>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</si>
  <si>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</si>
  <si>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</si>
  <si>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</si>
  <si>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</si>
  <si>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</si>
  <si>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</si>
  <si>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</si>
  <si>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</si>
  <si>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</si>
  <si>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</si>
  <si>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</si>
  <si>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</si>
  <si>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</si>
  <si>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</si>
  <si>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</si>
  <si>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</si>
  <si>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</si>
  <si>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</si>
  <si>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</si>
  <si>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</si>
  <si>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</si>
  <si>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</si>
  <si>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</si>
  <si>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</si>
  <si>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</si>
  <si>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</si>
  <si>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</si>
  <si>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</si>
  <si>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</si>
  <si>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</si>
  <si>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</si>
  <si>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</si>
  <si>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</si>
  <si>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</si>
  <si>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</si>
  <si>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</si>
  <si>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</si>
  <si>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</si>
  <si>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</si>
  <si>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</si>
  <si>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</si>
  <si>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</si>
  <si>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</si>
  <si>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</si>
  <si>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</si>
  <si>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</si>
  <si>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</si>
  <si>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</si>
  <si>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</si>
  <si>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</si>
  <si>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</si>
  <si>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</si>
  <si>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</si>
  <si>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</si>
  <si>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</si>
  <si>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</si>
  <si>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</si>
  <si>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</si>
  <si>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</si>
  <si>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</si>
  <si>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</si>
  <si>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</si>
  <si>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</si>
  <si>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</si>
  <si>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</si>
  <si>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</si>
  <si>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</si>
  <si>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</si>
  <si>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</si>
  <si>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</si>
  <si>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</si>
  <si>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</si>
  <si>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</si>
  <si>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</si>
  <si>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</si>
  <si>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</si>
  <si>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</si>
  <si>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</si>
  <si>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</si>
  <si>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</si>
  <si>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</si>
  <si>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</si>
  <si>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</si>
  <si>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</si>
  <si>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</si>
  <si>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</si>
  <si>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</si>
  <si>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</si>
  <si>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</si>
  <si>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</si>
  <si>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</si>
  <si>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</si>
  <si>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</si>
  <si>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</si>
  <si>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</si>
  <si>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</si>
  <si>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</si>
  <si>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</si>
  <si>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</si>
  <si>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</si>
  <si>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</si>
  <si>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</si>
  <si>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</si>
  <si>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</si>
  <si>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</si>
  <si>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</si>
  <si>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</si>
  <si>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</si>
  <si>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</si>
  <si>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</si>
  <si>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</si>
  <si>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</si>
  <si>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</si>
  <si>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</si>
  <si>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</si>
  <si>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</si>
  <si>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</si>
  <si>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</si>
  <si>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</si>
  <si>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</si>
  <si>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</si>
  <si>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</si>
  <si>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</si>
  <si>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</si>
  <si>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</si>
  <si>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</si>
  <si>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</si>
  <si>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</si>
  <si>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</si>
  <si>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</si>
  <si>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</si>
  <si>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</si>
  <si>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</si>
  <si>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</si>
  <si>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</si>
  <si>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</si>
  <si>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</si>
  <si>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</si>
  <si>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</si>
  <si>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</si>
  <si>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</si>
  <si>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</si>
  <si>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</si>
  <si>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</si>
  <si>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</si>
  <si>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</si>
  <si>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</si>
  <si>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</si>
  <si>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</si>
  <si>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</si>
  <si>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</si>
  <si>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</si>
  <si>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</si>
  <si>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</si>
  <si>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</si>
  <si>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</si>
  <si>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</si>
  <si>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</si>
  <si>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</si>
  <si>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</si>
  <si>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</si>
  <si>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</si>
  <si>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</si>
  <si>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</si>
  <si>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</si>
  <si>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</si>
  <si>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</si>
  <si>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</si>
  <si>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</si>
  <si>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</si>
  <si>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</si>
  <si>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</si>
  <si>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</si>
  <si>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</si>
  <si>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</si>
  <si>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</si>
  <si>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</si>
  <si>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</si>
  <si>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</si>
  <si>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</si>
  <si>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</si>
  <si>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</si>
  <si>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</si>
  <si>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</si>
  <si>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</si>
  <si>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</si>
  <si>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</si>
  <si>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</si>
  <si>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</si>
  <si>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</si>
  <si>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</si>
  <si>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</si>
  <si>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</si>
  <si>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</si>
  <si>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</si>
  <si>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</si>
  <si>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</si>
  <si>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</si>
  <si>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</si>
  <si>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</si>
  <si>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</si>
  <si>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</si>
  <si>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</si>
  <si>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</si>
  <si>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</si>
  <si>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</si>
  <si>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</si>
  <si>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</si>
  <si>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</si>
  <si>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</si>
  <si>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</si>
  <si>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</si>
  <si>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</si>
  <si>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</si>
  <si>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</si>
  <si>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</si>
  <si>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</si>
  <si>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</si>
  <si>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</si>
  <si>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</si>
  <si>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</si>
  <si>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</si>
  <si>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</si>
  <si>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</si>
  <si>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</si>
  <si>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</si>
  <si>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</si>
  <si>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</si>
  <si>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</si>
  <si>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</si>
  <si>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</si>
  <si>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</si>
  <si>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</si>
  <si>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</si>
  <si>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</si>
  <si>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</si>
  <si>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</si>
  <si>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</si>
  <si>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</si>
  <si>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</si>
  <si>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</si>
  <si>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</si>
  <si>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</si>
  <si>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</si>
  <si>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</si>
  <si>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</si>
  <si>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</si>
  <si>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</si>
  <si>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</si>
  <si>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</si>
  <si>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</si>
  <si>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</si>
  <si>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</si>
  <si>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</si>
  <si>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</si>
  <si>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</si>
  <si>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</si>
  <si>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</si>
  <si>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</si>
  <si>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</si>
  <si>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</si>
  <si>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</si>
  <si>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</si>
  <si>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</si>
  <si>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</si>
  <si>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</si>
  <si>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</si>
  <si>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</si>
  <si>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</si>
  <si>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</si>
  <si>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</si>
  <si>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</si>
  <si>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</si>
  <si>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</si>
  <si>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</si>
  <si>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</si>
  <si>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</si>
  <si>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</si>
  <si>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</si>
  <si>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</si>
  <si>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</si>
  <si>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</si>
  <si>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</si>
  <si>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</si>
  <si>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</si>
  <si>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</si>
  <si>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</si>
  <si>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</si>
  <si>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</si>
  <si>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</si>
  <si>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</si>
  <si>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</si>
  <si>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</si>
  <si>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</si>
  <si>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</si>
  <si>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</si>
  <si>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</si>
  <si>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</si>
  <si>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</si>
  <si>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</si>
  <si>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</si>
  <si>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</si>
  <si>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</si>
  <si>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</si>
  <si>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</si>
  <si>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</si>
  <si>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</si>
  <si>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</si>
  <si>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</si>
  <si>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</si>
  <si>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</si>
  <si>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</si>
  <si>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</si>
  <si>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</si>
  <si>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</si>
  <si>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</si>
  <si>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</si>
  <si>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</si>
  <si>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</si>
  <si>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</si>
  <si>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</si>
  <si>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</si>
  <si>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</si>
  <si>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</si>
  <si>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</si>
  <si>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</si>
  <si>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</si>
  <si>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</si>
  <si>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</si>
  <si>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</si>
  <si>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</si>
  <si>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</si>
  <si>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</si>
  <si>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</si>
  <si>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</si>
  <si>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</si>
  <si>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</si>
  <si>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</si>
  <si>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</si>
  <si>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</si>
  <si>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</si>
  <si>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</si>
  <si>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</si>
  <si>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</si>
  <si>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</si>
  <si>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</si>
  <si>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</si>
  <si>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</si>
  <si>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</si>
  <si>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</si>
  <si>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</si>
  <si>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</si>
  <si>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</si>
  <si>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</si>
  <si>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</si>
  <si>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</si>
  <si>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</si>
  <si>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</si>
  <si>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</si>
  <si>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</si>
  <si>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</si>
  <si>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</si>
  <si>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</si>
  <si>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</si>
  <si>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</si>
  <si>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</si>
  <si>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</si>
  <si>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</si>
  <si>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</si>
  <si>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</si>
  <si>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</si>
  <si>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</si>
  <si>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</si>
  <si>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</si>
  <si>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</si>
  <si>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</si>
  <si>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</si>
  <si>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</si>
  <si>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</si>
  <si>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</si>
  <si>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</si>
  <si>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</si>
  <si>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</si>
  <si>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</si>
  <si>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</si>
  <si>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</si>
  <si>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</si>
  <si>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</si>
  <si>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</si>
  <si>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</si>
  <si>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</si>
  <si>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</si>
  <si>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</si>
  <si>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</si>
  <si>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</si>
  <si>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</si>
  <si>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</si>
  <si>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</si>
  <si>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</si>
  <si>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</si>
  <si>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</si>
  <si>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</si>
  <si>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</si>
  <si>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</si>
  <si>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</si>
  <si>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</si>
  <si>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</si>
  <si>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</si>
  <si>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</si>
  <si>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</si>
  <si>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</si>
  <si>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</si>
  <si>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</si>
  <si>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</si>
  <si>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</si>
  <si>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</si>
  <si>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</si>
  <si>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</si>
  <si>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</si>
  <si>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</si>
  <si>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</si>
  <si>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</si>
  <si>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</si>
  <si>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</si>
  <si>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</si>
  <si>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</si>
  <si>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</si>
  <si>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</si>
  <si>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</si>
  <si>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</si>
  <si>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</si>
  <si>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</si>
  <si>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</si>
  <si>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</si>
  <si>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</si>
  <si>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</si>
  <si>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</si>
  <si>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</si>
  <si>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</si>
  <si>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</si>
  <si>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</si>
  <si>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</si>
  <si>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</si>
  <si>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</si>
  <si>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</si>
  <si>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</si>
  <si>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</si>
  <si>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</si>
  <si>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</si>
  <si>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</si>
  <si>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</si>
  <si>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</si>
  <si>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</si>
  <si>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</si>
  <si>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</si>
  <si>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</si>
  <si>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</si>
  <si>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</si>
  <si>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</si>
  <si>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</si>
  <si>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</si>
  <si>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</si>
  <si>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</si>
  <si>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</si>
  <si>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</si>
  <si>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</si>
  <si>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</si>
  <si>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</si>
  <si>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</si>
  <si>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</si>
  <si>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</si>
  <si>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</si>
  <si>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</si>
  <si>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</si>
  <si>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</si>
  <si>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</si>
  <si>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</si>
  <si>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</si>
  <si>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</si>
  <si>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</si>
  <si>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</si>
  <si>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</si>
  <si>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</si>
  <si>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</si>
  <si>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</si>
  <si>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</si>
  <si>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</si>
  <si>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</si>
  <si>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</si>
  <si>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</si>
  <si>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</si>
  <si>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</si>
  <si>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</si>
  <si>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</si>
  <si>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</si>
  <si>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</si>
  <si>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</si>
  <si>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</si>
  <si>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</si>
  <si>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</si>
  <si>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</si>
  <si>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</si>
  <si>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</si>
  <si>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</si>
  <si>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</si>
  <si>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</si>
  <si>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</si>
  <si>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</si>
  <si>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</si>
  <si>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</si>
  <si>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</si>
  <si>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</si>
  <si>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</si>
  <si>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</si>
  <si>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</si>
  <si>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</si>
  <si>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</si>
  <si>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</si>
  <si>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</si>
  <si>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</si>
  <si>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</si>
  <si>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</si>
  <si>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</si>
  <si>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</si>
  <si>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</si>
  <si>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</si>
  <si>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</si>
  <si>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</si>
  <si>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</si>
  <si>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</si>
  <si>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</si>
  <si>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</si>
  <si>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</si>
  <si>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</si>
  <si>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</si>
  <si>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</si>
  <si>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</si>
  <si>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</si>
  <si>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</si>
  <si>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</si>
  <si>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</si>
  <si>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</si>
  <si>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</si>
  <si>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</si>
  <si>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</si>
  <si>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</si>
  <si>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</si>
  <si>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</si>
  <si>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</si>
  <si>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</si>
  <si>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</si>
  <si>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</si>
  <si>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</si>
  <si>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</si>
  <si>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</si>
  <si>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</si>
  <si>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</si>
  <si>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</si>
  <si>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</si>
  <si>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</si>
  <si>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</si>
  <si>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</si>
  <si>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</si>
  <si>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</si>
  <si>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</si>
  <si>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</si>
  <si>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</si>
  <si>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</si>
  <si>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</si>
  <si>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</si>
  <si>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</si>
  <si>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</si>
  <si>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</si>
  <si>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</si>
  <si>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</si>
  <si>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</si>
  <si>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</si>
  <si>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</si>
  <si>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</si>
  <si>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</si>
  <si>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</si>
  <si>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</si>
  <si>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</si>
  <si>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</si>
  <si>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</si>
  <si>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</si>
  <si>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</si>
  <si>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</si>
  <si>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</si>
  <si>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</si>
  <si>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</si>
  <si>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</si>
  <si>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</si>
  <si>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</si>
  <si>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</si>
  <si>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</si>
  <si>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</si>
  <si>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</si>
  <si>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</si>
  <si>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</si>
  <si>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</si>
  <si>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</si>
  <si>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</si>
  <si>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</si>
  <si>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</si>
  <si>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</si>
  <si>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</si>
  <si>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</si>
  <si>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</si>
  <si>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</si>
  <si>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</si>
  <si>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</si>
  <si>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</si>
  <si>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</si>
  <si>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</si>
  <si>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</si>
  <si>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</si>
  <si>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</si>
  <si>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</si>
  <si>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</si>
  <si>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</si>
  <si>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</si>
  <si>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</si>
  <si>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</si>
  <si>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</si>
  <si>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</si>
  <si>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</si>
  <si>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</si>
  <si>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</si>
  <si>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</si>
  <si>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</si>
  <si>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</si>
  <si>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</si>
  <si>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</si>
  <si>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</si>
  <si>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</si>
  <si>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</si>
  <si>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</si>
  <si>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</si>
  <si>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</si>
  <si>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</si>
  <si>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</si>
  <si>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</si>
  <si>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</si>
  <si>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</si>
  <si>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</si>
  <si>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</si>
  <si>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</si>
  <si>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</si>
  <si>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</si>
  <si>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</si>
  <si>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</si>
  <si>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</si>
  <si>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</si>
  <si>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</si>
  <si>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</si>
  <si>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</si>
  <si>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</si>
  <si>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</si>
  <si>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</si>
  <si>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</si>
  <si>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</si>
  <si>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</si>
  <si>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</si>
  <si>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</si>
  <si>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</si>
  <si>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</si>
  <si>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</si>
  <si>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</si>
  <si>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</si>
  <si>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</si>
  <si>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</si>
  <si>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</si>
  <si>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</si>
  <si>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</si>
  <si>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</si>
  <si>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</si>
  <si>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</si>
  <si>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</si>
  <si>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</si>
  <si>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</si>
  <si>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</si>
  <si>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</si>
  <si>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</si>
  <si>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</si>
  <si>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</si>
  <si>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</si>
  <si>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</si>
  <si>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</si>
  <si>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</si>
  <si>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</si>
  <si>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</si>
  <si>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</si>
  <si>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</si>
  <si>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</si>
  <si>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</si>
  <si>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</si>
  <si>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</si>
  <si>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</si>
  <si>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</si>
  <si>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</si>
  <si>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</si>
  <si>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</si>
  <si>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</si>
  <si>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</si>
  <si>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</si>
  <si>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</si>
  <si>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</si>
  <si>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</si>
  <si>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</si>
  <si>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</si>
  <si>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</si>
  <si>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</si>
  <si>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</si>
  <si>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</si>
  <si>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</si>
  <si>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</si>
  <si>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</si>
  <si>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</si>
  <si>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</si>
  <si>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</si>
  <si>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</si>
  <si>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</si>
  <si>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</si>
  <si>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</si>
  <si>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</si>
  <si>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</si>
  <si>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</si>
  <si>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</si>
  <si>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</si>
  <si>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</si>
  <si>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</si>
  <si>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</si>
  <si>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</si>
  <si>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</si>
  <si>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</si>
  <si>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</si>
  <si>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</si>
  <si>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</si>
  <si>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</si>
  <si>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</si>
  <si>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</si>
  <si>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</si>
  <si>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</si>
  <si>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</si>
  <si>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</si>
  <si>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</si>
  <si>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</si>
  <si>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</si>
  <si>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</si>
  <si>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</si>
  <si>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</si>
  <si>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</si>
  <si>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</si>
  <si>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</si>
  <si>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</si>
  <si>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</si>
  <si>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</si>
  <si>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</si>
  <si>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</si>
  <si>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</si>
  <si>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</si>
  <si>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</si>
  <si>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</si>
  <si>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</si>
  <si>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</si>
  <si>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</si>
  <si>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</si>
  <si>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</si>
  <si>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</si>
  <si>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</si>
  <si>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</si>
  <si>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</si>
  <si>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</si>
  <si>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</si>
  <si>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</si>
  <si>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</si>
  <si>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</si>
  <si>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</si>
  <si>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</si>
  <si>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</si>
  <si>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</si>
  <si>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</si>
  <si>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</si>
  <si>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</si>
  <si>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</si>
  <si>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</si>
  <si>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</si>
  <si>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</si>
  <si>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</si>
  <si>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</si>
  <si>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</si>
  <si>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</si>
  <si>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</si>
  <si>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</si>
  <si>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</si>
  <si>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</si>
  <si>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</si>
  <si>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</si>
  <si>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</si>
  <si>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</si>
  <si>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</si>
  <si>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</si>
  <si>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</si>
  <si>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</si>
  <si>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</si>
  <si>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</si>
  <si>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</si>
  <si>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</si>
  <si>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</si>
  <si>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</si>
  <si>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</si>
  <si>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</si>
  <si>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</si>
  <si>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</si>
  <si>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</si>
  <si>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</si>
  <si>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</si>
  <si>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</si>
  <si>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</si>
  <si>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</si>
  <si>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</si>
  <si>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</si>
  <si>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</si>
  <si>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</si>
  <si>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</si>
  <si>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</si>
  <si>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</si>
  <si>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</si>
  <si>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</si>
  <si>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</si>
  <si>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</si>
  <si>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</si>
  <si>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</si>
  <si>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</si>
  <si>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</si>
  <si>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</si>
  <si>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</si>
  <si>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</si>
  <si>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</si>
  <si>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</si>
  <si>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</si>
  <si>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</si>
  <si>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</si>
  <si>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</si>
  <si>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</si>
  <si>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</si>
  <si>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</si>
  <si>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</si>
  <si>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</si>
  <si>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</si>
  <si>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</si>
  <si>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</si>
  <si>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</si>
  <si>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</si>
  <si>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</si>
  <si>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</si>
  <si>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</si>
  <si>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</si>
  <si>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</si>
  <si>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</si>
  <si>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</si>
  <si>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</si>
  <si>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</si>
  <si>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</si>
  <si>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</si>
  <si>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</si>
  <si>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</si>
  <si>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</si>
  <si>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</si>
  <si>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</si>
  <si>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</si>
  <si>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</si>
  <si>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</si>
  <si>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</si>
  <si>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</si>
  <si>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</si>
  <si>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</si>
  <si>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</si>
  <si>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</si>
  <si>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</si>
  <si>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</si>
  <si>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</si>
  <si>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</si>
  <si>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</si>
  <si>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</si>
  <si>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</si>
  <si>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</si>
  <si>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</si>
  <si>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</si>
  <si>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</si>
  <si>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</si>
  <si>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</si>
  <si>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</si>
  <si>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</si>
  <si>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</si>
  <si>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</si>
  <si>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</si>
  <si>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</si>
  <si>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</si>
  <si>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</si>
  <si>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</si>
  <si>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</si>
  <si>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</si>
  <si>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</si>
  <si>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</si>
  <si>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</si>
  <si>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</si>
  <si>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</si>
  <si>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</si>
  <si>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</si>
  <si>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</si>
  <si>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</si>
  <si>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</si>
  <si>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</si>
  <si>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</si>
  <si>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</si>
  <si>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</si>
  <si>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</si>
  <si>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</si>
  <si>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</si>
  <si>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</si>
  <si>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</si>
  <si>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</si>
  <si>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</si>
  <si>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</si>
  <si>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</si>
  <si>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</si>
  <si>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</si>
  <si>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</si>
  <si>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</si>
  <si>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</si>
  <si>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</si>
  <si>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</si>
  <si>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</si>
  <si>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</si>
  <si>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</si>
  <si>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</si>
  <si>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</si>
  <si>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</si>
  <si>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</si>
  <si>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</si>
  <si>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</si>
  <si>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</si>
  <si>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</si>
  <si>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</si>
  <si>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</si>
  <si>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</si>
  <si>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</si>
  <si>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</si>
  <si>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</si>
  <si>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</si>
  <si>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</si>
  <si>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</si>
  <si>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</si>
  <si>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</si>
  <si>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</si>
  <si>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</si>
  <si>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</si>
  <si>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</si>
  <si>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</si>
  <si>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</si>
  <si>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</si>
  <si>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</si>
  <si>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</si>
  <si>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</si>
  <si>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</si>
  <si>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</si>
  <si>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</si>
  <si>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</si>
  <si>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</si>
  <si>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</si>
  <si>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</si>
  <si>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</si>
  <si>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</si>
  <si>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</si>
  <si>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</si>
  <si>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</si>
  <si>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</si>
  <si>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</si>
  <si>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</si>
  <si>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</si>
  <si>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</si>
  <si>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</si>
  <si>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</si>
  <si>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</si>
  <si>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</si>
  <si>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</si>
  <si>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</si>
  <si>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</si>
  <si>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</si>
  <si>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</si>
  <si>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</si>
  <si>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</si>
  <si>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</si>
  <si>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</si>
  <si>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</si>
  <si>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</si>
  <si>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</si>
  <si>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</si>
  <si>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</si>
  <si>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</si>
  <si>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</si>
  <si>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</si>
  <si>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</si>
  <si>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</si>
  <si>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</si>
  <si>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</si>
  <si>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</si>
  <si>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</si>
  <si>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</si>
  <si>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</si>
  <si>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</si>
  <si>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</si>
  <si>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</si>
  <si>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</si>
  <si>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</si>
  <si>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</si>
  <si>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</si>
  <si>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</si>
  <si>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</si>
  <si>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</si>
  <si>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</si>
  <si>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</si>
  <si>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</si>
  <si>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</si>
  <si>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</si>
  <si>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</si>
  <si>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</si>
  <si>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</si>
  <si>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</si>
  <si>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</si>
  <si>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</si>
  <si>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</si>
  <si>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</si>
  <si>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</si>
  <si>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</si>
  <si>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</si>
  <si>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</si>
  <si>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</si>
  <si>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</si>
  <si>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</si>
  <si>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</si>
  <si>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</si>
  <si>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</si>
  <si>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</si>
  <si>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</si>
  <si>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</si>
  <si>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</si>
  <si>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</si>
  <si>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</si>
  <si>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</si>
  <si>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</si>
  <si>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</si>
  <si>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</si>
  <si>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</si>
  <si>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</si>
  <si>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</si>
  <si>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</si>
  <si>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</si>
  <si>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</si>
  <si>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</si>
  <si>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</si>
  <si>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</si>
  <si>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</si>
  <si>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</si>
  <si>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</si>
  <si>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</si>
  <si>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</si>
  <si>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</si>
  <si>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</si>
  <si>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</si>
  <si>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</si>
  <si>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</si>
  <si>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</si>
  <si>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</si>
  <si>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</si>
  <si>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</si>
  <si>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</si>
  <si>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</si>
  <si>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</si>
  <si>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</si>
  <si>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</si>
  <si>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</si>
  <si>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</si>
  <si>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</si>
  <si>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</si>
  <si>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</si>
  <si>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</si>
  <si>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</si>
  <si>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</si>
  <si>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</si>
  <si>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</si>
  <si>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</si>
  <si>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</si>
  <si>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</si>
  <si>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</si>
  <si>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</si>
  <si>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</si>
  <si>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</si>
  <si>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</si>
  <si>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</si>
  <si>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</si>
  <si>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</si>
  <si>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</si>
  <si>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</si>
  <si>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</si>
  <si>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</si>
  <si>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</si>
  <si>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</si>
  <si>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</si>
  <si>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</si>
  <si>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</si>
  <si>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</si>
  <si>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</si>
  <si>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</si>
  <si>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</si>
  <si>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</si>
  <si>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</si>
  <si>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</si>
  <si>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</si>
  <si>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</si>
  <si>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</si>
  <si>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</si>
  <si>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</si>
  <si>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</si>
  <si>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</si>
  <si>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</si>
  <si>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</si>
  <si>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</si>
  <si>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</si>
  <si>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</si>
  <si>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</si>
  <si>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</si>
  <si>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</si>
  <si>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</si>
  <si>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</si>
  <si>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</si>
  <si>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</si>
  <si>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</si>
  <si>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</si>
  <si>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</si>
  <si>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</si>
  <si>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</si>
  <si>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</si>
  <si>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</si>
  <si>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</si>
  <si>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</si>
  <si>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</si>
  <si>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</si>
  <si>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</si>
  <si>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</si>
  <si>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</si>
  <si>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</si>
  <si>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</si>
  <si>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</si>
  <si>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</si>
  <si>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</si>
  <si>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</si>
  <si>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</si>
  <si>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</si>
  <si>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</si>
  <si>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</si>
  <si>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</si>
  <si>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</si>
  <si>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</si>
  <si>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</si>
  <si>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</si>
  <si>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</si>
  <si>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</si>
  <si>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</si>
  <si>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</si>
  <si>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</si>
  <si>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</si>
  <si>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</si>
  <si>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</si>
  <si>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</si>
  <si>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</si>
  <si>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</si>
  <si>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</si>
  <si>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</si>
  <si>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</si>
  <si>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</si>
  <si>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</si>
  <si>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</si>
  <si>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</si>
  <si>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</si>
  <si>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</si>
  <si>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</si>
  <si>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</si>
  <si>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</si>
  <si>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</si>
  <si>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</si>
  <si>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</si>
  <si>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</si>
  <si>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</si>
  <si>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</si>
  <si>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</si>
  <si>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</si>
  <si>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</si>
  <si>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</si>
  <si>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</si>
  <si>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</si>
  <si>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</si>
  <si>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</si>
  <si>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</si>
  <si>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</si>
  <si>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</si>
  <si>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</si>
  <si>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</si>
  <si>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</si>
  <si>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</si>
  <si>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</si>
  <si>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</si>
  <si>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</si>
  <si>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</si>
  <si>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</si>
  <si>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</si>
  <si>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</si>
  <si>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</si>
  <si>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</si>
  <si>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</si>
  <si>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</si>
  <si>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</si>
  <si>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</si>
  <si>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</si>
  <si>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</si>
  <si>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</si>
  <si>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</si>
  <si>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</si>
  <si>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</si>
  <si>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</si>
  <si>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</si>
  <si>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</si>
  <si>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</si>
  <si>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</si>
  <si>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</si>
  <si>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</si>
  <si>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</si>
  <si>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</si>
  <si>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</si>
  <si>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</si>
  <si>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</si>
  <si>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</si>
  <si>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</si>
  <si>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</si>
  <si>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</si>
  <si>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</si>
  <si>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</si>
  <si>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</si>
  <si>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</si>
  <si>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</si>
  <si>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</si>
  <si>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</si>
  <si>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</si>
  <si>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</si>
  <si>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</si>
  <si>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</si>
  <si>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</si>
  <si>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</si>
  <si>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</si>
  <si>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</si>
  <si>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</si>
  <si>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</si>
  <si>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</si>
  <si>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</si>
  <si>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</si>
  <si>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</si>
  <si>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</si>
  <si>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</si>
  <si>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</si>
  <si>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</si>
  <si>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</si>
  <si>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</si>
  <si>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</si>
  <si>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</si>
  <si>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</si>
  <si>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</si>
  <si>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</si>
  <si>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</si>
  <si>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</si>
  <si>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</si>
  <si>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</si>
  <si>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</si>
  <si>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</si>
  <si>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</si>
  <si>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</si>
  <si>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</si>
  <si>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</si>
  <si>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</si>
  <si>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</si>
  <si>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</si>
  <si>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</si>
  <si>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</si>
  <si>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</si>
  <si>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</si>
  <si>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</si>
  <si>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</si>
  <si>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</si>
  <si>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</si>
  <si>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</si>
  <si>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</si>
  <si>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</si>
  <si>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</si>
  <si>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</si>
  <si>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</si>
  <si>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</si>
  <si>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</si>
  <si>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</si>
  <si>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</si>
  <si>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</si>
  <si>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</si>
  <si>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</si>
  <si>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</si>
  <si>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</si>
  <si>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</si>
  <si>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</si>
  <si>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</si>
  <si>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</si>
  <si>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</si>
  <si>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</si>
  <si>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</si>
  <si>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</si>
  <si>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</si>
  <si>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</si>
  <si>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</si>
  <si>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</si>
  <si>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</si>
  <si>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</si>
  <si>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</si>
  <si>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</si>
  <si>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</si>
  <si>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</si>
  <si>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</si>
  <si>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</si>
  <si>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</si>
  <si>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</si>
  <si>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</si>
  <si>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</si>
  <si>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</si>
  <si>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</si>
  <si>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</si>
  <si>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</si>
  <si>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</si>
  <si>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</si>
  <si>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</si>
  <si>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</si>
  <si>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</si>
  <si>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</si>
  <si>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</si>
  <si>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</si>
  <si>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</si>
  <si>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</si>
  <si>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</si>
  <si>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</si>
  <si>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</si>
  <si>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</si>
  <si>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</si>
  <si>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</si>
  <si>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</si>
  <si>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</si>
  <si>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</si>
  <si>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</si>
  <si>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</si>
  <si>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</si>
  <si>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</si>
  <si>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</si>
  <si>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</si>
  <si>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</si>
  <si>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</si>
  <si>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</si>
  <si>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</si>
  <si>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</si>
  <si>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</si>
  <si>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</si>
  <si>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</si>
  <si>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</si>
  <si>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</si>
  <si>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</si>
  <si>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</si>
  <si>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</si>
  <si>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</si>
  <si>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</si>
  <si>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</si>
  <si>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</si>
  <si>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</si>
  <si>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</si>
  <si>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</si>
  <si>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</si>
  <si>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</si>
  <si>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</si>
  <si>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</si>
  <si>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</si>
  <si>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</si>
  <si>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</si>
  <si>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</si>
  <si>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</si>
  <si>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</si>
  <si>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</si>
  <si>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</si>
  <si>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</si>
  <si>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</si>
  <si>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</si>
  <si>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</si>
  <si>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</si>
  <si>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</si>
  <si>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</si>
  <si>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</si>
  <si>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</si>
  <si>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</si>
  <si>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</si>
  <si>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</si>
  <si>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</si>
  <si>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</si>
  <si>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</si>
  <si>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</si>
  <si>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</si>
  <si>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</si>
  <si>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</si>
  <si>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</si>
  <si>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</si>
  <si>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</si>
  <si>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</si>
  <si>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</si>
  <si>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</si>
  <si>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</si>
  <si>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</si>
  <si>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</si>
  <si>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</si>
  <si>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</si>
  <si>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</si>
  <si>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</si>
  <si>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</si>
  <si>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</si>
  <si>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</si>
  <si>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</si>
  <si>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</si>
  <si>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</si>
  <si>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</si>
  <si>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</si>
  <si>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</si>
  <si>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</si>
  <si>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</si>
  <si>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</si>
  <si>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</si>
  <si>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</si>
  <si>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</si>
  <si>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</si>
  <si>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</si>
  <si>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</si>
  <si>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</si>
  <si>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</si>
  <si>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</si>
  <si>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</si>
  <si>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</si>
  <si>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</si>
  <si>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</si>
  <si>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</si>
  <si>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</si>
  <si>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</si>
  <si>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</si>
  <si>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</si>
  <si>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</si>
  <si>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</si>
  <si>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</si>
  <si>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</si>
  <si>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</si>
  <si>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</si>
  <si>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</si>
  <si>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</si>
  <si>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</si>
  <si>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</si>
  <si>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</si>
  <si>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</si>
  <si>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</si>
  <si>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</si>
  <si>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</si>
  <si>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</si>
  <si>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</si>
  <si>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</si>
  <si>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</si>
  <si>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</si>
  <si>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</si>
  <si>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</si>
  <si>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</si>
  <si>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</si>
  <si>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</si>
  <si>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</si>
  <si>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</si>
  <si>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</si>
  <si>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</si>
  <si>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</si>
  <si>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</si>
  <si>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</si>
  <si>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</si>
  <si>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</si>
  <si>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</si>
  <si>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</si>
  <si>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</si>
  <si>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</si>
  <si>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</si>
  <si>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</si>
  <si>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</si>
  <si>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</si>
  <si>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</si>
  <si>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</si>
  <si>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</si>
  <si>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</si>
  <si>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</si>
  <si>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</si>
  <si>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</si>
  <si>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</si>
  <si>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</si>
  <si>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</si>
  <si>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</si>
  <si>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</si>
  <si>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</si>
  <si>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</si>
  <si>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</si>
  <si>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</si>
  <si>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</si>
  <si>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</si>
  <si>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</si>
  <si>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</si>
  <si>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</si>
  <si>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</si>
  <si>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</si>
  <si>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</si>
  <si>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</si>
  <si>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</si>
  <si>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</si>
  <si>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</si>
  <si>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</si>
  <si>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</si>
  <si>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</si>
  <si>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</si>
  <si>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</si>
  <si>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</si>
  <si>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</si>
  <si>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</si>
  <si>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</si>
  <si>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</si>
  <si>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</si>
  <si>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</si>
  <si>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</si>
  <si>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</si>
  <si>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</si>
  <si>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</si>
  <si>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</si>
  <si>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</si>
  <si>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</si>
  <si>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</si>
  <si>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</si>
  <si>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</si>
  <si>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</si>
  <si>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</si>
  <si>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</si>
  <si>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</si>
  <si>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</si>
  <si>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</si>
  <si>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</si>
  <si>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</si>
  <si>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</si>
  <si>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</si>
  <si>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</si>
  <si>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</si>
  <si>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</si>
  <si>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</si>
  <si>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</si>
  <si>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</si>
  <si>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</si>
  <si>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</si>
  <si>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</si>
  <si>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</si>
  <si>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</si>
  <si>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</si>
  <si>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</si>
  <si>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</si>
  <si>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</si>
  <si>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</si>
  <si>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</si>
  <si>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</si>
  <si>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</si>
  <si>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</si>
  <si>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</si>
  <si>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</si>
  <si>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</si>
  <si>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</si>
  <si>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</si>
  <si>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</si>
  <si>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</si>
  <si>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</si>
  <si>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</si>
  <si>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</si>
  <si>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</si>
  <si>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</si>
  <si>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</si>
  <si>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</si>
  <si>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</si>
  <si>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</si>
  <si>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</si>
  <si>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</si>
  <si>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</si>
  <si>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</si>
  <si>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</si>
  <si>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</si>
  <si>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</si>
  <si>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</si>
  <si>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</si>
  <si>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</si>
  <si>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</si>
  <si>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</si>
  <si>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</si>
  <si>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</si>
  <si>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</si>
  <si>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</si>
  <si>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</si>
  <si>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</si>
  <si>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</si>
  <si>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</si>
  <si>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</si>
  <si>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</si>
  <si>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</si>
  <si>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</si>
  <si>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</si>
  <si>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</si>
  <si>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</si>
  <si>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</si>
  <si>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</si>
  <si>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</si>
  <si>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</si>
  <si>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</si>
  <si>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</si>
  <si>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</si>
  <si>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</si>
  <si>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</si>
  <si>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</si>
  <si>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</si>
  <si>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</si>
  <si>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</si>
  <si>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</si>
  <si>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</si>
  <si>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</si>
  <si>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</si>
  <si>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</si>
  <si>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</si>
  <si>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</si>
  <si>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</si>
  <si>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</si>
  <si>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</si>
  <si>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</si>
  <si>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</si>
  <si>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</si>
  <si>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</si>
  <si>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</si>
  <si>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</si>
  <si>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</si>
  <si>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</si>
  <si>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</si>
  <si>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</si>
  <si>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</si>
  <si>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</si>
  <si>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</si>
  <si>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</si>
  <si>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</si>
  <si>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</si>
  <si>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</si>
  <si>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</si>
  <si>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</si>
  <si>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</si>
  <si>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</si>
  <si>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</si>
  <si>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</si>
  <si>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</si>
  <si>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</si>
  <si>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</si>
  <si>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</si>
  <si>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</si>
  <si>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</si>
  <si>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</si>
  <si>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</si>
  <si>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</si>
  <si>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</si>
  <si>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</si>
  <si>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</si>
  <si>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</si>
  <si>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</si>
  <si>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</si>
  <si>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</si>
  <si>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</si>
  <si>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</si>
  <si>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</si>
  <si>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</si>
  <si>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</si>
  <si>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</si>
  <si>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</si>
  <si>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</si>
  <si>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</si>
  <si>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</si>
  <si>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</si>
  <si>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</si>
  <si>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</si>
  <si>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</si>
  <si>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</si>
  <si>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</si>
  <si>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</si>
  <si>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</si>
  <si>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</si>
  <si>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</si>
  <si>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</si>
  <si>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</si>
  <si>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</si>
  <si>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</si>
  <si>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</si>
  <si>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</si>
  <si>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</si>
  <si>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</si>
  <si>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</si>
  <si>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</si>
  <si>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</si>
  <si>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</si>
  <si>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</si>
  <si>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</si>
  <si>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</si>
  <si>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</si>
  <si>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</si>
  <si>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</si>
  <si>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</si>
  <si>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</si>
  <si>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</si>
  <si>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</si>
  <si>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</si>
  <si>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</si>
  <si>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</si>
  <si>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</si>
  <si>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</si>
  <si>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</si>
  <si>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</si>
  <si>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</si>
  <si>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</si>
  <si>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</si>
  <si>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</si>
  <si>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</si>
  <si>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</si>
  <si>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</si>
  <si>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</si>
  <si>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</si>
  <si>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</si>
  <si>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</si>
  <si>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</si>
  <si>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</si>
  <si>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</si>
  <si>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</si>
  <si>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</si>
  <si>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</si>
  <si>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</si>
  <si>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</si>
  <si>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</si>
  <si>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</si>
  <si>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</si>
  <si>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</si>
  <si>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</si>
  <si>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</si>
  <si>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</si>
  <si>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</si>
  <si>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</si>
  <si>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</si>
  <si>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</si>
  <si>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</si>
  <si>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</si>
  <si>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</si>
  <si>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</si>
  <si>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</si>
  <si>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</si>
  <si>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</si>
  <si>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</si>
  <si>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</si>
  <si>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</si>
  <si>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</si>
  <si>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</si>
  <si>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</si>
  <si>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</si>
  <si>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</si>
  <si>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</si>
  <si>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</si>
  <si>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</si>
  <si>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</si>
  <si>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</si>
  <si>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</si>
  <si>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</si>
  <si>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</si>
  <si>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</si>
  <si>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</si>
  <si>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</si>
  <si>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</si>
  <si>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</si>
  <si>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</si>
  <si>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</si>
  <si>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</si>
  <si>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</si>
  <si>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</si>
  <si>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</si>
  <si>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</si>
  <si>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</si>
  <si>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</si>
  <si>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</si>
  <si>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</si>
  <si>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</si>
  <si>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</si>
  <si>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</si>
  <si>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</si>
  <si>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</si>
  <si>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</si>
  <si>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</si>
  <si>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</si>
  <si>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</si>
  <si>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</si>
  <si>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</si>
  <si>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</si>
  <si>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</si>
  <si>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</si>
  <si>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</si>
  <si>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</si>
  <si>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</si>
  <si>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</si>
  <si>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</si>
  <si>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</si>
  <si>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</si>
  <si>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</si>
  <si>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</si>
  <si>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</si>
  <si>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</si>
  <si>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</si>
  <si>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</si>
  <si>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</si>
  <si>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</si>
  <si>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</si>
  <si>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</si>
  <si>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</si>
  <si>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</si>
  <si>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</si>
  <si>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</si>
  <si>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</si>
  <si>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</si>
  <si>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</si>
  <si>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</si>
  <si>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</si>
  <si>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</si>
  <si>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</si>
  <si>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</si>
  <si>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</si>
  <si>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</si>
  <si>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</si>
  <si>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</si>
  <si>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</si>
  <si>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</si>
  <si>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</si>
  <si>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</si>
  <si>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</si>
  <si>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</si>
  <si>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</si>
  <si>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</si>
  <si>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</si>
  <si>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</si>
  <si>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</si>
  <si>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</si>
  <si>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</si>
  <si>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</si>
  <si>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</si>
  <si>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</si>
  <si>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</si>
  <si>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</si>
  <si>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</si>
  <si>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</si>
  <si>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</si>
  <si>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</si>
  <si>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</si>
  <si>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</si>
  <si>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</si>
  <si>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</si>
  <si>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</si>
  <si>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</si>
  <si>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</si>
  <si>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</si>
  <si>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</si>
  <si>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</si>
  <si>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</si>
  <si>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</si>
  <si>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</si>
  <si>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</si>
  <si>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</si>
  <si>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</si>
  <si>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</si>
  <si>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</si>
  <si>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</si>
  <si>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</si>
  <si>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</si>
  <si>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</si>
  <si>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</si>
  <si>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</si>
  <si>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</si>
  <si>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</si>
  <si>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</si>
  <si>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</si>
  <si>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</si>
  <si>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</si>
  <si>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</si>
  <si>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</si>
  <si>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</si>
  <si>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</si>
  <si>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</si>
  <si>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</si>
  <si>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</si>
  <si>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</si>
  <si>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</si>
  <si>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</si>
  <si>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</si>
  <si>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</si>
  <si>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</si>
  <si>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</si>
  <si>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</si>
  <si>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</si>
  <si>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</si>
  <si>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</si>
  <si>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</si>
  <si>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</si>
  <si>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</si>
  <si>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</si>
  <si>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</si>
  <si>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</si>
  <si>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</si>
  <si>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</si>
  <si>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</si>
  <si>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</si>
  <si>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</si>
  <si>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</si>
  <si>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</si>
  <si>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</si>
  <si>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</si>
  <si>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</si>
  <si>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</si>
  <si>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</si>
  <si>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</si>
  <si>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</si>
  <si>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</si>
  <si>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</si>
  <si>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</si>
  <si>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</si>
  <si>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</si>
  <si>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</si>
  <si>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</si>
  <si>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</si>
  <si>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</si>
  <si>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</si>
  <si>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</si>
  <si>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</si>
  <si>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</si>
  <si>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</si>
  <si>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</si>
  <si>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</si>
  <si>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</si>
  <si>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</si>
  <si>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</si>
  <si>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</si>
  <si>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</si>
  <si>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</si>
  <si>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</si>
  <si>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中铁建设集团房地产有限公司</t>
    <phoneticPr fontId="3" type="noConversion"/>
  </si>
  <si>
    <t>中国农业银行股份有限公司北京房山支行</t>
    <phoneticPr fontId="3" type="noConversion"/>
  </si>
  <si>
    <t>崔锴</t>
  </si>
  <si>
    <t>郑燚</t>
  </si>
  <si>
    <t>抵押</t>
  </si>
  <si>
    <t>房地产抵押价值</t>
  </si>
  <si>
    <t>北京市</t>
  </si>
  <si>
    <t>企业</t>
  </si>
  <si>
    <t>中铁建设集团北京容晟房地产有限公司</t>
    <phoneticPr fontId="6" type="noConversion"/>
  </si>
  <si>
    <t>出让</t>
  </si>
  <si>
    <t>在建</t>
  </si>
  <si>
    <t>原件</t>
  </si>
  <si>
    <t>是</t>
  </si>
  <si>
    <t>地上</t>
  </si>
  <si>
    <t>地下</t>
  </si>
  <si>
    <t>车库</t>
  </si>
  <si>
    <t>在建（套用方法）</t>
  </si>
  <si>
    <t>押一</t>
  </si>
  <si>
    <t>按租金收入计税</t>
  </si>
  <si>
    <t>钢混</t>
  </si>
  <si>
    <t>非生产用房</t>
  </si>
  <si>
    <t>未包含在土地购买价格中</t>
  </si>
  <si>
    <t>地块名称</t>
  </si>
  <si>
    <t>城市</t>
  </si>
  <si>
    <t>用地性质</t>
  </si>
  <si>
    <t>区县</t>
  </si>
  <si>
    <t>板块</t>
  </si>
  <si>
    <t>土地位置</t>
  </si>
  <si>
    <t>详细规划</t>
  </si>
  <si>
    <t>建设用地面积(㎡)</t>
  </si>
  <si>
    <t>规划建筑面积(㎡)</t>
  </si>
  <si>
    <t>容积率</t>
  </si>
  <si>
    <t>成交日期</t>
  </si>
  <si>
    <t>受让单位</t>
  </si>
  <si>
    <t>成交价(万元)</t>
  </si>
  <si>
    <t>成交每亩价(万元/亩)</t>
  </si>
  <si>
    <t>成交楼面价(元/㎡)</t>
  </si>
  <si>
    <t>溢价率</t>
  </si>
  <si>
    <t>竞报商品住房自持比例(%)</t>
  </si>
  <si>
    <t>北京市丰台区南苑乡分钟寺村L-24、L-26地块R2二类居住用地</t>
  </si>
  <si>
    <t>住宅用地</t>
  </si>
  <si>
    <t>丰台区</t>
  </si>
  <si>
    <t>丰台区南苑乡分钟寺村</t>
  </si>
  <si>
    <t>R2二类居住用地</t>
  </si>
  <si>
    <t>≤2.8</t>
  </si>
  <si>
    <t>2020-04-23</t>
  </si>
  <si>
    <t>2020-05-09</t>
  </si>
  <si>
    <t>北京合宏达盛企业管理有限公司</t>
  </si>
  <si>
    <t>居住70年、商业40年、办公50年</t>
  </si>
  <si>
    <t>北京市房山区良乡镇FS04-0100-6056等地块R2二类居住用地、B11零售商业用地</t>
  </si>
  <si>
    <t>综合用地(含住宅)</t>
  </si>
  <si>
    <t>房山区</t>
  </si>
  <si>
    <t>房山区良乡镇</t>
  </si>
  <si>
    <t>R2二类居住用地、B11零售商业用地</t>
  </si>
  <si>
    <t>6056地块≤2,6058、6053地块≤2.5</t>
  </si>
  <si>
    <t>北京恒世投资有限公司</t>
  </si>
  <si>
    <t>≤3</t>
  </si>
  <si>
    <t>北京市房山区良乡镇FS04-0100-6076等地块R2二类居住用地、A33基础教育用地、F3其他类多功能用地</t>
  </si>
  <si>
    <t>R2二类居住用地、A33基础教育用地、F3其他类多功能用地</t>
  </si>
  <si>
    <t>fs04-0100-6076、6077、6078≤2.3,6084、6085≤2.2,a33≤0.8,f3≤3</t>
  </si>
  <si>
    <t>2019-12-12</t>
  </si>
  <si>
    <t>北京骏祥企业管理咨询有限公司</t>
  </si>
  <si>
    <t>北京市丰台区长辛店镇辛庄村A-46地块(丰台区长辛店镇辛庄村(一期)B地块土地一级开发项目)R2二类居住用地</t>
  </si>
  <si>
    <t>丰台区长辛店镇辛庄村</t>
  </si>
  <si>
    <t>≤1.1</t>
  </si>
  <si>
    <t>2019-12-05</t>
  </si>
  <si>
    <t>保利(北京)房地产开发有限公司和北京首都开发股份有限公司联合体</t>
  </si>
  <si>
    <t>房山区拱辰街道办事处</t>
  </si>
  <si>
    <t>R2二类居住用地、A33基础教育用地</t>
  </si>
  <si>
    <t>北京市丰台区南苑石榴庄0517-L02地块F1住宅混合公建用地</t>
  </si>
  <si>
    <t>丰台区南苑石榴庄</t>
  </si>
  <si>
    <t>F1住宅混合公建用地</t>
  </si>
  <si>
    <t>2019-09-25</t>
  </si>
  <si>
    <t>金茂北方企业管理(天津)有限公司和廊坊市合恩房地产开发有限公司联合体</t>
  </si>
  <si>
    <t>北京市丰台区花乡造甲村1512-653等地块(丰台区花乡造甲村土地一级开发项目南地块)综合性商业金融服务业及二类居住用地</t>
  </si>
  <si>
    <t>丰台区花乡造甲村</t>
  </si>
  <si>
    <t>R2二类居住用地、B4综合性商业金融服务业用地</t>
  </si>
  <si>
    <t>b4≤5,r2≤2.8</t>
  </si>
  <si>
    <t>2019-07-15</t>
  </si>
  <si>
    <t>北京中海地产有限公司</t>
  </si>
  <si>
    <t>北京市丰台区王佐镇魏各庄FT00-0503-0092等地块(丰台区青龙湖国际会都核心区C地块)二类居住及基础教育用地</t>
  </si>
  <si>
    <t>丰台区王佐镇魏各庄</t>
  </si>
  <si>
    <t>r2=1.1,a33=0.8</t>
  </si>
  <si>
    <t>2019-02-02</t>
  </si>
  <si>
    <t>北京万科企业有限公司和国开东方城镇发展投资有限公司联合体</t>
  </si>
  <si>
    <t>居住70年商业40年办公50年</t>
  </si>
  <si>
    <t>北京市丰台区花乡白盆窑村BPY-L011地块R2二类居住用地</t>
  </si>
  <si>
    <t>丰台区花乡白盆窑村</t>
  </si>
  <si>
    <t>2018-11-26</t>
  </si>
  <si>
    <t>中铁置业集团北京有限公司</t>
  </si>
  <si>
    <t>北京市丰台区花乡白盆窑村BPY-L010、BPY-L013地块R2二类居住用地、A33基础教育用地</t>
  </si>
  <si>
    <t>北京中铁诺德房地产开发有限公司</t>
  </si>
  <si>
    <t>北京市房山区拱辰街道17-02-10地块F1住宅混合公建用地、17-02-09地块A33基础教育用地</t>
  </si>
  <si>
    <t>F1住宅混合公建用地、A33基础教育用地</t>
  </si>
  <si>
    <t>北京华发创盛置业有限公司</t>
  </si>
  <si>
    <t>北京市房山区青龙湖镇中心区01-0010、0021地块R2二类居住用地、01-0015地块B4综合性商业金融服务业用地</t>
  </si>
  <si>
    <t>房山区青龙湖镇</t>
  </si>
  <si>
    <t>2018-10-19</t>
  </si>
  <si>
    <t>中铁建设集团房地产有限公司</t>
  </si>
  <si>
    <t>北京市房山区青龙湖镇FS16-0201-0005地块R2二类居住用地、FS16-0201-0004地块B4综合性商业金融服务业用地、FS16-0201-0003地块S4社会停车场用地</t>
  </si>
  <si>
    <t>R2二类居住用地、B4综合性商业金融服务业用地、S4社会停车场用地</t>
  </si>
  <si>
    <t>2018-09-13</t>
  </si>
  <si>
    <t>北京首都开发股份有限公司</t>
  </si>
  <si>
    <t>北京市丰台区丽泽金融商务区南区F-22、F-23地块F3其他类多功能用地</t>
  </si>
  <si>
    <t>商业/办公用地</t>
  </si>
  <si>
    <t>丰台区卢沟桥乡</t>
  </si>
  <si>
    <t>F3其他类多功能用地</t>
  </si>
  <si>
    <t>2018-07-06</t>
  </si>
  <si>
    <t>中证机构间报价系统股份有限公司和中国银河证券股份有限公司联合体</t>
  </si>
  <si>
    <t>商业40年、办公50年</t>
  </si>
  <si>
    <t>北京市房山区青龙湖镇FS16-0201-0013地块R2二类居住用地</t>
  </si>
  <si>
    <t>2018-07-04</t>
  </si>
  <si>
    <t>深圳市新威佳辰投资咨询有限公司</t>
  </si>
  <si>
    <t>北京市丰台区卢沟桥乡小瓦窑村XWY-12等地块绿隔产业、住宅混合公建及基础教育用地</t>
  </si>
  <si>
    <t>丰台区卢沟桥乡小瓦窑村</t>
  </si>
  <si>
    <t>F81绿隔产业用地、F1住宅混合公建用地、A33基础教育用地</t>
  </si>
  <si>
    <t>2018-06-22</t>
  </si>
  <si>
    <t>北京润置商业运营管理有限公司和北京海赋丰业房地产开发有限公司联合体</t>
  </si>
  <si>
    <t>北京市房山区长沟镇中心区FS12-0100-6022、6023等地块(北京基金小镇核心区一期)F3其他类多功能用地</t>
  </si>
  <si>
    <t>房山区长沟镇中心区北部</t>
  </si>
  <si>
    <t>2018-06-19</t>
  </si>
  <si>
    <t>北京基金小镇控股有限公司和北京基金小镇圣泉投资中心(有限合伙)联合体</t>
  </si>
  <si>
    <t>北京市丰台区卢沟桥乡小瓦窑村XWY-01地块R2二类居住用地</t>
  </si>
  <si>
    <t>2018-01-30</t>
  </si>
  <si>
    <t>上海穆捷投资管理有限公司和北京国瑞恒祥置业有限公司联合体</t>
  </si>
  <si>
    <t>北京市丰台区城乡一体化槐房村和新宫村旧村改造项目二期(第七宗)NY-001等地块R2二类居住用地、A33基础教育用地</t>
  </si>
  <si>
    <t>丰台区南苑乡槐房村、新宫村</t>
  </si>
  <si>
    <t>2018-01-04</t>
  </si>
  <si>
    <t>中国电建地产集团有限公司</t>
  </si>
  <si>
    <t>北京市丰台区丽泽金融商务区南区D-02地块B4综合性商业金融服务业用地</t>
  </si>
  <si>
    <t>B4综合性商业金融服务业用地</t>
  </si>
  <si>
    <t>2017-11-14</t>
  </si>
  <si>
    <t>华夏人寿保险股份有限公司北京分公司</t>
  </si>
  <si>
    <t>北京市房山区西潞街道FS00-LX06-0136、0137地块F2公建混合住宅用地</t>
  </si>
  <si>
    <t>房山区西潞街道</t>
  </si>
  <si>
    <t>F2公建混合住宅用地</t>
  </si>
  <si>
    <t>2017-10-30</t>
  </si>
  <si>
    <t>北京市丰台区城乡一体化西局村旧村改造项目三期0611-638地块R2二类居住用地</t>
  </si>
  <si>
    <t>丰台区卢沟桥乡西局村</t>
  </si>
  <si>
    <t>2017-09-21</t>
  </si>
  <si>
    <t>致昌(北京)企业管理有限公司</t>
  </si>
  <si>
    <t>房山区周口店镇02-0001等地块R2二类居住用地</t>
  </si>
  <si>
    <t>房山区周口店镇</t>
  </si>
  <si>
    <t>2017-06-14</t>
  </si>
  <si>
    <t>2017-07-18</t>
  </si>
  <si>
    <t>北京万科企业有限公司和深圳安创投资管理有限公司联合体</t>
  </si>
  <si>
    <t>丰台区西铁营村0501-634等地块F1住宅混合公建用地、B4综合性商业金融服务业用地、A33基础教育用地</t>
  </si>
  <si>
    <t>丰台区玉泉营桥东北侧</t>
  </si>
  <si>
    <t>F1住宅混合公建用地、B4综合性商业金融服务业用地、A33基础教育用地</t>
  </si>
  <si>
    <t>f1:3;a33:0.8;b4:3.5</t>
  </si>
  <si>
    <t>北京和茂置业有限公司、上海旭尧企业管理有限公司和北京国瑞兴业房地产控股有限公司联合体</t>
  </si>
  <si>
    <t>房山区青龙湖镇东部局部FS16-0201-0012等地块二类居住及基础教育用地</t>
  </si>
  <si>
    <t>2017-06-22</t>
  </si>
  <si>
    <t>北京青龙湖腾翔房地产开发有限公司、北京万科企业有限公司、北京龙湖中佰置业有限公司和北京首都开发股份有限公司联合体</t>
  </si>
  <si>
    <t>丰台区卢沟桥乡城乡一体化周庄子村旧村改造(一期)ZZZ-L05等地块</t>
  </si>
  <si>
    <t>丰台区卢沟桥乡周庄子村</t>
  </si>
  <si>
    <t>R2二类居住用地、F81绿隔产业用地、A2文化设施用地、A33基础教育用地</t>
  </si>
  <si>
    <t>金融街广安(北京)置业有限公司</t>
  </si>
  <si>
    <t>丰台区丽泽金融商务区南区D-07、D-08地块</t>
  </si>
  <si>
    <t>2017-05-18</t>
  </si>
  <si>
    <t>北京润置商业运营管理有限公司、北京首都开发股份有限公司、北京宸茂置业有限公司和北京金唐天润传媒发展有限公司联合体</t>
  </si>
  <si>
    <t>商业40年办公50年</t>
  </si>
  <si>
    <t>出让年限</t>
    <phoneticPr fontId="143" type="noConversion"/>
  </si>
  <si>
    <t>中铁建山语澜廷15号地块</t>
    <phoneticPr fontId="3" type="noConversion"/>
  </si>
  <si>
    <t>房山区青龙湖镇</t>
    <phoneticPr fontId="3" type="noConversion"/>
  </si>
  <si>
    <t>住宅、商业</t>
  </si>
  <si>
    <t>住宅、商业</t>
    <phoneticPr fontId="31" type="noConversion"/>
  </si>
  <si>
    <t>正常</t>
  </si>
  <si>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</si>
  <si>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</si>
  <si>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</si>
  <si>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</si>
  <si>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</si>
  <si>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</si>
  <si>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</si>
  <si>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</si>
  <si>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</si>
  <si>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</si>
  <si>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</si>
  <si>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</si>
  <si>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</si>
  <si>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</si>
  <si>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七通</t>
  </si>
  <si>
    <t>六通</t>
  </si>
  <si>
    <t>五通</t>
  </si>
  <si>
    <t>四通</t>
  </si>
  <si>
    <t>三通</t>
  </si>
  <si>
    <t>好</t>
    <phoneticPr fontId="3" type="noConversion"/>
  </si>
  <si>
    <t>较好</t>
    <phoneticPr fontId="3" type="noConversion"/>
  </si>
  <si>
    <t>一般</t>
    <phoneticPr fontId="3" type="noConversion"/>
  </si>
  <si>
    <t>较差</t>
    <phoneticPr fontId="3" type="noConversion"/>
  </si>
  <si>
    <t>差</t>
    <phoneticPr fontId="3" type="noConversion"/>
  </si>
  <si>
    <t>较规则</t>
  </si>
  <si>
    <t>较适宜</t>
  </si>
  <si>
    <t>较好</t>
  </si>
  <si>
    <t>一般</t>
  </si>
  <si>
    <t>较差</t>
  </si>
  <si>
    <t>多面临街</t>
  </si>
  <si>
    <t>单面临街</t>
  </si>
  <si>
    <t>支路</t>
  </si>
  <si>
    <t>全部缴纳</t>
  </si>
  <si>
    <t>成本法</t>
  </si>
  <si>
    <t>假设开发法</t>
  </si>
  <si>
    <t>商业</t>
    <phoneticPr fontId="143" type="noConversion"/>
  </si>
  <si>
    <t>系数</t>
    <phoneticPr fontId="143" type="noConversion"/>
  </si>
  <si>
    <t>面积</t>
    <phoneticPr fontId="143" type="noConversion"/>
  </si>
  <si>
    <t>租金</t>
    <phoneticPr fontId="143" type="noConversion"/>
  </si>
  <si>
    <t>1层</t>
    <phoneticPr fontId="143" type="noConversion"/>
  </si>
  <si>
    <t>2层</t>
    <phoneticPr fontId="143" type="noConversion"/>
  </si>
  <si>
    <t>居住项目</t>
  </si>
  <si>
    <t>住宅</t>
  </si>
  <si>
    <t>洋房</t>
  </si>
  <si>
    <t>仓储</t>
  </si>
  <si>
    <t>戊类库房</t>
  </si>
  <si>
    <t>2#住宅楼</t>
  </si>
  <si>
    <t>3#住宅楼</t>
  </si>
  <si>
    <t>4#住宅楼</t>
  </si>
  <si>
    <t>5#住宅楼</t>
  </si>
  <si>
    <t>6#住宅楼</t>
  </si>
  <si>
    <t>7#住宅楼</t>
  </si>
  <si>
    <t>8#住宅楼</t>
  </si>
  <si>
    <t>住宅</t>
    <phoneticPr fontId="31" type="noConversion"/>
  </si>
  <si>
    <t>山语澜廷</t>
    <phoneticPr fontId="3" type="noConversion"/>
  </si>
  <si>
    <t>青龙湖镇</t>
    <phoneticPr fontId="3" type="noConversion"/>
  </si>
  <si>
    <t>首开熙悦观湖</t>
    <phoneticPr fontId="3" type="noConversion"/>
  </si>
  <si>
    <t>熙湖悦著</t>
    <phoneticPr fontId="3" type="noConversion"/>
  </si>
  <si>
    <t>金地大湖风华</t>
    <phoneticPr fontId="3" type="noConversion"/>
  </si>
  <si>
    <t>洋房</t>
    <phoneticPr fontId="25" type="noConversion"/>
  </si>
  <si>
    <t>合院</t>
    <phoneticPr fontId="25" type="noConversion"/>
  </si>
  <si>
    <t>叠墅</t>
    <phoneticPr fontId="25" type="noConversion"/>
  </si>
  <si>
    <t>钢混</t>
    <phoneticPr fontId="25" type="noConversion"/>
  </si>
  <si>
    <t>好</t>
    <phoneticPr fontId="25" type="noConversion"/>
  </si>
  <si>
    <t>较好</t>
    <phoneticPr fontId="25" type="noConversion"/>
  </si>
  <si>
    <t>精装</t>
  </si>
  <si>
    <t>精装</t>
    <phoneticPr fontId="25" type="noConversion"/>
  </si>
  <si>
    <t>普装</t>
    <phoneticPr fontId="25" type="noConversion"/>
  </si>
  <si>
    <t>简装</t>
    <phoneticPr fontId="25" type="noConversion"/>
  </si>
  <si>
    <t>毛坯</t>
  </si>
  <si>
    <t>毛坯</t>
    <phoneticPr fontId="25" type="noConversion"/>
  </si>
  <si>
    <t>住宅</t>
    <phoneticPr fontId="25" type="noConversion"/>
  </si>
  <si>
    <t>60-70（含）</t>
  </si>
  <si>
    <r>
      <rPr>
        <sz val="12"/>
        <color theme="9" tint="-0.249977111117893"/>
        <rFont val="宋体"/>
        <family val="3"/>
        <charset val="134"/>
      </rPr>
      <t>房山区青龙湖中心区</t>
    </r>
    <r>
      <rPr>
        <sz val="12"/>
        <color theme="9" tint="-0.249977111117893"/>
        <rFont val="Arial"/>
        <family val="2"/>
      </rPr>
      <t>01-0010</t>
    </r>
    <r>
      <rPr>
        <sz val="12"/>
        <color theme="9" tint="-0.249977111117893"/>
        <rFont val="宋体"/>
        <family val="3"/>
        <charset val="134"/>
      </rPr>
      <t>地块</t>
    </r>
    <r>
      <rPr>
        <sz val="12"/>
        <color theme="9" tint="-0.249977111117893"/>
        <rFont val="Arial"/>
        <family val="2"/>
      </rPr>
      <t>R2</t>
    </r>
    <r>
      <rPr>
        <sz val="12"/>
        <color theme="9" tint="-0.249977111117893"/>
        <rFont val="宋体"/>
        <family val="3"/>
        <charset val="134"/>
      </rPr>
      <t>二类居住用地</t>
    </r>
    <phoneticPr fontId="6" type="noConversion"/>
  </si>
  <si>
    <t>1#住宅楼</t>
    <phoneticPr fontId="3" type="noConversion"/>
  </si>
  <si>
    <t>9#住宅楼</t>
  </si>
  <si>
    <t>10#住宅楼</t>
  </si>
  <si>
    <t>11#住宅楼</t>
  </si>
  <si>
    <t>12#住宅楼</t>
  </si>
  <si>
    <t>13#住宅楼</t>
  </si>
  <si>
    <t>14#住宅楼</t>
    <phoneticPr fontId="3" type="noConversion"/>
  </si>
  <si>
    <t>15#住宅楼</t>
    <phoneticPr fontId="3" type="noConversion"/>
  </si>
  <si>
    <t>地下室</t>
    <phoneticPr fontId="3" type="noConversion"/>
  </si>
  <si>
    <t>合院</t>
  </si>
  <si>
    <t>合院</t>
    <phoneticPr fontId="3" type="noConversion"/>
  </si>
  <si>
    <t>叠墅</t>
  </si>
  <si>
    <t>叠墅</t>
    <phoneticPr fontId="3" type="noConversion"/>
  </si>
  <si>
    <t>合院</t>
    <phoneticPr fontId="16" type="noConversion"/>
  </si>
  <si>
    <t>叠拼</t>
  </si>
  <si>
    <r>
      <t>3</t>
    </r>
    <r>
      <rPr>
        <sz val="10"/>
        <color indexed="8"/>
        <rFont val="宋体"/>
        <family val="3"/>
        <charset val="134"/>
      </rPr>
      <t>层</t>
    </r>
    <phoneticPr fontId="3" type="noConversion"/>
  </si>
  <si>
    <r>
      <t>4</t>
    </r>
    <r>
      <rPr>
        <sz val="10"/>
        <color indexed="8"/>
        <rFont val="宋体"/>
        <family val="3"/>
        <charset val="134"/>
      </rPr>
      <t>层</t>
    </r>
    <phoneticPr fontId="3" type="noConversion"/>
  </si>
  <si>
    <r>
      <t>129</t>
    </r>
    <r>
      <rPr>
        <sz val="11"/>
        <color indexed="8"/>
        <rFont val="宋体"/>
        <family val="3"/>
        <charset val="134"/>
      </rPr>
      <t>个车位</t>
    </r>
    <r>
      <rPr>
        <sz val="11"/>
        <color indexed="8"/>
        <rFont val="Arial"/>
        <family val="2"/>
      </rPr>
      <t>+2</t>
    </r>
    <r>
      <rPr>
        <sz val="11"/>
        <color indexed="8"/>
        <rFont val="宋体"/>
        <family val="3"/>
        <charset val="134"/>
      </rPr>
      <t>个机械车位</t>
    </r>
    <phoneticPr fontId="3" type="noConversion"/>
  </si>
  <si>
    <t>工程进度</t>
    <phoneticPr fontId="143" type="noConversion"/>
  </si>
  <si>
    <t>结构封顶</t>
    <phoneticPr fontId="143" type="noConversion"/>
  </si>
  <si>
    <t>2层</t>
    <phoneticPr fontId="143" type="noConversion"/>
  </si>
  <si>
    <t>3层</t>
    <phoneticPr fontId="143" type="noConversion"/>
  </si>
  <si>
    <t>实际进度</t>
    <phoneticPr fontId="143" type="noConversion"/>
  </si>
  <si>
    <t>2层</t>
    <phoneticPr fontId="143" type="noConversion"/>
  </si>
  <si>
    <t>地上</t>
    <phoneticPr fontId="143" type="noConversion"/>
  </si>
  <si>
    <t>地下</t>
    <phoneticPr fontId="143" type="noConversion"/>
  </si>
  <si>
    <t>可抵押</t>
    <phoneticPr fontId="143" type="noConversion"/>
  </si>
  <si>
    <t>剔除</t>
    <phoneticPr fontId="143" type="noConversion"/>
  </si>
  <si>
    <t>项目名称： 1#住宅楼等16项 楼号：3#住宅楼</t>
    <phoneticPr fontId="3" type="noConversion"/>
  </si>
  <si>
    <t>层  次</t>
  </si>
  <si>
    <t>建筑面积</t>
    <phoneticPr fontId="3" type="noConversion"/>
  </si>
  <si>
    <t>备    注</t>
    <phoneticPr fontId="3" type="noConversion"/>
  </si>
  <si>
    <t>-2</t>
  </si>
  <si>
    <t/>
  </si>
  <si>
    <t>-1</t>
  </si>
  <si>
    <t>层高不足2.20米，不计算建筑面积</t>
  </si>
  <si>
    <t>01</t>
  </si>
  <si>
    <t>02</t>
  </si>
  <si>
    <t>03</t>
  </si>
  <si>
    <t>04</t>
  </si>
  <si>
    <t>地上合计</t>
    <phoneticPr fontId="143" type="noConversion"/>
  </si>
  <si>
    <t>项目名称： 1#住宅楼等16项 楼号：4#住宅楼</t>
    <phoneticPr fontId="3" type="noConversion"/>
  </si>
  <si>
    <t>建筑面积</t>
    <phoneticPr fontId="3" type="noConversion"/>
  </si>
  <si>
    <t>备    注</t>
    <phoneticPr fontId="3" type="noConversion"/>
  </si>
  <si>
    <t>项目名称： 1#住宅楼等16项 楼号：6#住宅楼</t>
    <phoneticPr fontId="3" type="noConversion"/>
  </si>
  <si>
    <t>项目名称： 1#住宅楼等16项 楼号：10#住宅楼</t>
    <phoneticPr fontId="3" type="noConversion"/>
  </si>
  <si>
    <t>项目名称： 1#住宅楼等16项 楼号：11#住宅楼</t>
    <phoneticPr fontId="3" type="noConversion"/>
  </si>
  <si>
    <t>合院</t>
    <phoneticPr fontId="7" type="noConversion"/>
  </si>
  <si>
    <t>叠拼</t>
    <phoneticPr fontId="7" type="noConversion"/>
  </si>
  <si>
    <t>仓储</t>
    <phoneticPr fontId="7" type="noConversion"/>
  </si>
  <si>
    <t>车位</t>
  </si>
  <si>
    <t>车位</t>
    <phoneticPr fontId="7" type="noConversion"/>
  </si>
  <si>
    <t>收益法</t>
  </si>
  <si>
    <t>自定义</t>
  </si>
  <si>
    <t>10号地块</t>
    <phoneticPr fontId="143" type="noConversion"/>
  </si>
  <si>
    <t>15号地块</t>
    <phoneticPr fontId="143" type="noConversion"/>
  </si>
  <si>
    <t>21号地块</t>
    <phoneticPr fontId="143" type="noConversion"/>
  </si>
  <si>
    <t>已包含在土地取得成本中</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</si>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</sst>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sz val="12"/>
      <color indexed="8"/>
      <name val="仿宋_GB2312"/>
      <family val="3"/>
      <charset val="134"/>
    </font>
    <font>
      <sz val="11"/>
      <name val="宋体"/>
      <family val="3"/>
      <charset val="134"/>
      <scheme val="minor"/>
    </font>
    <font>
      <sz val="11"/>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255"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49" fontId="255" fillId="5" borderId="1" xfId="0" applyNumberFormat="1" applyFont="1" applyFill="1" applyBorder="1" applyAlignment="1" applyProtection="1">
      <alignment horizontal="center"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0" fillId="5" borderId="0" xfId="0" applyFill="1" applyAlignment="1"/>
    <xf numFmtId="0" fontId="99" fillId="0" borderId="0" xfId="0" applyFont="1" applyAlignment="1"/>
    <xf numFmtId="0" fontId="101" fillId="0" borderId="0" xfId="0" applyFont="1" applyAlignment="1"/>
    <xf numFmtId="0" fontId="256" fillId="0" borderId="0" xfId="0" applyFont="1" applyAlignment="1"/>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178" fontId="50" fillId="6" borderId="1" xfId="1" applyNumberFormat="1" applyFont="1" applyFill="1" applyBorder="1" applyAlignment="1" applyProtection="1">
      <alignment horizontal="center" vertical="center"/>
    </xf>
    <xf numFmtId="178" fontId="49" fillId="6" borderId="1" xfId="1" applyNumberFormat="1" applyFont="1" applyFill="1" applyBorder="1" applyAlignment="1" applyProtection="1">
      <alignment horizontal="center" vertical="center"/>
    </xf>
    <xf numFmtId="179" fontId="49" fillId="6" borderId="0" xfId="0" applyNumberFormat="1" applyFont="1" applyFill="1" applyBorder="1" applyAlignment="1" applyProtection="1">
      <alignment horizontal="center" vertical="center"/>
    </xf>
    <xf numFmtId="179" fontId="50" fillId="6" borderId="1" xfId="0" applyNumberFormat="1" applyFont="1" applyFill="1" applyBorder="1" applyAlignment="1" applyProtection="1">
      <alignment horizontal="center" vertical="center" wrapText="1"/>
    </xf>
    <xf numFmtId="0" fontId="99" fillId="0" borderId="0" xfId="0" applyFont="1">
      <alignmen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11" fillId="0" borderId="1" xfId="0" applyFont="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9" fillId="0" borderId="0" xfId="0" applyFont="1" applyFill="1" applyBorder="1">
      <alignment vertical="center"/>
    </xf>
    <xf numFmtId="49" fontId="19" fillId="0" borderId="1" xfId="0" applyNumberFormat="1" applyFont="1" applyFill="1" applyBorder="1" applyAlignment="1" applyProtection="1">
      <alignment horizontal="center" vertical="center"/>
    </xf>
    <xf numFmtId="176" fontId="19" fillId="0" borderId="1" xfId="0" applyNumberFormat="1" applyFont="1" applyFill="1" applyBorder="1" applyAlignment="1" applyProtection="1">
      <alignment horizontal="center" vertical="center"/>
    </xf>
    <xf numFmtId="176" fontId="19" fillId="0" borderId="1" xfId="0" applyNumberFormat="1" applyFont="1" applyFill="1" applyBorder="1" applyAlignment="1" applyProtection="1">
      <alignment horizontal="center" vertical="center" shrinkToFit="1"/>
    </xf>
    <xf numFmtId="49" fontId="80" fillId="0" borderId="1" xfId="0" applyNumberFormat="1" applyFont="1" applyFill="1" applyBorder="1" applyAlignment="1" applyProtection="1">
      <alignment horizontal="center" vertical="center" shrinkToFit="1"/>
    </xf>
    <xf numFmtId="49" fontId="19" fillId="0" borderId="1" xfId="0" applyNumberFormat="1" applyFont="1" applyFill="1" applyBorder="1" applyAlignment="1" applyProtection="1">
      <alignment horizontal="center" vertical="center" shrinkToFit="1"/>
    </xf>
    <xf numFmtId="176" fontId="80" fillId="0" borderId="1" xfId="0" applyNumberFormat="1" applyFont="1" applyFill="1" applyBorder="1" applyAlignment="1" applyProtection="1">
      <alignment horizontal="center" vertical="center" shrinkToFit="1"/>
    </xf>
    <xf numFmtId="49" fontId="19" fillId="0" borderId="15" xfId="0" applyNumberFormat="1" applyFont="1" applyFill="1" applyBorder="1" applyAlignment="1" applyProtection="1">
      <alignment horizontal="center" vertical="center"/>
    </xf>
    <xf numFmtId="176" fontId="0" fillId="0" borderId="0" xfId="0" applyNumberFormat="1">
      <alignment vertical="center"/>
    </xf>
    <xf numFmtId="177" fontId="137" fillId="0" borderId="1" xfId="1" applyNumberFormat="1" applyFont="1" applyFill="1" applyBorder="1" applyAlignment="1" applyProtection="1">
      <alignment vertical="center"/>
      <protection locked="0"/>
    </xf>
    <xf numFmtId="186" fontId="80" fillId="5" borderId="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19" fillId="0" borderId="60" xfId="0" applyFont="1" applyFill="1" applyBorder="1" applyAlignment="1" applyProtection="1">
      <alignment horizontal="left"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4"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5</xdr:col>
      <xdr:colOff>66090</xdr:colOff>
      <xdr:row>65</xdr:row>
      <xdr:rowOff>18384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829300"/>
          <a:ext cx="4685715" cy="5333334"/>
        </a:xfrm>
        <a:prstGeom prst="rect">
          <a:avLst/>
        </a:prstGeom>
      </xdr:spPr>
    </xdr:pic>
    <xdr:clientData/>
  </xdr:twoCellAnchor>
  <xdr:twoCellAnchor editAs="oneCell">
    <xdr:from>
      <xdr:col>5</xdr:col>
      <xdr:colOff>523875</xdr:colOff>
      <xdr:row>28</xdr:row>
      <xdr:rowOff>76200</xdr:rowOff>
    </xdr:from>
    <xdr:to>
      <xdr:col>7</xdr:col>
      <xdr:colOff>94830</xdr:colOff>
      <xdr:row>52</xdr:row>
      <xdr:rowOff>56638</xdr:rowOff>
    </xdr:to>
    <xdr:pic>
      <xdr:nvPicPr>
        <xdr:cNvPr id="4" name="图片 3"/>
        <xdr:cNvPicPr>
          <a:picLocks noChangeAspect="1"/>
        </xdr:cNvPicPr>
      </xdr:nvPicPr>
      <xdr:blipFill>
        <a:blip xmlns:r="http://schemas.openxmlformats.org/officeDocument/2006/relationships" r:embed="rId2"/>
        <a:stretch>
          <a:fillRect/>
        </a:stretch>
      </xdr:blipFill>
      <xdr:spPr>
        <a:xfrm>
          <a:off x="5143500" y="4876800"/>
          <a:ext cx="3361905" cy="40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51;&#23665;&#38738;&#40857;&#28246;-&#30005;&#31639;&#34920;-&#22312;&#24314;&#24037;&#31243;-21&#20303;&#23429;&#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51;&#23665;&#38738;&#40857;&#28246;-&#30005;&#31639;&#34920;-&#22312;&#24314;&#24037;&#31243;-15&#21830;&#19994;&#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抵押面积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8">
          <cell r="B118">
            <v>8688.2000000000007</v>
          </cell>
          <cell r="C118">
            <v>3705.83</v>
          </cell>
          <cell r="H118">
            <v>11718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E3">
            <v>1248.94</v>
          </cell>
        </row>
      </sheetData>
      <sheetData sheetId="14"/>
      <sheetData sheetId="15"/>
      <sheetData sheetId="16">
        <row r="14">
          <cell r="C14">
            <v>596.73</v>
          </cell>
        </row>
      </sheetData>
      <sheetData sheetId="17">
        <row r="19">
          <cell r="G19">
            <v>3515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1214</v>
      </c>
      <c r="B1" s="1582" t="s">
        <v>1293</v>
      </c>
    </row>
    <row r="2" spans="1:2" s="1587" customFormat="1" ht="15" thickTop="1">
      <c r="A2" s="1585" t="s">
        <v>1215</v>
      </c>
      <c r="B2" s="1586" t="str">
        <f>'预评函-封皮'!B37:I37</f>
        <v>北京市房山区青龙湖中心区01-0010地块R2二类居住用地出让国有建设用地使用权及在建建筑物房地产抵押价值预评估</v>
      </c>
    </row>
    <row r="3" spans="1:2" s="1590" customFormat="1">
      <c r="A3" s="1588" t="s">
        <v>1216</v>
      </c>
      <c r="B3" s="1589" t="str">
        <f>'预评函-封皮'!B40</f>
        <v>中铁建设集团房地产有限公司</v>
      </c>
    </row>
    <row r="4" spans="1:2" s="1590" customFormat="1">
      <c r="A4" s="1588" t="s">
        <v>1217</v>
      </c>
      <c r="B4" s="1589" t="str">
        <f ca="1">'预评函-封皮'!B46</f>
        <v>崔锴（注册号：1120100036)、郑燚（注册号：1120070131)</v>
      </c>
    </row>
    <row r="5" spans="1:2" s="1584" customFormat="1" ht="15" thickBot="1">
      <c r="A5" s="1591" t="s">
        <v>1218</v>
      </c>
      <c r="B5" s="1592" t="str">
        <f>'预评函-封皮'!B49</f>
        <v>康正预评字号</v>
      </c>
    </row>
    <row r="6" spans="1:2" s="1587" customFormat="1" ht="15" thickTop="1">
      <c r="A6" s="1585" t="s">
        <v>1219</v>
      </c>
      <c r="B6" s="1586" t="str">
        <f>'预评函-1'!A4</f>
        <v>受贵公司委托，我公司对北京市房山区青龙湖中心区01-0010地块R2二类居住用地出让国有建设用地使用权及在建建筑物房地产抵押价值进行了预评估。</v>
      </c>
    </row>
    <row r="7" spans="1:2" s="1590" customFormat="1">
      <c r="A7" s="1588" t="s">
        <v>1259</v>
      </c>
      <c r="B7" s="1589" t="str">
        <f>'预评函-1'!A7</f>
        <v>估价对象为北京市房山区青龙湖中心区01-0010地块R2二类居住用地出让国有建设用地使用权及在建建筑物房地产，为中铁建设集团北京容晟房地产有限公司所有。根据《国有土地使用证》[]，估价对象（分摊）出让国有建设用地使用权面积为22468.9平方米，建筑面积为43490.38平方米。</v>
      </c>
    </row>
    <row r="8" spans="1:2" s="1590" customFormat="1">
      <c r="A8" s="1588" t="s">
        <v>1260</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1261</v>
      </c>
      <c r="B9" s="1589" t="str">
        <f>'预评函-1'!A10</f>
        <v>估价对象为北京市房山区青龙湖中心区01-0010地块R2二类居住用地出让国有建设用地使用权及在建建筑物房地产,属中铁建设集团北京容晟房地产有限公司开发建设的居住项目，该项目尚在开发建设中。根据《国有土地使用证》[]，估价对象（分摊）出让国有建设用地使用权面积为22468.9平方米，规划建筑面积为43490.38平方米。</v>
      </c>
    </row>
    <row r="10" spans="1:2" s="1590" customFormat="1">
      <c r="A10" s="1588" t="s">
        <v>1262</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1220</v>
      </c>
      <c r="B11" s="1589" t="str">
        <f>'预评函-1'!A13</f>
        <v>为估价委托人在向中国农业银行股份有限公司北京房山支行办理贷款手续过程中，确定房地产抵押贷款额度提供参考依据而评估房地产抵押价值。</v>
      </c>
    </row>
    <row r="12" spans="1:2" s="1590" customFormat="1">
      <c r="A12" s="1588" t="s">
        <v>1221</v>
      </c>
      <c r="B12" s="1589" t="str">
        <f>'预评函-1'!A15</f>
        <v>2020年5月11日（评估专业人员实地查勘之日）</v>
      </c>
    </row>
    <row r="13" spans="1:2" s="1590" customFormat="1">
      <c r="A13" s="1588" t="s">
        <v>1222</v>
      </c>
      <c r="B13" s="1589" t="str">
        <f>'预评函-1'!A18</f>
        <v>本次估价的“房地产价值”是指在正常市场情况下，在价值时点2020年5月11日，估价对象规划用途为，土地取得方式为出让，出让国有建设用地使用权剩余土地使用年限为，假定未设立法定优先受偿款下的房地产市场价值。</v>
      </c>
    </row>
    <row r="14" spans="1:2" s="1590" customFormat="1">
      <c r="A14" s="1588" t="s">
        <v>1223</v>
      </c>
      <c r="B14" s="158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1224</v>
      </c>
      <c r="B15" s="1589" t="str">
        <f>'预评函-1'!A20</f>
        <v>本次估价的“房地产抵押价值”是指估价对象在价值时点的“房地产价值”扣减估价师于价值时点所知悉的法定优先受偿款后的余额。</v>
      </c>
    </row>
    <row r="16" spans="1:2" s="1590" customFormat="1">
      <c r="A16" s="1588" t="s">
        <v>1225</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1226</v>
      </c>
      <c r="B17" s="1589" t="str">
        <f>'预评函-1'!A22</f>
        <v/>
      </c>
    </row>
    <row r="18" spans="1:2" s="1584" customFormat="1" ht="15" thickBot="1">
      <c r="A18" s="1591" t="s">
        <v>1227</v>
      </c>
      <c r="B18" s="1592" t="str">
        <f>'预评函-1'!A24</f>
        <v>本次评估采用的主估价方法为成本法和假设开发法。</v>
      </c>
    </row>
    <row r="19" spans="1:2" s="1587" customFormat="1" ht="15" thickTop="1">
      <c r="A19" s="1585" t="s">
        <v>1228</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1229</v>
      </c>
      <c r="B20" s="1589">
        <f ca="1">'预评函-2'!D5</f>
        <v>85559</v>
      </c>
    </row>
    <row r="21" spans="1:2" s="1590" customFormat="1">
      <c r="A21" s="1588" t="s">
        <v>1230</v>
      </c>
      <c r="B21" s="1589">
        <f ca="1">'预评函-2'!D7</f>
        <v>19673</v>
      </c>
    </row>
    <row r="22" spans="1:2" s="1590" customFormat="1">
      <c r="A22" s="1588" t="s">
        <v>1231</v>
      </c>
      <c r="B22" s="1589" t="str">
        <f ca="1">'预评函-2'!D6</f>
        <v>捌亿伍仟伍佰伍拾玖万元整</v>
      </c>
    </row>
    <row r="23" spans="1:2" s="1590" customFormat="1">
      <c r="A23" s="1588" t="s">
        <v>1282</v>
      </c>
      <c r="B23" s="1589" t="str">
        <f>'预评函-2'!B8</f>
        <v>2.估价师知悉的法定优先受偿款</v>
      </c>
    </row>
    <row r="24" spans="1:2" s="1590" customFormat="1">
      <c r="A24" s="1588" t="s">
        <v>1288</v>
      </c>
      <c r="B24" s="1589">
        <f>'预评函-2'!D8</f>
        <v>0</v>
      </c>
    </row>
    <row r="25" spans="1:2" s="1590" customFormat="1">
      <c r="A25" s="1588" t="s">
        <v>1232</v>
      </c>
      <c r="B25" s="1589" t="str">
        <f>'预评函-2'!D9</f>
        <v>零元整</v>
      </c>
    </row>
    <row r="26" spans="1:2" s="1590" customFormat="1">
      <c r="A26" s="1588" t="s">
        <v>1233</v>
      </c>
      <c r="B26" s="1589">
        <f>'预评函-2'!D10</f>
        <v>0</v>
      </c>
    </row>
    <row r="27" spans="1:2" s="1590" customFormat="1">
      <c r="A27" s="1588" t="s">
        <v>1234</v>
      </c>
      <c r="B27" s="1589">
        <f>'预评函-2'!D11</f>
        <v>0</v>
      </c>
    </row>
    <row r="28" spans="1:2" s="1590" customFormat="1">
      <c r="A28" s="1588" t="s">
        <v>1235</v>
      </c>
      <c r="B28" s="1589">
        <f>'预评函-2'!D12</f>
        <v>0</v>
      </c>
    </row>
    <row r="29" spans="1:2" s="1590" customFormat="1">
      <c r="A29" s="1588" t="s">
        <v>1286</v>
      </c>
      <c r="B29" s="1589" t="str">
        <f>'预评函-2'!B13</f>
        <v>3.房地产抵押价值</v>
      </c>
    </row>
    <row r="30" spans="1:2" s="1590" customFormat="1">
      <c r="A30" s="1588" t="s">
        <v>1287</v>
      </c>
      <c r="B30" s="1589">
        <f ca="1">'预评函-2'!D13</f>
        <v>85559</v>
      </c>
    </row>
    <row r="31" spans="1:2" s="1590" customFormat="1">
      <c r="A31" s="1588" t="s">
        <v>1269</v>
      </c>
      <c r="B31" s="1589">
        <f ca="1">'预评函-2'!D15</f>
        <v>19673</v>
      </c>
    </row>
    <row r="32" spans="1:2" s="1590" customFormat="1">
      <c r="A32" s="1588" t="s">
        <v>1236</v>
      </c>
      <c r="B32" s="1589" t="str">
        <f ca="1">'预评函-2'!D14</f>
        <v>捌亿伍仟伍佰伍拾玖万元整</v>
      </c>
    </row>
    <row r="33" spans="1:2" s="1590" customFormat="1">
      <c r="A33" s="1588" t="s">
        <v>1271</v>
      </c>
      <c r="B33" s="1589" t="str">
        <f>'预评函-2'!B16</f>
        <v>——</v>
      </c>
    </row>
    <row r="34" spans="1:2" s="1590" customFormat="1">
      <c r="A34" s="1588" t="s">
        <v>1289</v>
      </c>
      <c r="B34" s="1589" t="str">
        <f>'预评函-2'!D16</f>
        <v>——</v>
      </c>
    </row>
    <row r="35" spans="1:2" s="1590" customFormat="1">
      <c r="A35" s="1588" t="s">
        <v>1270</v>
      </c>
      <c r="B35" s="1589" t="str">
        <f>'预评函-2'!D18</f>
        <v>——</v>
      </c>
    </row>
    <row r="36" spans="1:2" s="1590" customFormat="1">
      <c r="A36" s="1588" t="s">
        <v>1237</v>
      </c>
      <c r="B36" s="1589" t="e">
        <f>'预评函-2'!D17</f>
        <v>#VALUE!</v>
      </c>
    </row>
    <row r="37" spans="1:2" s="1590" customFormat="1">
      <c r="A37" s="1588" t="s">
        <v>1272</v>
      </c>
      <c r="B37" s="1589" t="str">
        <f>'预评函-2'!B19</f>
        <v>——</v>
      </c>
    </row>
    <row r="38" spans="1:2" s="1590" customFormat="1">
      <c r="A38" s="1588" t="s">
        <v>1290</v>
      </c>
      <c r="B38" s="1589" t="str">
        <f>'预评函-2'!D19</f>
        <v>——</v>
      </c>
    </row>
    <row r="39" spans="1:2" s="1590" customFormat="1">
      <c r="A39" s="1588" t="s">
        <v>1238</v>
      </c>
      <c r="B39" s="1589" t="str">
        <f>'预评函-2'!D21</f>
        <v>——</v>
      </c>
    </row>
    <row r="40" spans="1:2" s="1590" customFormat="1">
      <c r="A40" s="1588" t="s">
        <v>1239</v>
      </c>
      <c r="B40" s="1589" t="e">
        <f>'预评函-2'!D20</f>
        <v>#VALUE!</v>
      </c>
    </row>
    <row r="41" spans="1:2" s="1590" customFormat="1">
      <c r="A41" s="1588" t="s">
        <v>1285</v>
      </c>
      <c r="B41" s="1589" t="str">
        <f>'预评函-3'!A4</f>
        <v>北京市房山区青龙湖中心区01-0010地块R2二类居住用地出让国有建设用地使用权及在建建筑物房地产</v>
      </c>
    </row>
    <row r="42" spans="1:2" s="1590" customFormat="1">
      <c r="A42" s="1588" t="s">
        <v>1283</v>
      </c>
      <c r="B42" s="1589" t="str">
        <f>'预评函-3'!B2</f>
        <v>建筑面积</v>
      </c>
    </row>
    <row r="43" spans="1:2" s="1590" customFormat="1">
      <c r="A43" s="1588" t="s">
        <v>1284</v>
      </c>
      <c r="B43" s="1589">
        <f>'预评函-3'!B4</f>
        <v>43490.38</v>
      </c>
    </row>
    <row r="44" spans="1:2" s="1590" customFormat="1">
      <c r="A44" s="1588" t="s">
        <v>1268</v>
      </c>
      <c r="B44" s="1589" t="str">
        <f>'预评函-3'!C2</f>
        <v>(分摊)土地面积</v>
      </c>
    </row>
    <row r="45" spans="1:2" s="1590" customFormat="1">
      <c r="A45" s="1588" t="s">
        <v>1240</v>
      </c>
      <c r="B45" s="1589">
        <f>'预评函-3'!C4</f>
        <v>22468.9</v>
      </c>
    </row>
    <row r="46" spans="1:2" s="1590" customFormat="1">
      <c r="A46" s="1588" t="s">
        <v>1266</v>
      </c>
      <c r="B46" s="1589" t="str">
        <f>'预评函-3'!D2</f>
        <v>出让国有建设用地使用权价值</v>
      </c>
    </row>
    <row r="47" spans="1:2" s="1590" customFormat="1">
      <c r="A47" s="1588" t="s">
        <v>1241</v>
      </c>
      <c r="B47" s="1589">
        <f ca="1">'预评函-3'!D4</f>
        <v>73153</v>
      </c>
    </row>
    <row r="48" spans="1:2" s="1590" customFormat="1">
      <c r="A48" s="1588" t="s">
        <v>1242</v>
      </c>
      <c r="B48" s="1589">
        <f ca="1">'预评函-3'!E4</f>
        <v>16820</v>
      </c>
    </row>
    <row r="49" spans="1:2" s="1590" customFormat="1">
      <c r="A49" s="1588" t="s">
        <v>1243</v>
      </c>
      <c r="B49" s="1589" t="str">
        <f ca="1">'预评函-3'!D5</f>
        <v>柒亿叁仟壹佰伍拾叁万元整</v>
      </c>
    </row>
    <row r="50" spans="1:2" s="1590" customFormat="1">
      <c r="A50" s="1588" t="s">
        <v>1267</v>
      </c>
      <c r="B50" s="1589" t="str">
        <f>'预评函-3'!F2</f>
        <v>在建建筑物价值</v>
      </c>
    </row>
    <row r="51" spans="1:2" s="1590" customFormat="1">
      <c r="A51" s="1588" t="s">
        <v>1244</v>
      </c>
      <c r="B51" s="1589">
        <f ca="1">'预评函-3'!F4</f>
        <v>12406</v>
      </c>
    </row>
    <row r="52" spans="1:2" s="1590" customFormat="1">
      <c r="A52" s="1588" t="s">
        <v>1245</v>
      </c>
      <c r="B52" s="1589">
        <f ca="1">'预评函-3'!G4</f>
        <v>2853</v>
      </c>
    </row>
    <row r="53" spans="1:2" s="1590" customFormat="1">
      <c r="A53" s="1588" t="s">
        <v>1273</v>
      </c>
      <c r="B53" s="1589" t="str">
        <f ca="1">'预评函-3'!F5</f>
        <v>壹亿贰仟肆佰零陆万元整</v>
      </c>
    </row>
    <row r="54" spans="1:2" s="1590" customFormat="1">
      <c r="A54" s="1588" t="s">
        <v>1291</v>
      </c>
      <c r="B54" s="1589" t="str">
        <f>'预评函-3'!A8</f>
        <v>房地产抵押价值</v>
      </c>
    </row>
    <row r="55" spans="1:2" s="1590" customFormat="1">
      <c r="A55" s="1588" t="s">
        <v>1274</v>
      </c>
      <c r="B55" s="1589" t="str">
        <f>'预评函-3'!A10</f>
        <v/>
      </c>
    </row>
    <row r="56" spans="1:2" s="1590" customFormat="1">
      <c r="A56" s="1588" t="s">
        <v>1275</v>
      </c>
      <c r="B56" s="1589" t="str">
        <f>'预评函-3'!A12</f>
        <v/>
      </c>
    </row>
    <row r="57" spans="1:2" s="1584" customFormat="1" ht="15" thickBot="1">
      <c r="A57" s="1591" t="s">
        <v>1292</v>
      </c>
      <c r="B57" s="1592" t="str">
        <f>'预评函-3'!A6</f>
        <v>估价师知悉的法定优先受偿款</v>
      </c>
    </row>
    <row r="58" spans="1:2" s="1587" customFormat="1" ht="15" thickTop="1">
      <c r="A58" s="1585" t="s">
        <v>1246</v>
      </c>
      <c r="B58" s="1586" t="str">
        <f>'预评函-4'!A12</f>
        <v>2.本《评估意见函》仅供金融机构进行内部审核使用，不做其他目的之用。</v>
      </c>
    </row>
    <row r="59" spans="1:2" s="1590" customFormat="1">
      <c r="A59" s="1588" t="s">
        <v>1247</v>
      </c>
      <c r="B59" s="1589" t="str">
        <f>'预评函-4'!A13</f>
        <v>3.抵押双方在办理抵押登记手续时，应使用本公司出具的正式《房地产评估报告》，特提醒报告使用者注意。</v>
      </c>
    </row>
    <row r="60" spans="1:2" s="1590" customFormat="1">
      <c r="A60" s="1588" t="s">
        <v>1248</v>
      </c>
      <c r="B60" s="1589" t="str">
        <f>'预评函-4'!A14</f>
        <v>4.本次评估估价师所知悉的法定优先受偿款情况说明如下：</v>
      </c>
    </row>
    <row r="61" spans="1:2" s="1590" customFormat="1">
      <c r="A61" s="1588" t="s">
        <v>1249</v>
      </c>
      <c r="B61" s="1589" t="str">
        <f>'预评函-4'!A15</f>
        <v>（1）根据估价对象《房屋所有权证》、《国有土地使用权》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1250</v>
      </c>
      <c r="B62" s="1589" t="str">
        <f>'预评函-4'!A16</f>
        <v>（2）根据《工程款支付情况说明》，截至价值时点，估价对象不存在应付未付工程款项。（只要没有施工方盖章的，均“设定”进行表述）</v>
      </c>
    </row>
    <row r="63" spans="1:2" s="1590" customFormat="1">
      <c r="A63" s="1588" t="s">
        <v>1251</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1263</v>
      </c>
      <c r="B64" s="1589" t="str">
        <f>'预评函-4'!A18</f>
        <v>故，本次评估不存在估价师知悉的法定优先受偿款</v>
      </c>
    </row>
    <row r="65" spans="1:2" s="1590" customFormat="1">
      <c r="A65" s="1588" t="s">
        <v>1252</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1253</v>
      </c>
      <c r="B66" s="158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0" customFormat="1">
      <c r="A67" s="1588" t="s">
        <v>1264</v>
      </c>
      <c r="B67" s="158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0" customFormat="1">
      <c r="A68" s="1588" t="s">
        <v>1265</v>
      </c>
      <c r="B68" s="1589" t="str">
        <f>'预评函-4'!A22</f>
        <v>8.其他需特殊说明事项：无（注意调整序号）</v>
      </c>
    </row>
    <row r="69" spans="1:2" s="1584" customFormat="1" ht="15" thickBot="1">
      <c r="A69" s="1591" t="s">
        <v>1254</v>
      </c>
      <c r="B69" s="1593">
        <f>'预评函-4'!C31</f>
        <v>42551</v>
      </c>
    </row>
    <row r="70" spans="1:2" ht="15" thickTop="1">
      <c r="A70" s="1594" t="s">
        <v>1255</v>
      </c>
      <c r="B70" s="1595" t="str">
        <f>'预评函-4'!A4</f>
        <v>崔锴</v>
      </c>
    </row>
    <row r="71" spans="1:2">
      <c r="A71" s="1588" t="s">
        <v>1256</v>
      </c>
      <c r="B71" s="1589">
        <f ca="1">'预评函-4'!B4</f>
        <v>1120100036</v>
      </c>
    </row>
    <row r="72" spans="1:2">
      <c r="A72" s="1588" t="s">
        <v>1257</v>
      </c>
      <c r="B72" s="1597" t="str">
        <f>'预评函-4'!A5</f>
        <v>郑燚</v>
      </c>
    </row>
    <row r="73" spans="1:2" s="1584" customFormat="1" ht="15" thickBot="1">
      <c r="A73" s="1591" t="s">
        <v>1258</v>
      </c>
      <c r="B73" s="1592">
        <f ca="1">'预评函-4'!B5</f>
        <v>1120070131</v>
      </c>
    </row>
    <row r="74" spans="1:2" ht="15" thickTop="1">
      <c r="A74" s="1581" t="s">
        <v>1294</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89" t="str">
        <f>项目基本情况!B1</f>
        <v>北京市房山区青龙湖中心区01-0010地块R2二类居住用地出让国有建设用地使用权及在建建筑物房地产抵押价值预评估</v>
      </c>
      <c r="C37" s="2989"/>
      <c r="D37" s="2989"/>
      <c r="E37" s="2989"/>
      <c r="F37" s="2989"/>
      <c r="G37" s="2989"/>
      <c r="H37" s="2989"/>
      <c r="I37" s="2989"/>
    </row>
    <row r="38" spans="1:9">
      <c r="A38" s="1015"/>
      <c r="B38" s="1015"/>
    </row>
    <row r="39" spans="1:9">
      <c r="A39" s="1013" t="s">
        <v>818</v>
      </c>
      <c r="B39" s="1013" t="s">
        <v>820</v>
      </c>
    </row>
    <row r="40" spans="1:9">
      <c r="A40" s="1013"/>
      <c r="B40" s="1930" t="str">
        <f>项目基本情况!B5</f>
        <v>中铁建设集团房地产有限公司</v>
      </c>
    </row>
    <row r="41" spans="1:9">
      <c r="A41" s="1013"/>
      <c r="B41" s="1013"/>
    </row>
    <row r="42" spans="1:9">
      <c r="A42" s="1013" t="s">
        <v>818</v>
      </c>
      <c r="B42" s="1013" t="s">
        <v>821</v>
      </c>
    </row>
    <row r="43" spans="1:9">
      <c r="A43" s="1013"/>
      <c r="B43" s="1930" t="s">
        <v>822</v>
      </c>
    </row>
    <row r="44" spans="1:9">
      <c r="A44" s="1013"/>
      <c r="B44" s="1013"/>
    </row>
    <row r="45" spans="1:9">
      <c r="A45" s="1013" t="s">
        <v>818</v>
      </c>
      <c r="B45" s="1013" t="s">
        <v>823</v>
      </c>
    </row>
    <row r="46" spans="1:9" s="1013" customFormat="1" ht="12.75">
      <c r="B46" s="1930" t="str">
        <f ca="1">项目基本情况!K4</f>
        <v>崔锴（注册号：1120100036)、郑燚（注册号：1120070131)</v>
      </c>
    </row>
    <row r="47" spans="1:9">
      <c r="A47" s="1013"/>
      <c r="B47" s="1013" t="str">
        <f>项目基本情况!K5</f>
        <v/>
      </c>
    </row>
    <row r="48" spans="1:9">
      <c r="A48" s="1013" t="s">
        <v>818</v>
      </c>
      <c r="B48" s="1013" t="s">
        <v>824</v>
      </c>
    </row>
    <row r="49" spans="2:2">
      <c r="B49" s="193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3" customWidth="1"/>
    <col min="2" max="16384" width="9" style="1933"/>
  </cols>
  <sheetData>
    <row r="1" spans="1:1" ht="23.25">
      <c r="A1" s="1932" t="s">
        <v>1605</v>
      </c>
    </row>
    <row r="2" spans="1:1">
      <c r="A2" s="1934"/>
    </row>
    <row r="3" spans="1:1" ht="18">
      <c r="A3" s="1935" t="str">
        <f>项目基本情况!B5&amp;"："</f>
        <v>中铁建设集团房地产有限公司：</v>
      </c>
    </row>
    <row r="4" spans="1:1" ht="36">
      <c r="A4" s="1936" t="str">
        <f>"受贵公司委托，我公司对"&amp;项目基本情况!S1&amp;"进行了预评估。"</f>
        <v>受贵公司委托，我公司对北京市房山区青龙湖中心区01-0010地块R2二类居住用地出让国有建设用地使用权及在建建筑物房地产抵押价值进行了预评估。</v>
      </c>
    </row>
    <row r="5" spans="1:1" ht="18.75">
      <c r="A5" s="1937" t="s">
        <v>1606</v>
      </c>
    </row>
    <row r="6" spans="1:1" ht="18.75">
      <c r="A6" s="1938" t="s">
        <v>1607</v>
      </c>
    </row>
    <row r="7" spans="1:1" ht="72">
      <c r="A7" s="193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青龙湖中心区01-0010地块R2二类居住用地出让国有建设用地使用权及在建建筑物房地产，为中铁建设集团北京容晟房地产有限公司所有。根据《国有土地使用证》[]，估价对象（分摊）出让国有建设用地使用权面积为22468.9平方米，建筑面积为43490.38平方米。</v>
      </c>
    </row>
    <row r="8" spans="1:1" ht="57.75">
      <c r="A8" s="1939" t="s">
        <v>1608</v>
      </c>
    </row>
    <row r="9" spans="1:1" ht="18.75">
      <c r="A9" s="1938" t="s">
        <v>1609</v>
      </c>
    </row>
    <row r="10" spans="1:1" ht="90">
      <c r="A10" s="193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青龙湖中心区01-0010地块R2二类居住用地出让国有建设用地使用权及在建建筑物房地产,属中铁建设集团北京容晟房地产有限公司开发建设的居住项目，该项目尚在开发建设中。根据《国有土地使用证》[]，估价对象（分摊）出让国有建设用地使用权面积为22468.9平方米，规划建筑面积为43490.38平方米。</v>
      </c>
    </row>
    <row r="11" spans="1:1" ht="76.5">
      <c r="A11" s="1939" t="s">
        <v>1610</v>
      </c>
    </row>
    <row r="12" spans="1:1" ht="18.75">
      <c r="A12" s="1937" t="s">
        <v>1611</v>
      </c>
    </row>
    <row r="13" spans="1:1" ht="38.25" customHeight="1">
      <c r="A13" s="1940" t="str">
        <f>IF(项目基本情况!B8="抵押",IF(项目基本情况!B5=项目基本情况!B6,定义!C51,定义!B51),定义!D51)</f>
        <v>为估价委托人在向中国农业银行股份有限公司北京房山支行办理贷款手续过程中，确定房地产抵押贷款额度提供参考依据而评估房地产抵押价值。</v>
      </c>
    </row>
    <row r="14" spans="1:1" ht="18.75">
      <c r="A14" s="1941" t="s">
        <v>1612</v>
      </c>
    </row>
    <row r="15" spans="1:1" ht="18">
      <c r="A15" s="1942" t="str">
        <f>TEXT(项目基本情况!D3,"yyyy年m月d日;;")&amp;IF(项目基本情况!D3=项目基本情况!B3,"（评估专业人员实地查勘之日）","")</f>
        <v>2020年5月11日（评估专业人员实地查勘之日）</v>
      </c>
    </row>
    <row r="16" spans="1:1" ht="18.75">
      <c r="A16" s="1941" t="s">
        <v>1613</v>
      </c>
    </row>
    <row r="17" spans="1:1" ht="75">
      <c r="A17" s="1936" t="s">
        <v>1614</v>
      </c>
    </row>
    <row r="18" spans="1:1" ht="54">
      <c r="A18" s="193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11日，估价对象规划用途为，土地取得方式为出让，出让国有建设用地使用权剩余土地使用年限为，假定未设立法定优先受偿款下的房地产市场价值。</v>
      </c>
    </row>
    <row r="19" spans="1:1" ht="157.5" customHeight="1">
      <c r="A19" s="193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6" t="str">
        <f>IF(项目基本情况!B9="房地产市场价值","——",IF(项目基本情况!E9="——","",定义!C57))</f>
        <v/>
      </c>
    </row>
    <row r="23" spans="1:1" ht="18.75">
      <c r="A23" s="1941" t="s">
        <v>1603</v>
      </c>
    </row>
    <row r="24" spans="1:1" ht="18">
      <c r="A24" s="1943" t="str">
        <f>"本次评估采用的主估价方法为"&amp;结果表!K4&amp;"和"&amp;结果表!L4&amp;"。"</f>
        <v>本次评估采用的主估价方法为成本法和假设开发法。</v>
      </c>
    </row>
    <row r="25" spans="1:1" ht="18">
      <c r="A25" s="1943"/>
    </row>
    <row r="26" spans="1:1" ht="18.75">
      <c r="A26" s="1944" t="s">
        <v>1604</v>
      </c>
    </row>
    <row r="27" spans="1:1">
      <c r="A27" s="1945"/>
    </row>
    <row r="28" spans="1:1">
      <c r="A28" s="1945"/>
    </row>
    <row r="29" spans="1:1">
      <c r="A29" s="1945"/>
    </row>
    <row r="30" spans="1:1">
      <c r="A30" s="1945"/>
    </row>
    <row r="31" spans="1:1">
      <c r="A31" s="1945"/>
    </row>
    <row r="32" spans="1:1">
      <c r="A32" s="1945"/>
    </row>
    <row r="33" spans="1:1">
      <c r="A33" s="1945"/>
    </row>
    <row r="34" spans="1:1">
      <c r="A34" s="1945"/>
    </row>
    <row r="35" spans="1:1">
      <c r="A35" s="1945"/>
    </row>
    <row r="36" spans="1:1">
      <c r="A36" s="1945"/>
    </row>
    <row r="37" spans="1:1">
      <c r="A37" s="1945"/>
    </row>
    <row r="38" spans="1:1">
      <c r="A38" s="1945"/>
    </row>
    <row r="39" spans="1:1">
      <c r="A39" s="1945"/>
    </row>
    <row r="40" spans="1:1">
      <c r="A40" s="1945"/>
    </row>
    <row r="41" spans="1:1">
      <c r="A41" s="1945"/>
    </row>
    <row r="42" spans="1:1">
      <c r="A42" s="1945"/>
    </row>
    <row r="43" spans="1:1">
      <c r="A43" s="1945"/>
    </row>
    <row r="44" spans="1:1">
      <c r="A44" s="1945"/>
    </row>
    <row r="45" spans="1:1">
      <c r="A45" s="1945"/>
    </row>
    <row r="46" spans="1:1">
      <c r="A46" s="1945"/>
    </row>
    <row r="47" spans="1:1">
      <c r="A47" s="1945"/>
    </row>
    <row r="48" spans="1:1">
      <c r="A48" s="194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48" customWidth="1"/>
    <col min="2" max="2" width="37.25" style="1948" customWidth="1"/>
    <col min="3" max="3" width="11.375" style="1948" customWidth="1"/>
    <col min="4" max="4" width="31.75" style="1948" customWidth="1"/>
    <col min="5" max="5" width="0.5" style="1948" customWidth="1"/>
    <col min="6" max="7" width="13" style="1948" customWidth="1"/>
    <col min="8" max="16384" width="9" style="1948"/>
  </cols>
  <sheetData>
    <row r="1" spans="1:5" ht="18.75">
      <c r="A1" s="1946" t="s">
        <v>1615</v>
      </c>
      <c r="B1" s="1947"/>
      <c r="C1" s="1947"/>
      <c r="D1" s="1947"/>
      <c r="E1" s="1947"/>
    </row>
    <row r="2" spans="1:5" ht="78" customHeight="1">
      <c r="A2" s="29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4"/>
      <c r="C2" s="2994"/>
      <c r="D2" s="2994"/>
      <c r="E2" s="2994"/>
    </row>
    <row r="3" spans="1:5" ht="18">
      <c r="A3" s="2995" t="str">
        <f>IF(项目基本情况!B9="房地产市场价值","估价结果一览表（市场价值不需“结果表-1”）","估价结果一览表")</f>
        <v>估价结果一览表</v>
      </c>
      <c r="B3" s="2995"/>
      <c r="C3" s="2995"/>
      <c r="D3" s="2995"/>
      <c r="E3" s="2995"/>
    </row>
    <row r="4" spans="1:5" ht="19.5" thickBot="1">
      <c r="A4" s="1949"/>
      <c r="B4" s="2993" t="s">
        <v>1624</v>
      </c>
      <c r="C4" s="2993"/>
      <c r="D4" s="2993"/>
      <c r="E4" s="1949"/>
    </row>
    <row r="5" spans="1:5" ht="16.5" thickTop="1">
      <c r="A5" s="1947"/>
      <c r="B5" s="2991" t="s">
        <v>1616</v>
      </c>
      <c r="C5" s="1950" t="s">
        <v>1617</v>
      </c>
      <c r="D5" s="1039">
        <f ca="1">结果表!H101</f>
        <v>85559</v>
      </c>
      <c r="E5" s="1947"/>
    </row>
    <row r="6" spans="1:5" ht="15.75">
      <c r="A6" s="1947"/>
      <c r="B6" s="2991"/>
      <c r="C6" s="1950" t="s">
        <v>1618</v>
      </c>
      <c r="D6" s="1039" t="str">
        <f ca="1">NUMBERSTRING(INT(D5*10000),2)&amp;"元整"</f>
        <v>捌亿伍仟伍佰伍拾玖万元整</v>
      </c>
      <c r="E6" s="1947"/>
    </row>
    <row r="7" spans="1:5" ht="15.75">
      <c r="A7" s="1947"/>
      <c r="B7" s="2996"/>
      <c r="C7" s="1951" t="s">
        <v>1619</v>
      </c>
      <c r="D7" s="1040">
        <f ca="1">结果表!H102</f>
        <v>19673</v>
      </c>
      <c r="E7" s="1947"/>
    </row>
    <row r="8" spans="1:5" ht="15.75">
      <c r="A8" s="1947"/>
      <c r="B8" s="2997" t="str">
        <f>结果表!E103</f>
        <v>2.估价师知悉的法定优先受偿款</v>
      </c>
      <c r="C8" s="1952" t="s">
        <v>1620</v>
      </c>
      <c r="D8" s="1040">
        <f>结果表!H103</f>
        <v>0</v>
      </c>
      <c r="E8" s="1947"/>
    </row>
    <row r="9" spans="1:5" ht="15.75">
      <c r="A9" s="1947"/>
      <c r="B9" s="2999"/>
      <c r="C9" s="1950" t="s">
        <v>1618</v>
      </c>
      <c r="D9" s="1039" t="str">
        <f>NUMBERSTRING(INT(D8*10000),2)&amp;"元整"</f>
        <v>零元整</v>
      </c>
      <c r="E9" s="1947"/>
    </row>
    <row r="10" spans="1:5" ht="15">
      <c r="A10" s="1947"/>
      <c r="B10" s="1953" t="s">
        <v>1623</v>
      </c>
      <c r="C10" s="1954" t="s">
        <v>1621</v>
      </c>
      <c r="D10" s="1041">
        <f>结果表!H104</f>
        <v>0</v>
      </c>
      <c r="E10" s="1947"/>
    </row>
    <row r="11" spans="1:5" ht="15">
      <c r="A11" s="1947"/>
      <c r="B11" s="1953" t="s">
        <v>1625</v>
      </c>
      <c r="C11" s="1954" t="s">
        <v>1626</v>
      </c>
      <c r="D11" s="1041">
        <f>结果表!H105</f>
        <v>0</v>
      </c>
      <c r="E11" s="1947"/>
    </row>
    <row r="12" spans="1:5" ht="15">
      <c r="A12" s="1947"/>
      <c r="B12" s="1953" t="s">
        <v>1627</v>
      </c>
      <c r="C12" s="1954" t="s">
        <v>1626</v>
      </c>
      <c r="D12" s="1041">
        <f>结果表!H106</f>
        <v>0</v>
      </c>
      <c r="E12" s="1947"/>
    </row>
    <row r="13" spans="1:5" ht="15.75">
      <c r="A13" s="1947"/>
      <c r="B13" s="2990" t="str">
        <f>结果表!E107</f>
        <v>3.房地产抵押价值</v>
      </c>
      <c r="C13" s="1955" t="s">
        <v>1617</v>
      </c>
      <c r="D13" s="1042">
        <f ca="1">结果表!H107</f>
        <v>85559</v>
      </c>
      <c r="E13" s="1947"/>
    </row>
    <row r="14" spans="1:5" ht="15.75">
      <c r="A14" s="1947"/>
      <c r="B14" s="2991"/>
      <c r="C14" s="1950" t="s">
        <v>1618</v>
      </c>
      <c r="D14" s="1039" t="str">
        <f ca="1">NUMBERSTRING(INT(D13*10000),2)&amp;"元整"</f>
        <v>捌亿伍仟伍佰伍拾玖万元整</v>
      </c>
      <c r="E14" s="1947"/>
    </row>
    <row r="15" spans="1:5" ht="15">
      <c r="A15" s="1947"/>
      <c r="B15" s="2996"/>
      <c r="C15" s="1951" t="s">
        <v>1628</v>
      </c>
      <c r="D15" s="1051">
        <f ca="1">结果表!H108</f>
        <v>19673</v>
      </c>
      <c r="E15" s="1947"/>
    </row>
    <row r="16" spans="1:5" ht="15">
      <c r="A16" s="1947"/>
      <c r="B16" s="2997" t="str">
        <f>结果表!E109</f>
        <v>——</v>
      </c>
      <c r="C16" s="1955" t="s">
        <v>1629</v>
      </c>
      <c r="D16" s="1956" t="str">
        <f>结果表!H109</f>
        <v>——</v>
      </c>
      <c r="E16" s="1947"/>
    </row>
    <row r="17" spans="1:5" ht="15.75">
      <c r="A17" s="1947"/>
      <c r="B17" s="2998"/>
      <c r="C17" s="1950" t="s">
        <v>1630</v>
      </c>
      <c r="D17" s="1039" t="e">
        <f>NUMBERSTRING(INT(D16*10000),2)&amp;"元整"</f>
        <v>#VALUE!</v>
      </c>
      <c r="E17" s="1947"/>
    </row>
    <row r="18" spans="1:5" ht="15">
      <c r="A18" s="1947"/>
      <c r="B18" s="2999"/>
      <c r="C18" s="1951" t="s">
        <v>1619</v>
      </c>
      <c r="D18" s="1051" t="str">
        <f>结果表!H110</f>
        <v>——</v>
      </c>
      <c r="E18" s="1947"/>
    </row>
    <row r="19" spans="1:5" ht="15.75">
      <c r="A19" s="1947"/>
      <c r="B19" s="2990" t="str">
        <f>结果表!E111</f>
        <v>——</v>
      </c>
      <c r="C19" s="1955" t="s">
        <v>1617</v>
      </c>
      <c r="D19" s="1040" t="str">
        <f>结果表!H111</f>
        <v>——</v>
      </c>
      <c r="E19" s="1947"/>
    </row>
    <row r="20" spans="1:5" ht="15.75">
      <c r="A20" s="1947"/>
      <c r="B20" s="2991"/>
      <c r="C20" s="1950" t="s">
        <v>1630</v>
      </c>
      <c r="D20" s="1039" t="e">
        <f>NUMBERSTRING(INT(D19*10000),2)&amp;"元整"</f>
        <v>#VALUE!</v>
      </c>
      <c r="E20" s="1947"/>
    </row>
    <row r="21" spans="1:5" ht="15.75" thickBot="1">
      <c r="A21" s="1947"/>
      <c r="B21" s="2992"/>
      <c r="C21" s="1957" t="s">
        <v>1628</v>
      </c>
      <c r="D21" s="1052" t="str">
        <f>结果表!H112</f>
        <v>——</v>
      </c>
      <c r="E21" s="1947"/>
    </row>
    <row r="22" spans="1:5" ht="15" thickTop="1">
      <c r="A22" s="1947"/>
      <c r="B22" s="1958" t="s">
        <v>1631</v>
      </c>
      <c r="C22" s="1947"/>
      <c r="D22" s="1947"/>
      <c r="E22" s="1947"/>
    </row>
    <row r="23" spans="1:5">
      <c r="A23" s="1947"/>
      <c r="B23" s="1947"/>
      <c r="C23" s="1947"/>
      <c r="D23" s="1947"/>
      <c r="E23" s="1947"/>
    </row>
    <row r="24" spans="1:5" ht="18.75">
      <c r="A24" s="1959"/>
      <c r="B24" s="1960" t="s">
        <v>1622</v>
      </c>
      <c r="C24" s="1959"/>
      <c r="D24" s="1959"/>
      <c r="E24" s="1959"/>
    </row>
    <row r="25" spans="1:5">
      <c r="A25" s="1959"/>
      <c r="B25" s="1959"/>
      <c r="C25" s="1959"/>
      <c r="D25" s="1959"/>
      <c r="E25" s="1959"/>
    </row>
    <row r="26" spans="1:5">
      <c r="A26" s="1959"/>
      <c r="B26" s="1959"/>
      <c r="C26" s="1959"/>
      <c r="D26" s="1959"/>
      <c r="E26" s="1959"/>
    </row>
    <row r="27" spans="1:5">
      <c r="A27" s="1959"/>
      <c r="B27" s="1959"/>
      <c r="C27" s="1959"/>
      <c r="D27" s="1959"/>
      <c r="E27" s="1959"/>
    </row>
    <row r="28" spans="1:5">
      <c r="A28" s="1959"/>
      <c r="B28" s="1959"/>
      <c r="C28" s="1959"/>
      <c r="D28" s="1959"/>
      <c r="E28" s="1959"/>
    </row>
    <row r="29" spans="1:5">
      <c r="A29" s="1959"/>
      <c r="B29" s="1959"/>
      <c r="C29" s="1959"/>
      <c r="D29" s="1959"/>
      <c r="E29" s="1959"/>
    </row>
    <row r="30" spans="1:5">
      <c r="A30" s="1959"/>
      <c r="B30" s="1959"/>
      <c r="C30" s="1959"/>
      <c r="D30" s="1959"/>
      <c r="E30" s="1959"/>
    </row>
    <row r="31" spans="1:5">
      <c r="A31" s="1959"/>
      <c r="B31" s="1959"/>
      <c r="C31" s="1959"/>
      <c r="D31" s="1959"/>
      <c r="E31" s="1959"/>
    </row>
    <row r="32" spans="1:5">
      <c r="A32" s="1959"/>
      <c r="B32" s="1959"/>
      <c r="C32" s="1959"/>
      <c r="D32" s="1959"/>
      <c r="E32" s="1959"/>
    </row>
    <row r="33" spans="1:5">
      <c r="A33" s="1959"/>
      <c r="B33" s="1959"/>
      <c r="C33" s="1959"/>
      <c r="D33" s="1959"/>
      <c r="E33" s="1959"/>
    </row>
    <row r="34" spans="1:5">
      <c r="A34" s="1959"/>
      <c r="B34" s="1959"/>
      <c r="C34" s="1959"/>
      <c r="D34" s="1959"/>
      <c r="E34" s="1959"/>
    </row>
    <row r="35" spans="1:5">
      <c r="A35" s="1959"/>
      <c r="B35" s="1959"/>
      <c r="C35" s="1959"/>
      <c r="D35" s="1959"/>
      <c r="E35" s="1959"/>
    </row>
    <row r="36" spans="1:5">
      <c r="A36" s="1959"/>
      <c r="B36" s="1959"/>
      <c r="C36" s="1959"/>
      <c r="D36" s="1959"/>
      <c r="E36" s="1959"/>
    </row>
    <row r="37" spans="1:5">
      <c r="A37" s="1959"/>
      <c r="B37" s="1959"/>
      <c r="C37" s="1959"/>
      <c r="D37" s="1959"/>
      <c r="E37" s="1959"/>
    </row>
    <row r="38" spans="1:5">
      <c r="A38" s="1959"/>
      <c r="B38" s="1959"/>
      <c r="C38" s="1959"/>
      <c r="D38" s="1959"/>
      <c r="E38" s="1959"/>
    </row>
    <row r="39" spans="1:5">
      <c r="A39" s="1959"/>
      <c r="B39" s="1959"/>
      <c r="C39" s="1959"/>
      <c r="D39" s="1959"/>
      <c r="E39" s="1959"/>
    </row>
    <row r="40" spans="1:5">
      <c r="A40" s="1959"/>
      <c r="B40" s="1959"/>
      <c r="C40" s="1959"/>
      <c r="D40" s="1959"/>
      <c r="E40" s="1959"/>
    </row>
    <row r="41" spans="1:5">
      <c r="A41" s="1959"/>
      <c r="B41" s="1959"/>
      <c r="C41" s="1959"/>
      <c r="D41" s="1959"/>
      <c r="E41" s="1959"/>
    </row>
    <row r="42" spans="1:5">
      <c r="A42" s="1959"/>
      <c r="B42" s="1959"/>
      <c r="C42" s="1959"/>
      <c r="D42" s="1959"/>
      <c r="E42" s="195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3" customWidth="1"/>
    <col min="2" max="9" width="12.125" style="1933" customWidth="1"/>
    <col min="10" max="16384" width="9" style="1933"/>
  </cols>
  <sheetData>
    <row r="1" spans="1:9" ht="18.75" thickBot="1">
      <c r="A1" s="3000" t="str">
        <f>IF(项目基本情况!B9="房地产市场价值","估价结果一览表","结果表-2")</f>
        <v>结果表-2</v>
      </c>
      <c r="B1" s="3000"/>
      <c r="C1" s="3000"/>
      <c r="D1" s="3000"/>
      <c r="E1" s="3000"/>
      <c r="F1" s="3000"/>
      <c r="G1" s="3000"/>
      <c r="H1" s="3000"/>
      <c r="I1" s="3000"/>
    </row>
    <row r="2" spans="1:9" ht="30" customHeight="1" thickTop="1">
      <c r="A2" s="3001" t="s">
        <v>1635</v>
      </c>
      <c r="B2" s="3001" t="s">
        <v>1636</v>
      </c>
      <c r="C2" s="3001" t="s">
        <v>1637</v>
      </c>
      <c r="D2" s="3001" t="str">
        <f>结果表!D116</f>
        <v>出让国有建设用地使用权价值</v>
      </c>
      <c r="E2" s="3001"/>
      <c r="F2" s="3001" t="str">
        <f>结果表!F116</f>
        <v>在建建筑物价值</v>
      </c>
      <c r="G2" s="3001"/>
      <c r="H2" s="3001" t="str">
        <f>IF(项目基本情况!B9="房地产市场价值","房地产市场价值","房地产价值")</f>
        <v>房地产价值</v>
      </c>
      <c r="I2" s="3001"/>
    </row>
    <row r="3" spans="1:9" ht="15">
      <c r="A3" s="3002"/>
      <c r="B3" s="3002"/>
      <c r="C3" s="3002"/>
      <c r="D3" s="1043" t="s">
        <v>1632</v>
      </c>
      <c r="E3" s="1043" t="s">
        <v>1638</v>
      </c>
      <c r="F3" s="1043" t="s">
        <v>1632</v>
      </c>
      <c r="G3" s="1043" t="s">
        <v>1633</v>
      </c>
      <c r="H3" s="1043" t="s">
        <v>1632</v>
      </c>
      <c r="I3" s="1043" t="s">
        <v>1633</v>
      </c>
    </row>
    <row r="4" spans="1:9" ht="60">
      <c r="A4" s="1961" t="str">
        <f>项目基本情况!S2</f>
        <v>北京市房山区青龙湖中心区01-0010地块R2二类居住用地出让国有建设用地使用权及在建建筑物房地产</v>
      </c>
      <c r="B4" s="1043">
        <f>项目基本情况!C17</f>
        <v>43490.38</v>
      </c>
      <c r="C4" s="1043">
        <f>项目基本情况!C18</f>
        <v>22468.9</v>
      </c>
      <c r="D4" s="1043">
        <f ca="1">结果表!D118</f>
        <v>73153</v>
      </c>
      <c r="E4" s="1043">
        <f ca="1">结果表!E118</f>
        <v>16820</v>
      </c>
      <c r="F4" s="1043">
        <f ca="1">结果表!F118</f>
        <v>12406</v>
      </c>
      <c r="G4" s="1043">
        <f ca="1">结果表!G118</f>
        <v>2853</v>
      </c>
      <c r="H4" s="1043">
        <f ca="1">结果表!H118</f>
        <v>85559</v>
      </c>
      <c r="I4" s="1043">
        <f ca="1">结果表!I118</f>
        <v>19673</v>
      </c>
    </row>
    <row r="5" spans="1:9" ht="30" customHeight="1">
      <c r="A5" s="3002" t="s">
        <v>1634</v>
      </c>
      <c r="B5" s="3002"/>
      <c r="C5" s="3002"/>
      <c r="D5" s="3003" t="str">
        <f ca="1">结果表!D119</f>
        <v>柒亿叁仟壹佰伍拾叁万元整</v>
      </c>
      <c r="E5" s="3003"/>
      <c r="F5" s="3003" t="str">
        <f ca="1">结果表!F119</f>
        <v>壹亿贰仟肆佰零陆万元整</v>
      </c>
      <c r="G5" s="3003"/>
      <c r="H5" s="3003" t="str">
        <f ca="1">结果表!H119</f>
        <v>捌亿伍仟伍佰伍拾玖万元整</v>
      </c>
      <c r="I5" s="3003"/>
    </row>
    <row r="6" spans="1:9" ht="15.75">
      <c r="A6" s="3004" t="str">
        <f>结果表!A120</f>
        <v>估价师知悉的法定优先受偿款</v>
      </c>
      <c r="B6" s="3004"/>
      <c r="C6" s="3004"/>
      <c r="D6" s="3004">
        <f>结果表!D120</f>
        <v>0</v>
      </c>
      <c r="E6" s="3004"/>
      <c r="F6" s="3004"/>
      <c r="G6" s="3004"/>
      <c r="H6" s="3004"/>
      <c r="I6" s="3004"/>
    </row>
    <row r="7" spans="1:9" ht="15">
      <c r="A7" s="3002" t="s">
        <v>1634</v>
      </c>
      <c r="B7" s="3002"/>
      <c r="C7" s="3002"/>
      <c r="D7" s="3005" t="str">
        <f>结果表!D121</f>
        <v>零元整</v>
      </c>
      <c r="E7" s="3006"/>
      <c r="F7" s="3006"/>
      <c r="G7" s="3006"/>
      <c r="H7" s="3006"/>
      <c r="I7" s="3007"/>
    </row>
    <row r="8" spans="1:9" ht="15.75">
      <c r="A8" s="3004" t="str">
        <f>结果表!A122</f>
        <v>房地产抵押价值</v>
      </c>
      <c r="B8" s="3004"/>
      <c r="C8" s="3004"/>
      <c r="D8" s="3004">
        <f ca="1">结果表!D122</f>
        <v>85559</v>
      </c>
      <c r="E8" s="3004"/>
      <c r="F8" s="3004"/>
      <c r="G8" s="3004"/>
      <c r="H8" s="3004"/>
      <c r="I8" s="3004"/>
    </row>
    <row r="9" spans="1:9" ht="15">
      <c r="A9" s="3002" t="s">
        <v>1634</v>
      </c>
      <c r="B9" s="3002"/>
      <c r="C9" s="3002"/>
      <c r="D9" s="3003" t="str">
        <f ca="1">结果表!D123</f>
        <v>捌亿伍仟伍佰伍拾玖万元整</v>
      </c>
      <c r="E9" s="3003"/>
      <c r="F9" s="3003"/>
      <c r="G9" s="3003"/>
      <c r="H9" s="3003"/>
      <c r="I9" s="3003"/>
    </row>
    <row r="10" spans="1:9" ht="15.75">
      <c r="A10" s="3004" t="str">
        <f>结果表!A124</f>
        <v/>
      </c>
      <c r="B10" s="3004"/>
      <c r="C10" s="3004"/>
      <c r="D10" s="3004" t="str">
        <f>结果表!D124</f>
        <v>——</v>
      </c>
      <c r="E10" s="3004"/>
      <c r="F10" s="3004"/>
      <c r="G10" s="3004"/>
      <c r="H10" s="3004"/>
      <c r="I10" s="3004"/>
    </row>
    <row r="11" spans="1:9" ht="15">
      <c r="A11" s="3002" t="s">
        <v>1634</v>
      </c>
      <c r="B11" s="3002"/>
      <c r="C11" s="3002"/>
      <c r="D11" s="3003" t="e">
        <f>结果表!D125</f>
        <v>#VALUE!</v>
      </c>
      <c r="E11" s="3003"/>
      <c r="F11" s="3003"/>
      <c r="G11" s="3003"/>
      <c r="H11" s="3003"/>
      <c r="I11" s="3003"/>
    </row>
    <row r="12" spans="1:9" ht="15.75">
      <c r="A12" s="3004" t="str">
        <f>结果表!A126</f>
        <v/>
      </c>
      <c r="B12" s="3004"/>
      <c r="C12" s="3004"/>
      <c r="D12" s="3004" t="str">
        <f>结果表!D126</f>
        <v>——</v>
      </c>
      <c r="E12" s="3004"/>
      <c r="F12" s="3004"/>
      <c r="G12" s="3004"/>
      <c r="H12" s="3004"/>
      <c r="I12" s="3004"/>
    </row>
    <row r="13" spans="1:9" ht="15.75" thickBot="1">
      <c r="A13" s="3008" t="s">
        <v>1634</v>
      </c>
      <c r="B13" s="3008"/>
      <c r="C13" s="3008"/>
      <c r="D13" s="3009" t="e">
        <f>结果表!D127</f>
        <v>#VALUE!</v>
      </c>
      <c r="E13" s="3009"/>
      <c r="F13" s="3009"/>
      <c r="G13" s="3009"/>
      <c r="H13" s="3009"/>
      <c r="I13" s="3009"/>
    </row>
    <row r="14" spans="1:9" ht="15" thickTop="1">
      <c r="A14" s="3010" t="s">
        <v>1639</v>
      </c>
      <c r="B14" s="3010"/>
      <c r="C14" s="3010"/>
      <c r="D14" s="3010"/>
      <c r="E14" s="3010"/>
      <c r="F14" s="3010"/>
      <c r="G14" s="3010"/>
      <c r="H14" s="3010"/>
      <c r="I14" s="3010"/>
    </row>
    <row r="16" spans="1:9" ht="18.75">
      <c r="A16" s="1962" t="s">
        <v>1622</v>
      </c>
      <c r="B16" s="1945"/>
      <c r="C16" s="1945"/>
      <c r="D16" s="1945"/>
      <c r="E16" s="1945"/>
      <c r="F16" s="1945"/>
      <c r="G16" s="1945"/>
      <c r="H16" s="1945"/>
      <c r="I16" s="1945"/>
    </row>
    <row r="17" spans="1:9">
      <c r="A17" s="1945"/>
      <c r="B17" s="1945"/>
      <c r="C17" s="1945"/>
      <c r="D17" s="1945"/>
      <c r="E17" s="1945"/>
      <c r="F17" s="1945"/>
      <c r="G17" s="1945"/>
      <c r="H17" s="1945"/>
      <c r="I17" s="1945"/>
    </row>
    <row r="18" spans="1:9">
      <c r="A18" s="1945"/>
      <c r="B18" s="1945"/>
      <c r="C18" s="1945"/>
      <c r="D18" s="1945"/>
      <c r="E18" s="1945"/>
      <c r="F18" s="1945"/>
      <c r="G18" s="1945"/>
      <c r="H18" s="1945"/>
      <c r="I18" s="1945"/>
    </row>
    <row r="19" spans="1:9">
      <c r="A19" s="1945"/>
      <c r="B19" s="1945"/>
      <c r="C19" s="1945"/>
      <c r="D19" s="1945"/>
      <c r="E19" s="1945"/>
      <c r="F19" s="1945"/>
      <c r="G19" s="1945"/>
      <c r="H19" s="1945"/>
      <c r="I19" s="1945"/>
    </row>
    <row r="20" spans="1:9">
      <c r="A20" s="1945"/>
      <c r="B20" s="1945"/>
      <c r="C20" s="1945"/>
      <c r="D20" s="1945"/>
      <c r="E20" s="1945"/>
      <c r="F20" s="1945"/>
      <c r="G20" s="1945"/>
      <c r="H20" s="1945"/>
      <c r="I20" s="1945"/>
    </row>
    <row r="21" spans="1:9">
      <c r="A21" s="1945"/>
      <c r="B21" s="1945"/>
      <c r="C21" s="1945"/>
      <c r="D21" s="1945"/>
      <c r="E21" s="1945"/>
      <c r="F21" s="1945"/>
      <c r="G21" s="1945"/>
      <c r="H21" s="1945"/>
      <c r="I21" s="1945"/>
    </row>
    <row r="22" spans="1:9">
      <c r="A22" s="1945"/>
      <c r="B22" s="1945"/>
      <c r="C22" s="1945"/>
      <c r="D22" s="1945"/>
      <c r="E22" s="1945"/>
      <c r="F22" s="1945"/>
      <c r="G22" s="1945"/>
      <c r="H22" s="1945"/>
      <c r="I22" s="194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3" customWidth="1"/>
    <col min="2" max="3" width="22.375" style="1933" customWidth="1"/>
    <col min="4" max="4" width="23" style="1933" customWidth="1"/>
    <col min="5" max="16384" width="9" style="1933"/>
  </cols>
  <sheetData>
    <row r="1" spans="1:4" ht="18.75">
      <c r="A1" s="3011" t="s">
        <v>1656</v>
      </c>
      <c r="B1" s="3011"/>
      <c r="C1" s="3011"/>
      <c r="D1" s="3011"/>
    </row>
    <row r="2" spans="1:4" ht="18">
      <c r="A2" s="3012" t="s">
        <v>1640</v>
      </c>
      <c r="B2" s="3012"/>
      <c r="C2" s="3012"/>
      <c r="D2" s="3012"/>
    </row>
    <row r="3" spans="1:4" ht="18.75">
      <c r="A3" s="1965" t="s">
        <v>1641</v>
      </c>
      <c r="B3" s="1965" t="s">
        <v>1642</v>
      </c>
      <c r="C3" s="1965" t="s">
        <v>1643</v>
      </c>
      <c r="D3" s="1965" t="s">
        <v>1644</v>
      </c>
    </row>
    <row r="4" spans="1:4" ht="56.25" customHeight="1">
      <c r="A4" s="1966" t="str">
        <f>项目基本情况!B4</f>
        <v>崔锴</v>
      </c>
      <c r="B4" s="1967">
        <f ca="1">项目基本情况!C4</f>
        <v>1120100036</v>
      </c>
      <c r="C4" s="1968"/>
      <c r="D4" s="1969" t="s">
        <v>1645</v>
      </c>
    </row>
    <row r="5" spans="1:4" ht="56.25" customHeight="1">
      <c r="A5" s="1966" t="str">
        <f>项目基本情况!D4</f>
        <v>郑燚</v>
      </c>
      <c r="B5" s="1967">
        <f ca="1">项目基本情况!E4</f>
        <v>1120070131</v>
      </c>
      <c r="C5" s="1970"/>
      <c r="D5" s="1969" t="s">
        <v>1645</v>
      </c>
    </row>
    <row r="6" spans="1:4" ht="18">
      <c r="A6" s="3012" t="s">
        <v>1646</v>
      </c>
      <c r="B6" s="3012"/>
      <c r="C6" s="3012"/>
      <c r="D6" s="3012"/>
    </row>
    <row r="7" spans="1:4" ht="18.75">
      <c r="A7" s="1965" t="s">
        <v>1641</v>
      </c>
      <c r="B7" s="1967" t="s">
        <v>1647</v>
      </c>
      <c r="C7" s="1965" t="s">
        <v>1643</v>
      </c>
      <c r="D7" s="1965" t="s">
        <v>1644</v>
      </c>
    </row>
    <row r="8" spans="1:4" ht="56.25" customHeight="1">
      <c r="A8" s="1971" t="s">
        <v>865</v>
      </c>
      <c r="B8" s="1971" t="s">
        <v>1</v>
      </c>
      <c r="C8" s="1968"/>
      <c r="D8" s="1969" t="s">
        <v>1645</v>
      </c>
    </row>
    <row r="9" spans="1:4">
      <c r="A9" s="727"/>
      <c r="B9" s="727"/>
      <c r="C9" s="727"/>
      <c r="D9" s="727"/>
    </row>
    <row r="10" spans="1:4" ht="18.75">
      <c r="A10" s="1972" t="s">
        <v>1648</v>
      </c>
      <c r="B10" s="727"/>
      <c r="C10" s="727"/>
      <c r="D10" s="727"/>
    </row>
    <row r="11" spans="1:4" ht="30" customHeight="1">
      <c r="A11" s="3013" t="s">
        <v>1649</v>
      </c>
      <c r="B11" s="3014"/>
      <c r="C11" s="3014"/>
      <c r="D11" s="3014"/>
    </row>
    <row r="12" spans="1:4" ht="15.75">
      <c r="A12" s="30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5"/>
      <c r="C12" s="3015"/>
      <c r="D12" s="3015"/>
    </row>
    <row r="13" spans="1:4" ht="30" customHeight="1">
      <c r="A13" s="30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5"/>
      <c r="C13" s="3015"/>
      <c r="D13" s="3015"/>
    </row>
    <row r="14" spans="1:4" ht="15.75" customHeight="1">
      <c r="A14" s="3014" t="str">
        <f>IF(项目基本情况!B8="抵押","4.本次评估估价师所知悉的法定优先受偿款情况说明如下：","——")</f>
        <v>4.本次评估估价师所知悉的法定优先受偿款情况说明如下：</v>
      </c>
      <c r="B14" s="3015"/>
      <c r="C14" s="3015"/>
      <c r="D14" s="3015"/>
    </row>
    <row r="15" spans="1:4" ht="42" customHeight="1">
      <c r="A15" s="3014" t="str">
        <f>IF(项目基本情况!B8="抵押","（1）"&amp;CONCATENATE(项目基本情况!L20,项目基本情况!L21,项目基本情况!L22),"——")</f>
        <v>（1）根据估价对象《房屋所有权证》、《国有土地使用权》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4"/>
      <c r="C15" s="3014"/>
      <c r="D15" s="3014"/>
    </row>
    <row r="16" spans="1:4" ht="30" customHeight="1">
      <c r="A16" s="3017" t="s">
        <v>1650</v>
      </c>
      <c r="B16" s="3017"/>
      <c r="C16" s="3017"/>
      <c r="D16" s="3017"/>
    </row>
    <row r="17" spans="1:4" ht="144" customHeight="1">
      <c r="A17" s="3017" t="s">
        <v>1651</v>
      </c>
      <c r="B17" s="3017"/>
      <c r="C17" s="3017"/>
      <c r="D17" s="3017"/>
    </row>
    <row r="18" spans="1:4" ht="15.75" customHeight="1">
      <c r="A18" s="3014" t="str">
        <f>IF(项目基本情况!B8="抵押",结果表!K120,"——")</f>
        <v>故，本次评估不存在估价师知悉的法定优先受偿款</v>
      </c>
      <c r="B18" s="3014"/>
      <c r="C18" s="3014"/>
      <c r="D18" s="3014"/>
    </row>
    <row r="19" spans="1:4" ht="46.5" customHeight="1">
      <c r="A19" s="30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4"/>
      <c r="C19" s="3014"/>
      <c r="D19" s="3014"/>
    </row>
    <row r="20" spans="1:4" ht="57.75" customHeight="1">
      <c r="A20" s="30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4"/>
      <c r="C20" s="3014"/>
      <c r="D20" s="3014"/>
    </row>
    <row r="21" spans="1:4" ht="57.75" customHeight="1">
      <c r="A21" s="30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8"/>
      <c r="C21" s="3018"/>
      <c r="D21" s="3018"/>
    </row>
    <row r="22" spans="1:4" ht="18.75" customHeight="1">
      <c r="A22" s="3019" t="s">
        <v>1652</v>
      </c>
      <c r="B22" s="3019"/>
      <c r="C22" s="3019"/>
      <c r="D22" s="3019"/>
    </row>
    <row r="23" spans="1:4">
      <c r="A23" s="1973"/>
      <c r="B23" s="1945"/>
      <c r="C23" s="1945"/>
      <c r="D23" s="1945"/>
    </row>
    <row r="24" spans="1:4">
      <c r="A24" s="1973"/>
      <c r="B24" s="1945"/>
      <c r="C24" s="1945"/>
      <c r="D24" s="1945"/>
    </row>
    <row r="25" spans="1:4" ht="18.75">
      <c r="A25" s="1974" t="s">
        <v>1653</v>
      </c>
    </row>
    <row r="26" spans="1:4" ht="18">
      <c r="A26" s="1943"/>
    </row>
    <row r="27" spans="1:4" ht="18.75">
      <c r="A27" s="1943" t="s">
        <v>1654</v>
      </c>
    </row>
    <row r="30" spans="1:4" ht="18.75">
      <c r="D30" s="1974" t="s">
        <v>1655</v>
      </c>
    </row>
    <row r="31" spans="1:4" ht="13.5" customHeight="1">
      <c r="C31" s="3016">
        <v>42551</v>
      </c>
      <c r="D31" s="301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1" customWidth="1"/>
    <col min="3" max="10" width="12.5" style="1931" customWidth="1"/>
    <col min="11" max="16384" width="9" style="1931"/>
  </cols>
  <sheetData>
    <row r="1" spans="1:10" ht="18.75">
      <c r="A1" s="1964" t="s">
        <v>866</v>
      </c>
      <c r="B1" s="1975"/>
      <c r="C1" s="1975"/>
      <c r="D1" s="1975"/>
      <c r="E1" s="1975"/>
      <c r="F1" s="1975"/>
      <c r="G1" s="1975"/>
      <c r="H1" s="1975"/>
      <c r="I1" s="1975"/>
      <c r="J1" s="1975"/>
    </row>
    <row r="2" spans="1:10" ht="18.75">
      <c r="A2" s="1976"/>
      <c r="B2" s="1975"/>
      <c r="C2" s="1975"/>
      <c r="D2" s="1975"/>
      <c r="E2" s="1975"/>
      <c r="F2" s="1975"/>
      <c r="G2" s="1975"/>
      <c r="H2" s="1975"/>
      <c r="I2" s="1975"/>
      <c r="J2" s="1975"/>
    </row>
    <row r="3" spans="1:10">
      <c r="A3" s="1975"/>
      <c r="B3" s="1975"/>
      <c r="C3" s="1975"/>
      <c r="D3" s="1975"/>
      <c r="E3" s="1975"/>
      <c r="F3" s="1975"/>
      <c r="G3" s="1975"/>
      <c r="H3" s="1975"/>
      <c r="I3" s="1975"/>
      <c r="J3" s="1975"/>
    </row>
    <row r="4" spans="1:10">
      <c r="A4" s="1975"/>
      <c r="B4" s="1975"/>
      <c r="C4" s="1975"/>
      <c r="D4" s="1975"/>
      <c r="E4" s="1975"/>
      <c r="F4" s="1975"/>
      <c r="G4" s="1975"/>
      <c r="H4" s="1975"/>
      <c r="I4" s="1975"/>
      <c r="J4" s="1975"/>
    </row>
    <row r="5" spans="1:10">
      <c r="A5" s="1975"/>
      <c r="B5" s="1975"/>
      <c r="C5" s="1975"/>
      <c r="D5" s="1975"/>
      <c r="E5" s="1975"/>
      <c r="F5" s="1975"/>
      <c r="G5" s="1975"/>
      <c r="H5" s="1975"/>
      <c r="I5" s="1975"/>
      <c r="J5" s="1975"/>
    </row>
    <row r="6" spans="1:10">
      <c r="A6" s="1975"/>
      <c r="B6" s="1975"/>
      <c r="C6" s="1975"/>
      <c r="D6" s="1975"/>
      <c r="E6" s="1975"/>
      <c r="F6" s="1975"/>
      <c r="G6" s="1975"/>
      <c r="H6" s="1975"/>
      <c r="I6" s="1975"/>
      <c r="J6" s="1975"/>
    </row>
    <row r="7" spans="1:10">
      <c r="A7" s="1975"/>
      <c r="B7" s="1975"/>
      <c r="C7" s="1975"/>
      <c r="D7" s="1975"/>
      <c r="E7" s="1975"/>
      <c r="F7" s="1975"/>
      <c r="G7" s="1975"/>
      <c r="H7" s="1975"/>
      <c r="I7" s="1975"/>
      <c r="J7" s="1975"/>
    </row>
    <row r="8" spans="1:10">
      <c r="A8" s="1975"/>
      <c r="B8" s="1975"/>
      <c r="C8" s="1975"/>
      <c r="D8" s="1975"/>
      <c r="E8" s="1975"/>
      <c r="F8" s="1975"/>
      <c r="G8" s="1975"/>
      <c r="H8" s="1975"/>
      <c r="I8" s="1975"/>
      <c r="J8" s="1975"/>
    </row>
    <row r="9" spans="1:10">
      <c r="A9" s="1975"/>
      <c r="B9" s="1975"/>
      <c r="C9" s="1975"/>
      <c r="D9" s="1975"/>
      <c r="E9" s="1975"/>
      <c r="F9" s="1975"/>
      <c r="G9" s="1975"/>
      <c r="H9" s="1975"/>
      <c r="I9" s="1975"/>
      <c r="J9" s="1975"/>
    </row>
    <row r="10" spans="1:10">
      <c r="A10" s="1975"/>
      <c r="B10" s="1975"/>
      <c r="C10" s="1975"/>
      <c r="D10" s="1975"/>
      <c r="E10" s="1975"/>
      <c r="F10" s="1975"/>
      <c r="G10" s="1975"/>
      <c r="H10" s="1975"/>
      <c r="I10" s="1975"/>
      <c r="J10" s="1975"/>
    </row>
    <row r="11" spans="1:10">
      <c r="A11" s="1975"/>
      <c r="B11" s="1975"/>
      <c r="C11" s="1975"/>
      <c r="D11" s="1975"/>
      <c r="E11" s="1975"/>
      <c r="F11" s="1975"/>
      <c r="G11" s="1975"/>
      <c r="H11" s="1975"/>
      <c r="I11" s="1975"/>
      <c r="J11" s="1975"/>
    </row>
    <row r="12" spans="1:10">
      <c r="A12" s="1975"/>
      <c r="B12" s="1975"/>
      <c r="C12" s="1975"/>
      <c r="D12" s="1975"/>
      <c r="E12" s="1975"/>
      <c r="F12" s="1975"/>
      <c r="G12" s="1975"/>
      <c r="H12" s="1975"/>
      <c r="I12" s="1975"/>
      <c r="J12" s="1975"/>
    </row>
    <row r="13" spans="1:10">
      <c r="A13" s="1975"/>
      <c r="B13" s="1975"/>
      <c r="C13" s="1975"/>
      <c r="D13" s="1975"/>
      <c r="E13" s="1975"/>
      <c r="F13" s="1975"/>
      <c r="G13" s="1975"/>
      <c r="H13" s="1975"/>
      <c r="I13" s="1975"/>
      <c r="J13" s="1975"/>
    </row>
    <row r="14" spans="1:10">
      <c r="A14" s="1975"/>
      <c r="B14" s="1975"/>
      <c r="C14" s="1975"/>
      <c r="D14" s="1975"/>
      <c r="E14" s="1975"/>
      <c r="F14" s="1975"/>
      <c r="G14" s="1975"/>
      <c r="H14" s="1975"/>
      <c r="I14" s="1975"/>
      <c r="J14" s="1975"/>
    </row>
    <row r="15" spans="1:10">
      <c r="A15" s="1975"/>
      <c r="B15" s="1975"/>
      <c r="C15" s="1975"/>
      <c r="D15" s="1975"/>
      <c r="E15" s="1975"/>
      <c r="F15" s="1975"/>
      <c r="G15" s="1975"/>
      <c r="H15" s="1975"/>
      <c r="I15" s="1975"/>
      <c r="J15" s="1975"/>
    </row>
    <row r="16" spans="1:10">
      <c r="A16" s="1975"/>
      <c r="B16" s="1975"/>
      <c r="C16" s="1975"/>
      <c r="D16" s="1975"/>
      <c r="E16" s="1975"/>
      <c r="F16" s="1975"/>
      <c r="G16" s="1975"/>
      <c r="H16" s="1975"/>
      <c r="I16" s="1975"/>
      <c r="J16" s="1975"/>
    </row>
    <row r="17" spans="1:10">
      <c r="A17" s="1975"/>
      <c r="B17" s="1975"/>
      <c r="C17" s="1975"/>
      <c r="D17" s="1975"/>
      <c r="E17" s="1975"/>
      <c r="F17" s="1975"/>
      <c r="G17" s="1975"/>
      <c r="H17" s="1975"/>
      <c r="I17" s="1975"/>
      <c r="J17" s="1975"/>
    </row>
    <row r="18" spans="1:10">
      <c r="A18" s="1975"/>
      <c r="B18" s="1975"/>
      <c r="C18" s="1975"/>
      <c r="D18" s="1975"/>
      <c r="E18" s="1975"/>
      <c r="F18" s="1975"/>
      <c r="G18" s="1975"/>
      <c r="H18" s="1975"/>
      <c r="I18" s="1975"/>
      <c r="J18" s="1975"/>
    </row>
    <row r="19" spans="1:10">
      <c r="A19" s="1975"/>
      <c r="B19" s="1975"/>
      <c r="C19" s="1975"/>
      <c r="D19" s="1975"/>
      <c r="E19" s="1975"/>
      <c r="F19" s="1975"/>
      <c r="G19" s="1975"/>
      <c r="H19" s="1975"/>
      <c r="I19" s="1975"/>
      <c r="J19" s="1975"/>
    </row>
    <row r="20" spans="1:10">
      <c r="A20" s="1975"/>
      <c r="B20" s="1975"/>
      <c r="C20" s="1975"/>
      <c r="D20" s="1975"/>
      <c r="E20" s="1975"/>
      <c r="F20" s="1975"/>
      <c r="G20" s="1975"/>
      <c r="H20" s="1975"/>
      <c r="I20" s="1975"/>
      <c r="J20" s="1975"/>
    </row>
    <row r="21" spans="1:10">
      <c r="A21" s="1975"/>
      <c r="B21" s="1975"/>
      <c r="C21" s="1975"/>
      <c r="D21" s="1975"/>
      <c r="E21" s="1975"/>
      <c r="F21" s="1975"/>
      <c r="G21" s="1975"/>
      <c r="H21" s="1975"/>
      <c r="I21" s="1975"/>
      <c r="J21" s="1975"/>
    </row>
    <row r="22" spans="1:10">
      <c r="A22" s="1975"/>
      <c r="B22" s="1975"/>
      <c r="C22" s="1975"/>
      <c r="D22" s="1975"/>
      <c r="E22" s="1975"/>
      <c r="F22" s="1975"/>
      <c r="G22" s="1975"/>
      <c r="H22" s="1975"/>
      <c r="I22" s="1975"/>
      <c r="J22" s="1975"/>
    </row>
    <row r="23" spans="1:10">
      <c r="A23" s="1975"/>
      <c r="B23" s="1975"/>
      <c r="C23" s="1975"/>
      <c r="D23" s="1975"/>
      <c r="E23" s="1975"/>
      <c r="F23" s="1975"/>
      <c r="G23" s="1975"/>
      <c r="H23" s="1975"/>
      <c r="I23" s="1975"/>
      <c r="J23" s="1975"/>
    </row>
    <row r="24" spans="1:10">
      <c r="A24" s="1975"/>
      <c r="B24" s="1975"/>
      <c r="C24" s="1975"/>
      <c r="D24" s="1975"/>
      <c r="E24" s="1975"/>
      <c r="F24" s="1975"/>
      <c r="G24" s="1975"/>
      <c r="H24" s="1975"/>
      <c r="I24" s="1975"/>
      <c r="J24" s="1975"/>
    </row>
    <row r="25" spans="1:10">
      <c r="A25" s="1975"/>
      <c r="B25" s="1975"/>
      <c r="C25" s="1975"/>
      <c r="D25" s="1975"/>
      <c r="E25" s="1975"/>
      <c r="F25" s="1975"/>
      <c r="G25" s="1975"/>
      <c r="H25" s="1975"/>
      <c r="I25" s="1975"/>
      <c r="J25" s="1975"/>
    </row>
    <row r="26" spans="1:10">
      <c r="A26" s="1975"/>
      <c r="B26" s="1975"/>
      <c r="C26" s="1975"/>
      <c r="D26" s="1975"/>
      <c r="E26" s="1975"/>
      <c r="F26" s="1975"/>
      <c r="G26" s="1975"/>
      <c r="H26" s="1975"/>
      <c r="I26" s="1975"/>
      <c r="J26" s="1975"/>
    </row>
    <row r="27" spans="1:10">
      <c r="A27" s="1975"/>
      <c r="B27" s="1975"/>
      <c r="C27" s="1975"/>
      <c r="D27" s="1975"/>
      <c r="E27" s="1975"/>
      <c r="F27" s="1975"/>
      <c r="G27" s="1975"/>
      <c r="H27" s="1975"/>
      <c r="I27" s="1975"/>
      <c r="J27" s="1975"/>
    </row>
    <row r="28" spans="1:10">
      <c r="A28" s="1975"/>
      <c r="B28" s="1975"/>
      <c r="C28" s="1975"/>
      <c r="D28" s="1975"/>
      <c r="E28" s="1975"/>
      <c r="F28" s="1975"/>
      <c r="G28" s="1975"/>
      <c r="H28" s="1975"/>
      <c r="I28" s="1975"/>
      <c r="J28" s="1975"/>
    </row>
    <row r="29" spans="1:10">
      <c r="A29" s="1975"/>
      <c r="B29" s="1975"/>
      <c r="C29" s="1975"/>
      <c r="D29" s="1975"/>
      <c r="E29" s="1975"/>
      <c r="F29" s="1975"/>
      <c r="G29" s="1975"/>
      <c r="H29" s="1975"/>
      <c r="I29" s="1975"/>
      <c r="J29" s="1975"/>
    </row>
    <row r="30" spans="1:10">
      <c r="A30" s="1975"/>
      <c r="B30" s="1975"/>
      <c r="C30" s="1975"/>
      <c r="D30" s="1975"/>
      <c r="E30" s="1975"/>
      <c r="F30" s="1975"/>
      <c r="G30" s="1975"/>
      <c r="H30" s="1975"/>
      <c r="I30" s="1975"/>
      <c r="J30" s="1975"/>
    </row>
    <row r="31" spans="1:10">
      <c r="A31" s="1975"/>
      <c r="B31" s="1975"/>
      <c r="C31" s="1975"/>
      <c r="D31" s="1975"/>
      <c r="E31" s="1975"/>
      <c r="F31" s="1975"/>
      <c r="G31" s="1975"/>
      <c r="H31" s="1975"/>
      <c r="I31" s="1975"/>
      <c r="J31" s="197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1" customWidth="1"/>
    <col min="2" max="16384" width="14.5" style="1963"/>
  </cols>
  <sheetData>
    <row r="1" spans="1:7" s="1978" customFormat="1" ht="18.75">
      <c r="A1" s="1977" t="s">
        <v>1657</v>
      </c>
    </row>
    <row r="3" spans="1:7">
      <c r="A3" s="1979" t="s">
        <v>82</v>
      </c>
      <c r="B3" s="1963" t="s">
        <v>1658</v>
      </c>
      <c r="G3" s="1980"/>
    </row>
    <row r="4" spans="1:7">
      <c r="G4" s="1980"/>
    </row>
    <row r="5" spans="1:7">
      <c r="A5" s="1982" t="s">
        <v>73</v>
      </c>
      <c r="B5" s="1963" t="s">
        <v>1659</v>
      </c>
      <c r="G5" s="1980"/>
    </row>
    <row r="6" spans="1:7">
      <c r="G6" s="1980"/>
    </row>
    <row r="7" spans="1:7">
      <c r="A7" s="1983" t="s">
        <v>135</v>
      </c>
      <c r="B7" s="1963" t="s">
        <v>1660</v>
      </c>
      <c r="G7" s="1980"/>
    </row>
    <row r="8" spans="1:7">
      <c r="G8" s="1980"/>
    </row>
    <row r="9" spans="1:7">
      <c r="A9" s="1984" t="s">
        <v>74</v>
      </c>
      <c r="B9" s="1963" t="s">
        <v>1661</v>
      </c>
    </row>
    <row r="11" spans="1:7">
      <c r="A11" s="1985" t="s">
        <v>75</v>
      </c>
      <c r="B11" s="1986" t="s">
        <v>72</v>
      </c>
    </row>
    <row r="13" spans="1:7">
      <c r="A13" s="1987" t="s">
        <v>1662</v>
      </c>
    </row>
    <row r="15" spans="1:7" ht="13.5">
      <c r="A15" s="3025" t="s">
        <v>1663</v>
      </c>
      <c r="B15" s="3020" t="s">
        <v>136</v>
      </c>
      <c r="C15" s="3021"/>
    </row>
    <row r="16" spans="1:7" ht="13.5">
      <c r="A16" s="3026"/>
      <c r="B16" s="3020" t="s">
        <v>69</v>
      </c>
      <c r="C16" s="3021"/>
    </row>
    <row r="17" spans="1:3" ht="13.5">
      <c r="A17" s="3026"/>
      <c r="B17" s="3023" t="s">
        <v>1664</v>
      </c>
      <c r="C17" s="1988" t="s">
        <v>1663</v>
      </c>
    </row>
    <row r="18" spans="1:3" ht="13.5">
      <c r="A18" s="3026"/>
      <c r="B18" s="3023"/>
      <c r="C18" s="1988" t="s">
        <v>1665</v>
      </c>
    </row>
    <row r="19" spans="1:3" ht="13.5">
      <c r="A19" s="3026"/>
      <c r="B19" s="3023"/>
      <c r="C19" s="1988" t="s">
        <v>1666</v>
      </c>
    </row>
    <row r="20" spans="1:3" ht="13.5">
      <c r="A20" s="3027"/>
      <c r="B20" s="3022" t="s">
        <v>1667</v>
      </c>
      <c r="C20" s="3021"/>
    </row>
    <row r="21" spans="1:3" ht="13.5">
      <c r="A21" s="1989" t="s">
        <v>1668</v>
      </c>
      <c r="B21" s="1990"/>
      <c r="C21" s="1991"/>
    </row>
    <row r="22" spans="1:3" ht="13.5">
      <c r="A22" s="3024" t="s">
        <v>1669</v>
      </c>
      <c r="B22" s="3022" t="s">
        <v>1670</v>
      </c>
      <c r="C22" s="3021"/>
    </row>
    <row r="23" spans="1:3" ht="13.5">
      <c r="A23" s="3024"/>
      <c r="B23" s="3022" t="s">
        <v>1671</v>
      </c>
      <c r="C23" s="3021"/>
    </row>
    <row r="24" spans="1:3" ht="13.5">
      <c r="A24" s="3024"/>
      <c r="B24" s="3022" t="s">
        <v>1672</v>
      </c>
      <c r="C24" s="3021"/>
    </row>
    <row r="25" spans="1:3" ht="13.5">
      <c r="A25" s="3024"/>
      <c r="B25" s="3023" t="s">
        <v>1673</v>
      </c>
      <c r="C25" s="1988" t="s">
        <v>1674</v>
      </c>
    </row>
    <row r="26" spans="1:3" ht="13.5">
      <c r="A26" s="3024"/>
      <c r="B26" s="3023"/>
      <c r="C26" s="1988" t="s">
        <v>1675</v>
      </c>
    </row>
    <row r="27" spans="1:3" ht="13.5">
      <c r="A27" s="3024"/>
      <c r="B27" s="3023"/>
      <c r="C27" s="1988" t="s">
        <v>1676</v>
      </c>
    </row>
    <row r="28" spans="1:3" ht="13.5">
      <c r="A28" s="3024"/>
      <c r="B28" s="3023"/>
      <c r="C28" s="1988" t="s">
        <v>1677</v>
      </c>
    </row>
    <row r="29" spans="1:3" ht="13.5">
      <c r="A29" s="3024"/>
      <c r="B29" s="3023"/>
      <c r="C29" s="1988" t="s">
        <v>1678</v>
      </c>
    </row>
    <row r="30" spans="1:3" ht="13.5">
      <c r="A30" s="3024"/>
      <c r="B30" s="3023"/>
      <c r="C30" s="1988" t="s">
        <v>1679</v>
      </c>
    </row>
    <row r="31" spans="1:3" ht="13.5">
      <c r="A31" s="3024"/>
      <c r="B31" s="3023"/>
      <c r="C31" s="1988" t="s">
        <v>1680</v>
      </c>
    </row>
    <row r="32" spans="1:3" ht="13.5">
      <c r="A32" s="3024"/>
      <c r="B32" s="3023"/>
      <c r="C32" s="1988" t="s">
        <v>1681</v>
      </c>
    </row>
    <row r="33" spans="1:3" ht="13.5">
      <c r="A33" s="3024"/>
      <c r="B33" s="3023"/>
      <c r="C33" s="1988" t="s">
        <v>1682</v>
      </c>
    </row>
    <row r="34" spans="1:3">
      <c r="A34" s="1992" t="s">
        <v>76</v>
      </c>
    </row>
    <row r="37" spans="1:3">
      <c r="A37" s="1992" t="s">
        <v>1683</v>
      </c>
    </row>
    <row r="38" spans="1:3" ht="13.5">
      <c r="A38" s="1993" t="s">
        <v>77</v>
      </c>
    </row>
    <row r="39" spans="1:3" ht="13.5">
      <c r="A39" s="1993" t="s">
        <v>78</v>
      </c>
    </row>
    <row r="40" spans="1:3" ht="13.5">
      <c r="A40" s="1993" t="s">
        <v>79</v>
      </c>
    </row>
    <row r="41" spans="1:3" ht="13.5">
      <c r="A41" s="1994" t="s">
        <v>80</v>
      </c>
    </row>
    <row r="42" spans="1:3" ht="13.5">
      <c r="A42" s="199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23" sqref="C23"/>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43985</v>
      </c>
      <c r="C2" s="1018" t="s">
        <v>826</v>
      </c>
      <c r="D2" s="1018"/>
    </row>
    <row r="3" spans="1:6" ht="24" customHeight="1">
      <c r="A3" s="1019" t="s">
        <v>827</v>
      </c>
      <c r="B3" s="1020" t="s">
        <v>828</v>
      </c>
      <c r="C3" s="2332" t="s">
        <v>829</v>
      </c>
      <c r="D3" s="2335" t="s">
        <v>830</v>
      </c>
      <c r="E3" s="1021" t="s">
        <v>831</v>
      </c>
      <c r="F3" s="1020" t="s">
        <v>829</v>
      </c>
    </row>
    <row r="4" spans="1:6" ht="24" customHeight="1">
      <c r="A4" s="1699" t="s">
        <v>832</v>
      </c>
      <c r="B4" s="1021">
        <f ca="1">IF(C4&lt;B2,"已过期",1119970066)</f>
        <v>1119970066</v>
      </c>
      <c r="C4" s="2913">
        <v>44876</v>
      </c>
      <c r="D4" s="2336" t="s">
        <v>832</v>
      </c>
      <c r="E4" s="1021">
        <f ca="1">IF(F4&lt;B2,"已过期",96010014)</f>
        <v>96010014</v>
      </c>
      <c r="F4" s="1029">
        <v>47118</v>
      </c>
    </row>
    <row r="5" spans="1:6" ht="24" customHeight="1">
      <c r="A5" s="1699"/>
      <c r="B5" s="1021"/>
      <c r="C5" s="2333"/>
      <c r="D5" s="2336"/>
      <c r="E5" s="1021"/>
      <c r="F5" s="1029"/>
    </row>
    <row r="6" spans="1:6" ht="24" customHeight="1">
      <c r="A6" s="1699" t="s">
        <v>833</v>
      </c>
      <c r="B6" s="1021">
        <f ca="1">IF(C6&lt;B2,"已过期",1119970111)</f>
        <v>1119970111</v>
      </c>
      <c r="C6" s="2333">
        <v>44876</v>
      </c>
      <c r="D6" s="2336" t="s">
        <v>833</v>
      </c>
      <c r="E6" s="1021">
        <f ca="1">IF(F6&lt;B2,"已过期",94010078)</f>
        <v>94010078</v>
      </c>
      <c r="F6" s="1029">
        <v>46387</v>
      </c>
    </row>
    <row r="7" spans="1:6" ht="24" customHeight="1">
      <c r="A7" s="1699" t="s">
        <v>834</v>
      </c>
      <c r="B7" s="1021">
        <f ca="1">IF(C7&lt;B2,"已过期",1120050019)</f>
        <v>1120050019</v>
      </c>
      <c r="C7" s="2333">
        <v>44395</v>
      </c>
      <c r="D7" s="2336" t="s">
        <v>834</v>
      </c>
      <c r="E7" s="1021">
        <f ca="1">IF(F7&lt;B2,"已过期",2002110030)</f>
        <v>2002110030</v>
      </c>
      <c r="F7" s="1029">
        <v>46387</v>
      </c>
    </row>
    <row r="8" spans="1:6" ht="24" customHeight="1">
      <c r="A8" s="1699" t="s">
        <v>835</v>
      </c>
      <c r="B8" s="1021">
        <f ca="1">IF(C8&lt;B2,"已过期",1120000080)</f>
        <v>1120000080</v>
      </c>
      <c r="C8" s="2913">
        <v>44876</v>
      </c>
      <c r="D8" s="2336" t="s">
        <v>835</v>
      </c>
      <c r="E8" s="1021">
        <f ca="1">IF(F8&lt;B2,"已过期",2000110082)</f>
        <v>2000110082</v>
      </c>
      <c r="F8" s="1029">
        <v>46387</v>
      </c>
    </row>
    <row r="9" spans="1:6" ht="24" customHeight="1">
      <c r="A9" s="1699" t="s">
        <v>836</v>
      </c>
      <c r="B9" s="1021">
        <f ca="1">IF(C9&lt;B2,"已过期",1419970001)</f>
        <v>1419970001</v>
      </c>
      <c r="C9" s="2913">
        <v>44899</v>
      </c>
      <c r="D9" s="2336" t="s">
        <v>836</v>
      </c>
      <c r="E9" s="1021">
        <f ca="1">IF(F9&lt;B2,"已过期",2002110125)</f>
        <v>2002110125</v>
      </c>
      <c r="F9" s="1029">
        <v>47118</v>
      </c>
    </row>
    <row r="10" spans="1:6" ht="24" customHeight="1">
      <c r="A10" s="1699" t="s">
        <v>837</v>
      </c>
      <c r="B10" s="1021">
        <f ca="1">IF(C10&lt;B2,"已过期",1120060040)</f>
        <v>1120060040</v>
      </c>
      <c r="C10" s="2333">
        <v>44554</v>
      </c>
      <c r="D10" s="2336" t="s">
        <v>837</v>
      </c>
      <c r="E10" s="1021">
        <f ca="1">IF(F10&lt;B2,"已过期",2004110096)</f>
        <v>2004110096</v>
      </c>
      <c r="F10" s="1029">
        <v>47118</v>
      </c>
    </row>
    <row r="11" spans="1:6" ht="24" customHeight="1">
      <c r="A11" s="1699" t="s">
        <v>838</v>
      </c>
      <c r="B11" s="1021">
        <f ca="1">IF(C11&lt;B2,"已过期",1120100036)</f>
        <v>1120100036</v>
      </c>
      <c r="C11" s="2333">
        <v>44675</v>
      </c>
      <c r="D11" s="2336" t="s">
        <v>838</v>
      </c>
      <c r="E11" s="1021">
        <f ca="1">IF(F11&lt;B2,"已过期",2010110070)</f>
        <v>2010110070</v>
      </c>
      <c r="F11" s="1029">
        <v>47907</v>
      </c>
    </row>
    <row r="12" spans="1:6" ht="24" customHeight="1">
      <c r="A12" s="1699"/>
      <c r="B12" s="1021"/>
      <c r="C12" s="2913"/>
      <c r="D12" s="1699"/>
      <c r="E12" s="1021"/>
      <c r="F12" s="1029"/>
    </row>
    <row r="13" spans="1:6" ht="24" customHeight="1">
      <c r="A13" s="1699" t="s">
        <v>839</v>
      </c>
      <c r="B13" s="1021">
        <f ca="1">IF(C13&lt;B2,"已过期",1120070131)</f>
        <v>1120070131</v>
      </c>
      <c r="C13" s="2333">
        <v>44849</v>
      </c>
      <c r="D13" s="2336" t="s">
        <v>839</v>
      </c>
      <c r="E13" s="1021">
        <f ca="1">IF(F13&lt;B2,"已过期",2014110011)</f>
        <v>2014110011</v>
      </c>
      <c r="F13" s="1029">
        <v>49302</v>
      </c>
    </row>
    <row r="14" spans="1:6" ht="24" customHeight="1">
      <c r="A14" s="1699" t="s">
        <v>3041</v>
      </c>
      <c r="B14" s="1021">
        <f ca="1">IF(C14&lt;B2,"已过期",1120040230)</f>
        <v>1120040230</v>
      </c>
      <c r="C14" s="2333">
        <v>44864</v>
      </c>
      <c r="D14" s="2336" t="s">
        <v>3041</v>
      </c>
      <c r="E14" s="1021">
        <f ca="1">IF(F14&lt;B2,"已过期",98030020)</f>
        <v>98030020</v>
      </c>
      <c r="F14" s="1029">
        <v>47118</v>
      </c>
    </row>
    <row r="15" spans="1:6" ht="24" customHeight="1">
      <c r="A15" s="1700"/>
      <c r="B15" s="1021"/>
      <c r="C15" s="2333"/>
      <c r="D15" s="2337"/>
      <c r="E15" s="1021"/>
      <c r="F15" s="1022"/>
    </row>
    <row r="16" spans="1:6" ht="24" customHeight="1">
      <c r="A16" s="1699"/>
      <c r="B16" s="1021"/>
      <c r="C16" s="2913"/>
      <c r="D16" s="2336"/>
      <c r="E16" s="1021"/>
      <c r="F16" s="1029"/>
    </row>
    <row r="17" spans="1:7" ht="24" customHeight="1">
      <c r="A17" s="1699"/>
      <c r="B17" s="1021"/>
      <c r="C17" s="2333"/>
      <c r="D17" s="2336"/>
      <c r="E17" s="1021"/>
      <c r="F17" s="1029"/>
    </row>
    <row r="18" spans="1:7" ht="24" customHeight="1">
      <c r="A18" s="1699" t="s">
        <v>3048</v>
      </c>
      <c r="B18" s="1021">
        <v>1120190079</v>
      </c>
      <c r="C18" s="2913">
        <v>44826</v>
      </c>
      <c r="D18" s="2336"/>
      <c r="E18" s="1021"/>
      <c r="F18" s="1029"/>
    </row>
    <row r="19" spans="1:7" ht="24" customHeight="1">
      <c r="A19" s="1699"/>
      <c r="B19" s="1021"/>
      <c r="C19" s="2333"/>
      <c r="D19" s="2336"/>
      <c r="E19" s="1021"/>
      <c r="F19" s="1021"/>
    </row>
    <row r="20" spans="1:7" ht="24" customHeight="1">
      <c r="A20" s="1699"/>
      <c r="B20" s="1021"/>
      <c r="C20" s="2333"/>
      <c r="D20" s="2336"/>
      <c r="E20" s="1021"/>
      <c r="F20" s="1021"/>
    </row>
    <row r="21" spans="1:7" ht="24" customHeight="1">
      <c r="A21" s="1699"/>
      <c r="B21" s="1021"/>
      <c r="C21" s="2333"/>
      <c r="D21" s="2336" t="s">
        <v>840</v>
      </c>
      <c r="E21" s="1021">
        <f ca="1">IF(F21&lt;B2,"已过期",2011110090)</f>
        <v>2011110090</v>
      </c>
      <c r="F21" s="1029">
        <v>48302</v>
      </c>
    </row>
    <row r="22" spans="1:7" ht="24" customHeight="1">
      <c r="A22" s="1699" t="s">
        <v>841</v>
      </c>
      <c r="B22" s="1021">
        <f ca="1">IF(C22&lt;B2,"已过期",1120020033)</f>
        <v>1120020033</v>
      </c>
      <c r="C22" s="2913">
        <v>44339</v>
      </c>
      <c r="D22" s="2336" t="s">
        <v>841</v>
      </c>
      <c r="E22" s="1021">
        <f ca="1">IF(F22&lt;B2,"已过期",2000110137)</f>
        <v>2000110137</v>
      </c>
      <c r="F22" s="1029">
        <v>46387</v>
      </c>
    </row>
    <row r="23" spans="1:7" ht="24" customHeight="1">
      <c r="A23" s="1699" t="s">
        <v>3050</v>
      </c>
      <c r="B23" s="1021">
        <v>1119980106</v>
      </c>
      <c r="C23" s="2333">
        <v>44969</v>
      </c>
      <c r="D23" s="2336"/>
      <c r="E23" s="1021"/>
      <c r="F23" s="1021"/>
    </row>
    <row r="24" spans="1:7" s="1023" customFormat="1" ht="24" customHeight="1">
      <c r="A24" s="1700" t="s">
        <v>1328</v>
      </c>
      <c r="B24" s="1700" t="s">
        <v>1328</v>
      </c>
      <c r="C24" s="2334" t="s">
        <v>1328</v>
      </c>
      <c r="D24" s="2337" t="s">
        <v>1328</v>
      </c>
      <c r="E24" s="1700" t="s">
        <v>1328</v>
      </c>
      <c r="F24" s="1700" t="s">
        <v>1328</v>
      </c>
    </row>
    <row r="25" spans="1:7" ht="24" customHeight="1">
      <c r="A25" s="3028" t="s">
        <v>842</v>
      </c>
      <c r="B25" s="3028"/>
      <c r="C25" s="3028"/>
      <c r="D25" s="3028"/>
      <c r="E25" s="3028"/>
      <c r="F25" s="3028"/>
      <c r="G25" s="3028"/>
    </row>
    <row r="26" spans="1:7" s="1024" customFormat="1" ht="24" customHeight="1">
      <c r="A26" s="3029" t="s">
        <v>843</v>
      </c>
      <c r="B26" s="3029"/>
      <c r="C26" s="3030"/>
      <c r="D26" s="3031" t="s">
        <v>844</v>
      </c>
      <c r="E26" s="3029"/>
      <c r="F26" s="3029"/>
    </row>
    <row r="27" spans="1:7" s="1026" customFormat="1" ht="24" customHeight="1">
      <c r="A27" s="1025" t="s">
        <v>845</v>
      </c>
      <c r="B27" s="1020" t="s">
        <v>846</v>
      </c>
      <c r="C27" s="2332" t="s">
        <v>847</v>
      </c>
      <c r="D27" s="2339" t="s">
        <v>845</v>
      </c>
      <c r="E27" s="1020" t="s">
        <v>846</v>
      </c>
      <c r="F27" s="1020" t="s">
        <v>847</v>
      </c>
    </row>
    <row r="28" spans="1:7" s="1026" customFormat="1" ht="24" customHeight="1">
      <c r="A28" s="1027" t="s">
        <v>848</v>
      </c>
      <c r="B28" s="1028" t="s">
        <v>849</v>
      </c>
      <c r="C28" s="1029">
        <v>44820</v>
      </c>
      <c r="D28" s="2340" t="s">
        <v>850</v>
      </c>
      <c r="E28" s="1027" t="s">
        <v>851</v>
      </c>
      <c r="F28" s="1057">
        <v>44377</v>
      </c>
    </row>
    <row r="29" spans="1:7" s="1026" customFormat="1" ht="24" customHeight="1">
      <c r="A29" s="1027"/>
      <c r="B29" s="1027"/>
      <c r="C29" s="2338"/>
      <c r="D29" s="2340" t="s">
        <v>852</v>
      </c>
      <c r="E29" s="1201" t="s">
        <v>3049</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33" priority="107" stopIfTrue="1" operator="lessThan">
      <formula>$B$2</formula>
    </cfRule>
  </conditionalFormatting>
  <conditionalFormatting sqref="C5">
    <cfRule type="expression" dxfId="232" priority="102">
      <formula>AND($C5-TODAY()&lt;30,TODAY()&lt;$C5)</formula>
    </cfRule>
  </conditionalFormatting>
  <conditionalFormatting sqref="C5 F5">
    <cfRule type="cellIs" dxfId="231" priority="103" stopIfTrue="1" operator="lessThan">
      <formula>$B$2</formula>
    </cfRule>
  </conditionalFormatting>
  <conditionalFormatting sqref="F6 F8 F10">
    <cfRule type="cellIs" dxfId="230" priority="101" stopIfTrue="1" operator="lessThan">
      <formula>$B$2</formula>
    </cfRule>
  </conditionalFormatting>
  <conditionalFormatting sqref="C5:C7 C13 C17 C19:C21 C10:C11">
    <cfRule type="expression" dxfId="229" priority="99">
      <formula>AND($C5-TODAY()&lt;30,TODAY()&lt;$C5)</formula>
    </cfRule>
  </conditionalFormatting>
  <conditionalFormatting sqref="F7 F9 F11 C5:C7 C13 C17 C19:C21 C10:C11">
    <cfRule type="cellIs" dxfId="228" priority="100" stopIfTrue="1" operator="lessThan">
      <formula>$B$2</formula>
    </cfRule>
  </conditionalFormatting>
  <conditionalFormatting sqref="C20">
    <cfRule type="expression" dxfId="227" priority="87">
      <formula>AND($C20-TODAY()&lt;30,TODAY()&lt;$C20)</formula>
    </cfRule>
  </conditionalFormatting>
  <conditionalFormatting sqref="C20">
    <cfRule type="cellIs" dxfId="226" priority="88" stopIfTrue="1" operator="lessThan">
      <formula>$B$2</formula>
    </cfRule>
  </conditionalFormatting>
  <conditionalFormatting sqref="C17">
    <cfRule type="expression" dxfId="225" priority="81">
      <formula>AND($C17-TODAY()&lt;30,TODAY()&lt;$C17)</formula>
    </cfRule>
  </conditionalFormatting>
  <conditionalFormatting sqref="C17">
    <cfRule type="cellIs" dxfId="224" priority="82" stopIfTrue="1" operator="lessThan">
      <formula>$B$2</formula>
    </cfRule>
  </conditionalFormatting>
  <conditionalFormatting sqref="C19">
    <cfRule type="expression" dxfId="223" priority="79">
      <formula>AND($C19-TODAY()&lt;30,TODAY()&lt;$C19)</formula>
    </cfRule>
  </conditionalFormatting>
  <conditionalFormatting sqref="C19">
    <cfRule type="cellIs" dxfId="222" priority="80" stopIfTrue="1" operator="lessThan">
      <formula>$B$2</formula>
    </cfRule>
  </conditionalFormatting>
  <conditionalFormatting sqref="C21">
    <cfRule type="expression" dxfId="221" priority="77">
      <formula>AND($C21-TODAY()&lt;30,TODAY()&lt;$C21)</formula>
    </cfRule>
  </conditionalFormatting>
  <conditionalFormatting sqref="C21">
    <cfRule type="cellIs" dxfId="220" priority="78" stopIfTrue="1" operator="lessThan">
      <formula>$B$2</formula>
    </cfRule>
  </conditionalFormatting>
  <conditionalFormatting sqref="F18">
    <cfRule type="cellIs" dxfId="219" priority="72" stopIfTrue="1" operator="lessThan">
      <formula>$B$2</formula>
    </cfRule>
  </conditionalFormatting>
  <conditionalFormatting sqref="F22">
    <cfRule type="cellIs" dxfId="218" priority="71" stopIfTrue="1" operator="lessThan">
      <formula>$B$2</formula>
    </cfRule>
  </conditionalFormatting>
  <conditionalFormatting sqref="F21">
    <cfRule type="cellIs" dxfId="217" priority="70" stopIfTrue="1" operator="lessThan">
      <formula>$B$2</formula>
    </cfRule>
  </conditionalFormatting>
  <conditionalFormatting sqref="B4:B11 E4:E11 B17 E18:E23 B13 E13 B19:B23">
    <cfRule type="cellIs" dxfId="216" priority="68" stopIfTrue="1" operator="equal">
      <formula>"已过期"</formula>
    </cfRule>
  </conditionalFormatting>
  <conditionalFormatting sqref="A24:F24">
    <cfRule type="cellIs" dxfId="215" priority="64" stopIfTrue="1" operator="equal">
      <formula>"已过期"</formula>
    </cfRule>
  </conditionalFormatting>
  <conditionalFormatting sqref="F28">
    <cfRule type="expression" dxfId="214" priority="62">
      <formula>AND($E28-TODAY()&lt;30,TODAY()&lt;$E28)</formula>
    </cfRule>
  </conditionalFormatting>
  <conditionalFormatting sqref="F28">
    <cfRule type="cellIs" dxfId="213" priority="63" stopIfTrue="1" operator="lessThan">
      <formula>$B$2</formula>
    </cfRule>
  </conditionalFormatting>
  <conditionalFormatting sqref="F29">
    <cfRule type="expression" dxfId="212" priority="58" stopIfTrue="1">
      <formula>AND($E29-TODAY()&lt;30,TODAY()&lt;$E29)</formula>
    </cfRule>
  </conditionalFormatting>
  <conditionalFormatting sqref="F29">
    <cfRule type="cellIs" dxfId="211" priority="59" stopIfTrue="1" operator="lessThan">
      <formula>$B$2</formula>
    </cfRule>
  </conditionalFormatting>
  <conditionalFormatting sqref="F13">
    <cfRule type="cellIs" dxfId="210" priority="51" stopIfTrue="1" operator="lessThan">
      <formula>$B$2</formula>
    </cfRule>
  </conditionalFormatting>
  <conditionalFormatting sqref="C12">
    <cfRule type="expression" dxfId="209" priority="49">
      <formula>AND($C12-TODAY()&lt;30,TODAY()&lt;$C12)</formula>
    </cfRule>
  </conditionalFormatting>
  <conditionalFormatting sqref="C12">
    <cfRule type="cellIs" dxfId="208" priority="50" stopIfTrue="1" operator="lessThan">
      <formula>$B$2</formula>
    </cfRule>
  </conditionalFormatting>
  <conditionalFormatting sqref="C12">
    <cfRule type="expression" dxfId="207" priority="47">
      <formula>AND($C12-TODAY()&lt;30,TODAY()&lt;$C12)</formula>
    </cfRule>
  </conditionalFormatting>
  <conditionalFormatting sqref="C12">
    <cfRule type="cellIs" dxfId="206" priority="48" stopIfTrue="1" operator="lessThan">
      <formula>$B$2</formula>
    </cfRule>
  </conditionalFormatting>
  <conditionalFormatting sqref="B12">
    <cfRule type="cellIs" dxfId="205" priority="46" stopIfTrue="1" operator="equal">
      <formula>"已过期"</formula>
    </cfRule>
  </conditionalFormatting>
  <conditionalFormatting sqref="E12">
    <cfRule type="cellIs" dxfId="204" priority="45" stopIfTrue="1" operator="equal">
      <formula>"已过期"</formula>
    </cfRule>
  </conditionalFormatting>
  <conditionalFormatting sqref="F12">
    <cfRule type="cellIs" dxfId="203" priority="44" stopIfTrue="1" operator="lessThan">
      <formula>$B$2</formula>
    </cfRule>
  </conditionalFormatting>
  <conditionalFormatting sqref="C22">
    <cfRule type="expression" dxfId="202" priority="42">
      <formula>AND($C22-TODAY()&lt;30,TODAY()&lt;$C22)</formula>
    </cfRule>
  </conditionalFormatting>
  <conditionalFormatting sqref="C22">
    <cfRule type="cellIs" dxfId="201" priority="43" stopIfTrue="1" operator="lessThan">
      <formula>$B$2</formula>
    </cfRule>
  </conditionalFormatting>
  <conditionalFormatting sqref="C22">
    <cfRule type="expression" dxfId="200" priority="40">
      <formula>AND($C22-TODAY()&lt;30,TODAY()&lt;$C22)</formula>
    </cfRule>
  </conditionalFormatting>
  <conditionalFormatting sqref="C22">
    <cfRule type="cellIs" dxfId="199" priority="41" stopIfTrue="1" operator="lessThan">
      <formula>$B$2</formula>
    </cfRule>
  </conditionalFormatting>
  <conditionalFormatting sqref="C16">
    <cfRule type="expression" dxfId="198" priority="38">
      <formula>AND($C16-TODAY()&lt;30,TODAY()&lt;$C16)</formula>
    </cfRule>
  </conditionalFormatting>
  <conditionalFormatting sqref="C16">
    <cfRule type="cellIs" dxfId="197" priority="39" stopIfTrue="1" operator="lessThan">
      <formula>$B$2</formula>
    </cfRule>
  </conditionalFormatting>
  <conditionalFormatting sqref="C16">
    <cfRule type="expression" dxfId="196" priority="36">
      <formula>AND($C16-TODAY()&lt;30,TODAY()&lt;$C16)</formula>
    </cfRule>
  </conditionalFormatting>
  <conditionalFormatting sqref="C16">
    <cfRule type="cellIs" dxfId="195" priority="37" stopIfTrue="1" operator="lessThan">
      <formula>$B$2</formula>
    </cfRule>
  </conditionalFormatting>
  <conditionalFormatting sqref="B16">
    <cfRule type="cellIs" dxfId="194" priority="35" stopIfTrue="1" operator="equal">
      <formula>"已过期"</formula>
    </cfRule>
  </conditionalFormatting>
  <conditionalFormatting sqref="C14:C15">
    <cfRule type="expression" dxfId="193" priority="33">
      <formula>AND($C14-TODAY()&lt;30,TODAY()&lt;$C14)</formula>
    </cfRule>
  </conditionalFormatting>
  <conditionalFormatting sqref="C14:C15">
    <cfRule type="cellIs" dxfId="192" priority="34" stopIfTrue="1" operator="lessThan">
      <formula>$B$2</formula>
    </cfRule>
  </conditionalFormatting>
  <conditionalFormatting sqref="C14">
    <cfRule type="expression" dxfId="191" priority="31">
      <formula>AND($C14-TODAY()&lt;30,TODAY()&lt;$C14)</formula>
    </cfRule>
  </conditionalFormatting>
  <conditionalFormatting sqref="C14">
    <cfRule type="cellIs" dxfId="190" priority="32" stopIfTrue="1" operator="lessThan">
      <formula>$B$2</formula>
    </cfRule>
  </conditionalFormatting>
  <conditionalFormatting sqref="C15">
    <cfRule type="expression" dxfId="189" priority="29">
      <formula>AND($C15-TODAY()&lt;30,TODAY()&lt;$C15)</formula>
    </cfRule>
  </conditionalFormatting>
  <conditionalFormatting sqref="C15">
    <cfRule type="cellIs" dxfId="188" priority="30" stopIfTrue="1" operator="lessThan">
      <formula>$B$2</formula>
    </cfRule>
  </conditionalFormatting>
  <conditionalFormatting sqref="B14">
    <cfRule type="cellIs" dxfId="187" priority="28" stopIfTrue="1" operator="equal">
      <formula>"已过期"</formula>
    </cfRule>
  </conditionalFormatting>
  <conditionalFormatting sqref="B15">
    <cfRule type="cellIs" dxfId="186" priority="27" stopIfTrue="1" operator="equal">
      <formula>"已过期"</formula>
    </cfRule>
  </conditionalFormatting>
  <conditionalFormatting sqref="A15">
    <cfRule type="cellIs" dxfId="185" priority="26" stopIfTrue="1" operator="equal">
      <formula>"已过期"</formula>
    </cfRule>
  </conditionalFormatting>
  <conditionalFormatting sqref="C15">
    <cfRule type="expression" dxfId="184" priority="25">
      <formula>AND($C15-TODAY()&lt;30,TODAY()&lt;$C15)</formula>
    </cfRule>
  </conditionalFormatting>
  <conditionalFormatting sqref="F16">
    <cfRule type="cellIs" dxfId="183" priority="24" stopIfTrue="1" operator="lessThan">
      <formula>$B$2</formula>
    </cfRule>
  </conditionalFormatting>
  <conditionalFormatting sqref="E16 E14">
    <cfRule type="cellIs" dxfId="182" priority="23" stopIfTrue="1" operator="equal">
      <formula>"已过期"</formula>
    </cfRule>
  </conditionalFormatting>
  <conditionalFormatting sqref="E15">
    <cfRule type="cellIs" dxfId="181" priority="22" stopIfTrue="1" operator="equal">
      <formula>"已过期"</formula>
    </cfRule>
  </conditionalFormatting>
  <conditionalFormatting sqref="D15">
    <cfRule type="cellIs" dxfId="180" priority="21" stopIfTrue="1" operator="equal">
      <formula>"已过期"</formula>
    </cfRule>
  </conditionalFormatting>
  <conditionalFormatting sqref="F17">
    <cfRule type="cellIs" dxfId="179" priority="20" stopIfTrue="1" operator="lessThan">
      <formula>$B$2</formula>
    </cfRule>
  </conditionalFormatting>
  <conditionalFormatting sqref="E17">
    <cfRule type="cellIs" dxfId="178" priority="19" stopIfTrue="1" operator="equal">
      <formula>"已过期"</formula>
    </cfRule>
  </conditionalFormatting>
  <conditionalFormatting sqref="F14">
    <cfRule type="cellIs" dxfId="177" priority="18" stopIfTrue="1" operator="lessThan">
      <formula>$B$2</formula>
    </cfRule>
  </conditionalFormatting>
  <conditionalFormatting sqref="C18">
    <cfRule type="expression" dxfId="176" priority="16">
      <formula>AND($C18-TODAY()&lt;30,TODAY()&lt;$C18)</formula>
    </cfRule>
  </conditionalFormatting>
  <conditionalFormatting sqref="C18">
    <cfRule type="cellIs" dxfId="175" priority="17" stopIfTrue="1" operator="lessThan">
      <formula>$B$2</formula>
    </cfRule>
  </conditionalFormatting>
  <conditionalFormatting sqref="C18">
    <cfRule type="expression" dxfId="174" priority="14">
      <formula>AND($C18-TODAY()&lt;30,TODAY()&lt;$C18)</formula>
    </cfRule>
  </conditionalFormatting>
  <conditionalFormatting sqref="C18">
    <cfRule type="cellIs" dxfId="173" priority="15" stopIfTrue="1" operator="lessThan">
      <formula>$B$2</formula>
    </cfRule>
  </conditionalFormatting>
  <conditionalFormatting sqref="B18">
    <cfRule type="cellIs" dxfId="172" priority="13" stopIfTrue="1" operator="equal">
      <formula>"已过期"</formula>
    </cfRule>
  </conditionalFormatting>
  <conditionalFormatting sqref="C28">
    <cfRule type="expression" dxfId="171" priority="11">
      <formula>AND($C28-TODAY()&lt;30,TODAY()&lt;$C28)</formula>
    </cfRule>
  </conditionalFormatting>
  <conditionalFormatting sqref="C28">
    <cfRule type="cellIs" dxfId="170" priority="12" stopIfTrue="1" operator="lessThan">
      <formula>$B$2</formula>
    </cfRule>
  </conditionalFormatting>
  <conditionalFormatting sqref="C4">
    <cfRule type="expression" dxfId="169" priority="9">
      <formula>AND($C4-TODAY()&lt;30,TODAY()&lt;$C4)</formula>
    </cfRule>
  </conditionalFormatting>
  <conditionalFormatting sqref="C4">
    <cfRule type="cellIs" dxfId="168" priority="10" stopIfTrue="1" operator="lessThan">
      <formula>$B$2</formula>
    </cfRule>
  </conditionalFormatting>
  <conditionalFormatting sqref="C8">
    <cfRule type="expression" dxfId="167" priority="7">
      <formula>AND($C8-TODAY()&lt;30,TODAY()&lt;$C8)</formula>
    </cfRule>
  </conditionalFormatting>
  <conditionalFormatting sqref="C8">
    <cfRule type="cellIs" dxfId="166" priority="8" stopIfTrue="1" operator="lessThan">
      <formula>$B$2</formula>
    </cfRule>
  </conditionalFormatting>
  <conditionalFormatting sqref="C9">
    <cfRule type="expression" dxfId="165" priority="5">
      <formula>AND($C9-TODAY()&lt;30,TODAY()&lt;$C9)</formula>
    </cfRule>
  </conditionalFormatting>
  <conditionalFormatting sqref="C9">
    <cfRule type="cellIs" dxfId="164" priority="6" stopIfTrue="1" operator="lessThan">
      <formula>$B$2</formula>
    </cfRule>
  </conditionalFormatting>
  <conditionalFormatting sqref="C23">
    <cfRule type="expression" dxfId="163" priority="3">
      <formula>AND($C23-TODAY()&lt;30,TODAY()&lt;$C23)</formula>
    </cfRule>
  </conditionalFormatting>
  <conditionalFormatting sqref="C23">
    <cfRule type="cellIs" dxfId="162" priority="4" stopIfTrue="1" operator="lessThan">
      <formula>$B$2</formula>
    </cfRule>
  </conditionalFormatting>
  <conditionalFormatting sqref="C23">
    <cfRule type="expression" dxfId="161" priority="1">
      <formula>AND($C23-TODAY()&lt;30,TODAY()&lt;$C23)</formula>
    </cfRule>
  </conditionalFormatting>
  <conditionalFormatting sqref="C23">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29" sqref="A29"/>
    </sheetView>
  </sheetViews>
  <sheetFormatPr defaultColWidth="9" defaultRowHeight="13.5"/>
  <cols>
    <col min="1" max="1" width="13.5" style="2012" customWidth="1"/>
    <col min="2" max="2" width="23.25" style="1963" customWidth="1"/>
    <col min="3" max="3" width="13" style="2007" customWidth="1"/>
    <col min="4" max="4" width="5.75" style="2004" customWidth="1"/>
    <col min="5" max="5" width="7.125" style="2004" customWidth="1"/>
    <col min="6" max="6" width="10.625" style="2004" customWidth="1"/>
    <col min="7" max="7" width="7.5" style="2004" customWidth="1"/>
    <col min="8" max="8" width="9" style="2007" customWidth="1"/>
    <col min="9" max="9" width="11.625" style="2007" customWidth="1"/>
    <col min="10" max="10" width="9" style="2007" customWidth="1"/>
    <col min="11" max="19" width="9" style="2004" customWidth="1"/>
    <col min="20" max="23" width="9" style="2007" customWidth="1"/>
    <col min="24" max="24" width="21.125" style="1963" customWidth="1"/>
    <col min="25" max="16384" width="9" style="1963"/>
  </cols>
  <sheetData>
    <row r="1" spans="1:23" s="2001" customFormat="1" ht="27">
      <c r="A1" s="1995" t="s">
        <v>71</v>
      </c>
      <c r="B1" s="1996" t="s">
        <v>1684</v>
      </c>
      <c r="C1" s="1997" t="s">
        <v>759</v>
      </c>
      <c r="D1" s="1998" t="s">
        <v>1685</v>
      </c>
      <c r="E1" s="1998" t="s">
        <v>1686</v>
      </c>
      <c r="F1" s="1998" t="s">
        <v>1687</v>
      </c>
      <c r="G1" s="1998" t="s">
        <v>1688</v>
      </c>
      <c r="H1" s="1998" t="s">
        <v>1689</v>
      </c>
      <c r="I1" s="1998" t="s">
        <v>1690</v>
      </c>
      <c r="J1" s="1998" t="s">
        <v>1691</v>
      </c>
      <c r="K1" s="1998" t="s">
        <v>1692</v>
      </c>
      <c r="L1" s="1998" t="s">
        <v>1693</v>
      </c>
      <c r="M1" s="1998" t="s">
        <v>1694</v>
      </c>
      <c r="N1" s="1998" t="s">
        <v>1695</v>
      </c>
      <c r="O1" s="1998" t="s">
        <v>1696</v>
      </c>
      <c r="P1" s="1999" t="s">
        <v>753</v>
      </c>
      <c r="Q1" s="1999" t="s">
        <v>1140</v>
      </c>
      <c r="R1" s="1998" t="s">
        <v>1134</v>
      </c>
      <c r="S1" s="1998" t="s">
        <v>1697</v>
      </c>
      <c r="T1" s="2000" t="s">
        <v>1698</v>
      </c>
      <c r="U1" s="1998" t="s">
        <v>1699</v>
      </c>
      <c r="V1" s="1998" t="s">
        <v>1700</v>
      </c>
      <c r="W1" s="1998" t="s">
        <v>755</v>
      </c>
    </row>
    <row r="2" spans="1:23">
      <c r="A2" s="2002" t="s">
        <v>22</v>
      </c>
      <c r="B2" s="2002" t="s">
        <v>1701</v>
      </c>
      <c r="C2" s="2003" t="s">
        <v>760</v>
      </c>
      <c r="D2" s="2004" t="s">
        <v>1702</v>
      </c>
      <c r="E2" s="2004" t="s">
        <v>1703</v>
      </c>
      <c r="F2" s="2004" t="s">
        <v>1704</v>
      </c>
      <c r="G2" s="2004">
        <v>40</v>
      </c>
      <c r="H2" s="2004" t="s">
        <v>1704</v>
      </c>
      <c r="I2" s="2004" t="s">
        <v>1705</v>
      </c>
      <c r="J2" s="2004" t="s">
        <v>1706</v>
      </c>
      <c r="K2" s="2004" t="s">
        <v>1707</v>
      </c>
      <c r="L2" s="2004" t="s">
        <v>1707</v>
      </c>
      <c r="M2" s="2004" t="s">
        <v>1707</v>
      </c>
      <c r="N2" s="2004" t="s">
        <v>1707</v>
      </c>
      <c r="O2" s="2004" t="s">
        <v>1707</v>
      </c>
      <c r="P2" s="2004" t="s">
        <v>1707</v>
      </c>
      <c r="Q2" s="2004" t="s">
        <v>1707</v>
      </c>
      <c r="R2" s="2004" t="s">
        <v>1136</v>
      </c>
      <c r="S2" s="2004" t="s">
        <v>1707</v>
      </c>
      <c r="T2" s="2004" t="s">
        <v>1708</v>
      </c>
      <c r="U2" s="2004" t="s">
        <v>1707</v>
      </c>
      <c r="V2" s="2004" t="s">
        <v>1709</v>
      </c>
      <c r="W2" s="2004" t="s">
        <v>1707</v>
      </c>
    </row>
    <row r="3" spans="1:23">
      <c r="A3" s="2002" t="s">
        <v>1710</v>
      </c>
      <c r="B3" s="2005" t="s">
        <v>1141</v>
      </c>
      <c r="C3" s="2006" t="s">
        <v>761</v>
      </c>
      <c r="D3" s="2004" t="s">
        <v>1711</v>
      </c>
      <c r="E3" s="2004" t="s">
        <v>16</v>
      </c>
      <c r="F3" s="2004" t="s">
        <v>1712</v>
      </c>
      <c r="G3" s="2004">
        <v>50</v>
      </c>
      <c r="H3" s="2004" t="s">
        <v>1712</v>
      </c>
      <c r="I3" s="2004" t="s">
        <v>1713</v>
      </c>
      <c r="J3" s="2004" t="s">
        <v>1714</v>
      </c>
      <c r="K3" s="2004" t="s">
        <v>1715</v>
      </c>
      <c r="L3" s="2004" t="s">
        <v>1715</v>
      </c>
      <c r="M3" s="2004" t="s">
        <v>1715</v>
      </c>
      <c r="N3" s="2004" t="s">
        <v>1715</v>
      </c>
      <c r="O3" s="2004" t="s">
        <v>1715</v>
      </c>
      <c r="P3" s="2004" t="s">
        <v>1715</v>
      </c>
      <c r="Q3" s="2004" t="s">
        <v>1715</v>
      </c>
      <c r="R3" s="2004" t="s">
        <v>1135</v>
      </c>
      <c r="S3" s="2004" t="s">
        <v>1715</v>
      </c>
      <c r="T3" s="2004" t="s">
        <v>1716</v>
      </c>
      <c r="U3" s="2004" t="s">
        <v>1715</v>
      </c>
      <c r="V3" s="2004" t="s">
        <v>1717</v>
      </c>
      <c r="W3" s="2004" t="s">
        <v>1715</v>
      </c>
    </row>
    <row r="4" spans="1:23">
      <c r="A4" s="2002" t="s">
        <v>1718</v>
      </c>
      <c r="B4" s="2002" t="s">
        <v>1719</v>
      </c>
      <c r="C4" s="2003" t="s">
        <v>762</v>
      </c>
      <c r="D4" s="2004" t="s">
        <v>864</v>
      </c>
      <c r="E4" s="2004" t="s">
        <v>1720</v>
      </c>
      <c r="F4" s="2004" t="s">
        <v>1721</v>
      </c>
      <c r="G4" s="2004">
        <v>70</v>
      </c>
      <c r="H4" s="2004" t="s">
        <v>1721</v>
      </c>
      <c r="I4" s="2004" t="s">
        <v>1722</v>
      </c>
      <c r="K4" s="2004" t="s">
        <v>1723</v>
      </c>
      <c r="L4" s="2004" t="s">
        <v>1723</v>
      </c>
      <c r="M4" s="2004" t="s">
        <v>1723</v>
      </c>
      <c r="N4" s="2004" t="s">
        <v>1723</v>
      </c>
      <c r="O4" s="2004" t="s">
        <v>1723</v>
      </c>
      <c r="P4" s="2004" t="s">
        <v>1723</v>
      </c>
      <c r="Q4" s="2004" t="s">
        <v>1723</v>
      </c>
      <c r="R4" s="2004" t="s">
        <v>1137</v>
      </c>
      <c r="S4" s="2004" t="s">
        <v>1723</v>
      </c>
      <c r="T4" s="2004" t="s">
        <v>1724</v>
      </c>
      <c r="U4" s="2004" t="s">
        <v>1723</v>
      </c>
      <c r="W4" s="2004" t="s">
        <v>1723</v>
      </c>
    </row>
    <row r="5" spans="1:23">
      <c r="A5" s="2002" t="s">
        <v>1725</v>
      </c>
      <c r="B5" s="2002" t="s">
        <v>1726</v>
      </c>
      <c r="C5" s="2003" t="s">
        <v>763</v>
      </c>
      <c r="F5" s="2004" t="s">
        <v>1727</v>
      </c>
      <c r="H5" s="2004" t="s">
        <v>1728</v>
      </c>
      <c r="I5" s="2004" t="s">
        <v>1729</v>
      </c>
      <c r="K5" s="2004" t="s">
        <v>1730</v>
      </c>
      <c r="L5" s="2004" t="s">
        <v>1730</v>
      </c>
      <c r="M5" s="2004" t="s">
        <v>1730</v>
      </c>
      <c r="N5" s="2004" t="s">
        <v>1730</v>
      </c>
      <c r="O5" s="2004" t="s">
        <v>1730</v>
      </c>
      <c r="P5" s="2004" t="s">
        <v>1730</v>
      </c>
      <c r="Q5" s="2004" t="s">
        <v>1730</v>
      </c>
      <c r="R5" s="2004" t="s">
        <v>1138</v>
      </c>
      <c r="S5" s="2004" t="s">
        <v>1730</v>
      </c>
      <c r="T5" s="2004" t="s">
        <v>1731</v>
      </c>
      <c r="U5" s="2004" t="s">
        <v>1730</v>
      </c>
      <c r="W5" s="2004" t="s">
        <v>1730</v>
      </c>
    </row>
    <row r="6" spans="1:23">
      <c r="A6" s="2002" t="s">
        <v>1732</v>
      </c>
      <c r="B6" s="2005" t="s">
        <v>1142</v>
      </c>
      <c r="C6" s="2008" t="s">
        <v>30</v>
      </c>
      <c r="F6" s="2004" t="s">
        <v>1728</v>
      </c>
      <c r="H6" s="2004" t="s">
        <v>1733</v>
      </c>
      <c r="I6" s="2004" t="s">
        <v>1734</v>
      </c>
      <c r="K6" s="2004" t="s">
        <v>1735</v>
      </c>
      <c r="L6" s="2004" t="s">
        <v>1735</v>
      </c>
      <c r="M6" s="2004" t="s">
        <v>1735</v>
      </c>
      <c r="N6" s="2004" t="s">
        <v>1735</v>
      </c>
      <c r="O6" s="2004" t="s">
        <v>1735</v>
      </c>
      <c r="P6" s="2004" t="s">
        <v>1735</v>
      </c>
      <c r="Q6" s="2004" t="s">
        <v>1735</v>
      </c>
      <c r="R6" s="2004" t="s">
        <v>1139</v>
      </c>
      <c r="S6" s="2004" t="s">
        <v>1735</v>
      </c>
      <c r="T6" s="2004"/>
      <c r="U6" s="2004" t="s">
        <v>1735</v>
      </c>
      <c r="W6" s="2004" t="s">
        <v>1735</v>
      </c>
    </row>
    <row r="7" spans="1:23">
      <c r="A7" s="2002" t="s">
        <v>1736</v>
      </c>
      <c r="B7" s="2005" t="s">
        <v>1143</v>
      </c>
      <c r="C7" s="2003" t="s">
        <v>31</v>
      </c>
      <c r="F7" s="2004" t="s">
        <v>1737</v>
      </c>
      <c r="H7" s="2004" t="s">
        <v>1738</v>
      </c>
      <c r="I7" s="2004" t="s">
        <v>1739</v>
      </c>
    </row>
    <row r="8" spans="1:23">
      <c r="A8" s="2002" t="s">
        <v>1740</v>
      </c>
      <c r="B8" s="2002" t="s">
        <v>1741</v>
      </c>
      <c r="C8" s="2003" t="s">
        <v>764</v>
      </c>
      <c r="F8" s="2004" t="s">
        <v>1742</v>
      </c>
      <c r="H8" s="2004"/>
      <c r="I8" s="2004" t="s">
        <v>1743</v>
      </c>
    </row>
    <row r="9" spans="1:23">
      <c r="A9" s="2002" t="s">
        <v>1744</v>
      </c>
      <c r="B9" s="2002" t="s">
        <v>1745</v>
      </c>
      <c r="C9" s="2003" t="s">
        <v>765</v>
      </c>
      <c r="F9" s="2004" t="s">
        <v>1746</v>
      </c>
      <c r="H9" s="2004"/>
    </row>
    <row r="10" spans="1:23">
      <c r="A10" s="2002" t="s">
        <v>1747</v>
      </c>
      <c r="B10" s="2002" t="s">
        <v>1748</v>
      </c>
      <c r="C10" s="2003" t="s">
        <v>766</v>
      </c>
      <c r="F10" s="2004" t="s">
        <v>16</v>
      </c>
    </row>
    <row r="11" spans="1:23">
      <c r="A11" s="2002" t="s">
        <v>1749</v>
      </c>
      <c r="B11" s="2002" t="s">
        <v>1750</v>
      </c>
      <c r="C11" s="2003" t="s">
        <v>767</v>
      </c>
    </row>
    <row r="12" spans="1:23">
      <c r="A12" s="2002" t="s">
        <v>1751</v>
      </c>
      <c r="B12" s="2002" t="s">
        <v>1752</v>
      </c>
      <c r="C12" s="2003" t="s">
        <v>768</v>
      </c>
    </row>
    <row r="13" spans="1:23">
      <c r="A13" s="2002" t="s">
        <v>1753</v>
      </c>
      <c r="B13" s="2002" t="s">
        <v>1754</v>
      </c>
      <c r="C13" s="2003" t="s">
        <v>769</v>
      </c>
    </row>
    <row r="14" spans="1:23">
      <c r="A14" s="2002" t="s">
        <v>1755</v>
      </c>
      <c r="B14" s="2002" t="s">
        <v>1756</v>
      </c>
      <c r="C14" s="2004" t="s">
        <v>16</v>
      </c>
    </row>
    <row r="15" spans="1:23">
      <c r="A15" s="2002" t="s">
        <v>1757</v>
      </c>
      <c r="B15" s="2002" t="s">
        <v>1758</v>
      </c>
      <c r="C15" s="2003"/>
    </row>
    <row r="16" spans="1:23">
      <c r="A16" s="2002" t="s">
        <v>1759</v>
      </c>
      <c r="B16" s="2002" t="s">
        <v>756</v>
      </c>
      <c r="C16" s="2003"/>
    </row>
    <row r="17" spans="1:3">
      <c r="A17" s="2002" t="s">
        <v>1760</v>
      </c>
      <c r="B17" s="2002" t="s">
        <v>757</v>
      </c>
      <c r="C17" s="2003"/>
    </row>
    <row r="18" spans="1:3">
      <c r="A18" s="2002" t="s">
        <v>1761</v>
      </c>
      <c r="B18" s="2002" t="s">
        <v>757</v>
      </c>
      <c r="C18" s="2003"/>
    </row>
    <row r="19" spans="1:3">
      <c r="A19" s="2002" t="s">
        <v>1762</v>
      </c>
      <c r="B19" s="2002" t="s">
        <v>757</v>
      </c>
      <c r="C19" s="2003"/>
    </row>
    <row r="20" spans="1:3">
      <c r="A20" s="2002" t="s">
        <v>1763</v>
      </c>
      <c r="B20" s="2002" t="s">
        <v>757</v>
      </c>
      <c r="C20" s="2003"/>
    </row>
    <row r="21" spans="1:3">
      <c r="A21" s="2002" t="s">
        <v>1764</v>
      </c>
      <c r="B21" s="2002" t="s">
        <v>757</v>
      </c>
      <c r="C21" s="2003"/>
    </row>
    <row r="22" spans="1:3">
      <c r="A22" s="2002" t="s">
        <v>1765</v>
      </c>
      <c r="B22" s="2002" t="s">
        <v>757</v>
      </c>
      <c r="C22" s="2003"/>
    </row>
    <row r="23" spans="1:3">
      <c r="A23" s="2002" t="s">
        <v>1766</v>
      </c>
      <c r="B23" s="2002" t="s">
        <v>757</v>
      </c>
      <c r="C23" s="2003"/>
    </row>
    <row r="24" spans="1:3">
      <c r="A24" s="2002" t="s">
        <v>1767</v>
      </c>
      <c r="B24" s="2002" t="s">
        <v>757</v>
      </c>
      <c r="C24" s="2003"/>
    </row>
    <row r="25" spans="1:3">
      <c r="A25" s="2002" t="s">
        <v>1768</v>
      </c>
      <c r="B25" s="2002" t="s">
        <v>757</v>
      </c>
      <c r="C25" s="2003"/>
    </row>
    <row r="26" spans="1:3">
      <c r="A26" s="2002" t="s">
        <v>1769</v>
      </c>
      <c r="B26" s="2002" t="s">
        <v>757</v>
      </c>
      <c r="C26" s="2003"/>
    </row>
    <row r="27" spans="1:3">
      <c r="A27" s="2002" t="s">
        <v>3312</v>
      </c>
      <c r="B27" s="2002" t="s">
        <v>757</v>
      </c>
      <c r="C27" s="2003"/>
    </row>
    <row r="28" spans="1:3">
      <c r="A28" s="2002" t="s">
        <v>757</v>
      </c>
      <c r="B28" s="2002" t="s">
        <v>757</v>
      </c>
      <c r="C28" s="2003"/>
    </row>
    <row r="29" spans="1:3">
      <c r="A29" s="2002" t="s">
        <v>757</v>
      </c>
      <c r="B29" s="2002" t="s">
        <v>757</v>
      </c>
      <c r="C29" s="2003"/>
    </row>
    <row r="30" spans="1:3">
      <c r="A30" s="2002" t="s">
        <v>757</v>
      </c>
      <c r="B30" s="2002" t="s">
        <v>757</v>
      </c>
      <c r="C30" s="2003"/>
    </row>
    <row r="31" spans="1:3">
      <c r="A31" s="2002" t="s">
        <v>757</v>
      </c>
      <c r="B31" s="2002" t="s">
        <v>757</v>
      </c>
      <c r="C31" s="2003"/>
    </row>
    <row r="32" spans="1:3">
      <c r="A32" s="2002" t="s">
        <v>757</v>
      </c>
      <c r="B32" s="2002" t="s">
        <v>757</v>
      </c>
      <c r="C32" s="2003"/>
    </row>
    <row r="33" spans="1:3">
      <c r="A33" s="2002" t="s">
        <v>757</v>
      </c>
      <c r="B33" s="2002" t="s">
        <v>757</v>
      </c>
      <c r="C33" s="2003"/>
    </row>
    <row r="34" spans="1:3">
      <c r="A34" s="2002" t="s">
        <v>757</v>
      </c>
      <c r="B34" s="2002" t="s">
        <v>757</v>
      </c>
      <c r="C34" s="2003"/>
    </row>
    <row r="35" spans="1:3">
      <c r="A35" s="2002" t="s">
        <v>757</v>
      </c>
      <c r="B35" s="2002" t="s">
        <v>757</v>
      </c>
      <c r="C35" s="2003"/>
    </row>
    <row r="36" spans="1:3">
      <c r="A36" s="2002" t="s">
        <v>757</v>
      </c>
      <c r="B36" s="2002" t="s">
        <v>757</v>
      </c>
      <c r="C36" s="2003"/>
    </row>
    <row r="37" spans="1:3">
      <c r="A37" s="2002" t="s">
        <v>757</v>
      </c>
      <c r="B37" s="2002" t="s">
        <v>757</v>
      </c>
      <c r="C37" s="2003"/>
    </row>
    <row r="38" spans="1:3">
      <c r="A38" s="2002" t="s">
        <v>757</v>
      </c>
      <c r="B38" s="2002" t="s">
        <v>757</v>
      </c>
      <c r="C38" s="2003"/>
    </row>
    <row r="39" spans="1:3">
      <c r="A39" s="2002" t="s">
        <v>757</v>
      </c>
      <c r="B39" s="2002" t="s">
        <v>757</v>
      </c>
      <c r="C39" s="2003"/>
    </row>
    <row r="40" spans="1:3">
      <c r="A40" s="2002" t="s">
        <v>757</v>
      </c>
      <c r="B40" s="2002" t="s">
        <v>757</v>
      </c>
      <c r="C40" s="2003"/>
    </row>
    <row r="41" spans="1:3">
      <c r="A41" s="2002" t="s">
        <v>757</v>
      </c>
      <c r="B41" s="2002" t="s">
        <v>757</v>
      </c>
      <c r="C41" s="2003"/>
    </row>
    <row r="42" spans="1:3">
      <c r="A42" s="2002" t="s">
        <v>757</v>
      </c>
      <c r="B42" s="2002" t="s">
        <v>757</v>
      </c>
      <c r="C42" s="2003"/>
    </row>
    <row r="43" spans="1:3">
      <c r="A43" s="2002" t="s">
        <v>757</v>
      </c>
      <c r="B43" s="2002" t="s">
        <v>757</v>
      </c>
      <c r="C43" s="2003"/>
    </row>
    <row r="44" spans="1:3">
      <c r="A44" s="2002" t="s">
        <v>757</v>
      </c>
      <c r="B44" s="2002" t="s">
        <v>757</v>
      </c>
      <c r="C44" s="2003"/>
    </row>
    <row r="45" spans="1:3">
      <c r="A45" s="2002" t="s">
        <v>757</v>
      </c>
      <c r="B45" s="2002" t="s">
        <v>757</v>
      </c>
      <c r="C45" s="2003"/>
    </row>
    <row r="46" spans="1:3">
      <c r="A46" s="2002" t="s">
        <v>757</v>
      </c>
      <c r="B46" s="2002" t="s">
        <v>757</v>
      </c>
      <c r="C46" s="2003"/>
    </row>
    <row r="47" spans="1:3">
      <c r="A47" s="2002" t="s">
        <v>757</v>
      </c>
      <c r="B47" s="2002" t="s">
        <v>757</v>
      </c>
      <c r="C47" s="2003"/>
    </row>
    <row r="48" spans="1:3">
      <c r="A48" s="2002" t="s">
        <v>757</v>
      </c>
      <c r="B48" s="2002" t="s">
        <v>757</v>
      </c>
      <c r="C48" s="2003"/>
    </row>
    <row r="49" spans="1:4">
      <c r="A49" s="2002" t="s">
        <v>757</v>
      </c>
      <c r="B49" s="2002" t="s">
        <v>757</v>
      </c>
      <c r="C49" s="2003"/>
    </row>
    <row r="50" spans="1:4">
      <c r="A50" s="2002" t="s">
        <v>757</v>
      </c>
      <c r="B50" s="2002" t="s">
        <v>757</v>
      </c>
      <c r="C50" s="2003"/>
    </row>
    <row r="51" spans="1:4">
      <c r="A51" s="2009" t="s">
        <v>853</v>
      </c>
      <c r="B51" s="2010" t="str">
        <f>"为估价委托人在向"&amp;项目基本情况!B6&amp;"办理贷款手续过程中，确定房地产抵押贷款额度提供参考依据而评估房地产抵押价值。"</f>
        <v>为估价委托人在向中国农业银行股份有限公司北京房山支行办理贷款手续过程中，确定房地产抵押贷款额度提供参考依据而评估房地产抵押价值。</v>
      </c>
      <c r="C51" s="20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山区青龙湖中心区01-0010地块R2二类居住用地出让国有建设用地使用权及在建建筑物房地产作为抵押担保物，向中国农业银行股份有限公司北京房山支行办理贷款手续。中国农业银行股份有限公司北京房山支行特委托北京康正宏基房地产评估有限公司对上述抵押物进行评估。本次评估为确定房地产抵押贷款额度提供参考依据而评估房地产抵押价值。</v>
      </c>
      <c r="D51" s="2010" t="s">
        <v>1279</v>
      </c>
    </row>
    <row r="52" spans="1:4">
      <c r="A52" s="2009" t="s">
        <v>854</v>
      </c>
      <c r="B52" s="2009" t="s">
        <v>855</v>
      </c>
      <c r="C52" s="2007" t="s">
        <v>856</v>
      </c>
      <c r="D52" s="2007" t="s">
        <v>857</v>
      </c>
    </row>
    <row r="53" spans="1:4">
      <c r="A53" s="3032" t="s">
        <v>858</v>
      </c>
      <c r="B53" s="2010" t="s">
        <v>859</v>
      </c>
      <c r="C53" s="20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2"/>
      <c r="B54" s="2010" t="s">
        <v>860</v>
      </c>
      <c r="C54" s="2007" t="s">
        <v>1276</v>
      </c>
    </row>
    <row r="55" spans="1:4">
      <c r="A55" s="3032"/>
      <c r="B55" s="2010" t="s">
        <v>861</v>
      </c>
      <c r="C55" s="2007" t="s">
        <v>1277</v>
      </c>
    </row>
    <row r="56" spans="1:4">
      <c r="A56" s="3032"/>
      <c r="B56" s="2010" t="s">
        <v>862</v>
      </c>
      <c r="C56" s="2007" t="s">
        <v>1281</v>
      </c>
    </row>
    <row r="57" spans="1:4">
      <c r="A57" s="3032"/>
      <c r="B57" s="2010" t="s">
        <v>863</v>
      </c>
      <c r="C57" s="2007" t="s">
        <v>1278</v>
      </c>
    </row>
    <row r="58" spans="1:4">
      <c r="A58" s="2011"/>
      <c r="B58" s="2007"/>
    </row>
    <row r="59" spans="1:4">
      <c r="A59" s="2011"/>
      <c r="B59" s="2007"/>
    </row>
    <row r="60" spans="1:4">
      <c r="A60" s="2011"/>
      <c r="B60" s="2007"/>
    </row>
    <row r="61" spans="1:4">
      <c r="A61" s="2011"/>
      <c r="B61" s="2007"/>
    </row>
    <row r="62" spans="1:4">
      <c r="A62" s="2011"/>
      <c r="B62" s="2007"/>
    </row>
    <row r="63" spans="1:4">
      <c r="A63" s="2011"/>
      <c r="B63" s="2007"/>
    </row>
    <row r="64" spans="1:4">
      <c r="A64" s="2011"/>
      <c r="B64" s="2007"/>
    </row>
    <row r="65" spans="1:2">
      <c r="A65" s="2011"/>
      <c r="B65" s="2007"/>
    </row>
    <row r="66" spans="1:2">
      <c r="A66" s="2011"/>
      <c r="B66" s="2007"/>
    </row>
    <row r="67" spans="1:2">
      <c r="A67" s="2011"/>
      <c r="B67" s="2007"/>
    </row>
    <row r="68" spans="1:2">
      <c r="A68" s="2011"/>
      <c r="B68" s="2007"/>
    </row>
    <row r="69" spans="1:2">
      <c r="A69" s="2011"/>
      <c r="B69" s="2007"/>
    </row>
    <row r="70" spans="1:2">
      <c r="A70" s="2011"/>
      <c r="B70" s="2007"/>
    </row>
    <row r="71" spans="1:2">
      <c r="A71" s="2011"/>
      <c r="B71" s="2007"/>
    </row>
    <row r="72" spans="1:2">
      <c r="A72" s="2011"/>
      <c r="B72" s="2007"/>
    </row>
    <row r="73" spans="1:2">
      <c r="A73" s="2011"/>
      <c r="B73" s="2007"/>
    </row>
    <row r="74" spans="1:2">
      <c r="A74" s="2011"/>
      <c r="B74" s="2007"/>
    </row>
    <row r="75" spans="1:2">
      <c r="A75" s="2011"/>
      <c r="B75" s="2007"/>
    </row>
    <row r="76" spans="1:2">
      <c r="A76" s="2011"/>
      <c r="B76" s="2007"/>
    </row>
    <row r="77" spans="1:2">
      <c r="A77" s="2011"/>
      <c r="B77" s="2007"/>
    </row>
    <row r="78" spans="1:2">
      <c r="A78" s="2011"/>
      <c r="B78" s="2007"/>
    </row>
    <row r="79" spans="1:2">
      <c r="A79" s="2011"/>
      <c r="B79" s="2007"/>
    </row>
    <row r="80" spans="1:2">
      <c r="A80" s="2011"/>
      <c r="B80" s="2007"/>
    </row>
    <row r="81" spans="1:2">
      <c r="A81" s="2011"/>
      <c r="B81" s="2007"/>
    </row>
    <row r="82" spans="1:2">
      <c r="A82" s="2011"/>
      <c r="B82" s="2007"/>
    </row>
    <row r="83" spans="1:2">
      <c r="A83" s="2011"/>
      <c r="B83" s="2007"/>
    </row>
    <row r="84" spans="1:2">
      <c r="A84" s="2011"/>
      <c r="B84" s="2007"/>
    </row>
    <row r="85" spans="1:2">
      <c r="A85" s="2011"/>
      <c r="B85" s="2007"/>
    </row>
    <row r="86" spans="1:2">
      <c r="A86" s="2011"/>
      <c r="B86" s="2007"/>
    </row>
    <row r="87" spans="1:2">
      <c r="A87" s="2011"/>
      <c r="B87" s="2007"/>
    </row>
    <row r="88" spans="1:2">
      <c r="A88" s="2011"/>
      <c r="B88" s="2007"/>
    </row>
    <row r="89" spans="1:2">
      <c r="A89" s="2011"/>
      <c r="B89" s="2007"/>
    </row>
    <row r="90" spans="1:2">
      <c r="A90" s="2011"/>
      <c r="B90" s="2007"/>
    </row>
    <row r="91" spans="1:2">
      <c r="A91" s="2011"/>
      <c r="B91" s="2007"/>
    </row>
    <row r="92" spans="1:2">
      <c r="A92" s="2011"/>
      <c r="B92" s="2007"/>
    </row>
    <row r="93" spans="1:2">
      <c r="A93" s="2011"/>
      <c r="B93" s="2007"/>
    </row>
    <row r="94" spans="1:2">
      <c r="A94" s="2011"/>
      <c r="B94" s="2007"/>
    </row>
    <row r="95" spans="1:2">
      <c r="A95" s="2011"/>
      <c r="B95" s="2007"/>
    </row>
    <row r="96" spans="1:2">
      <c r="A96" s="2011"/>
      <c r="B96" s="2007"/>
    </row>
    <row r="97" spans="1:2">
      <c r="A97" s="2011"/>
      <c r="B97" s="2007"/>
    </row>
    <row r="98" spans="1:2">
      <c r="A98" s="2011"/>
      <c r="B98" s="2007"/>
    </row>
    <row r="99" spans="1:2">
      <c r="A99" s="2011"/>
      <c r="B99" s="2007"/>
    </row>
    <row r="100" spans="1:2">
      <c r="A100" s="2011"/>
      <c r="B100" s="2007"/>
    </row>
    <row r="101" spans="1:2">
      <c r="A101" s="2011"/>
      <c r="B101" s="2007"/>
    </row>
    <row r="102" spans="1:2">
      <c r="A102" s="2011"/>
      <c r="B102" s="2007"/>
    </row>
    <row r="103" spans="1:2">
      <c r="A103" s="2011"/>
      <c r="B103" s="2007"/>
    </row>
    <row r="104" spans="1:2">
      <c r="A104" s="2011"/>
      <c r="B104" s="2007"/>
    </row>
    <row r="105" spans="1:2">
      <c r="A105" s="2011"/>
      <c r="B105" s="2007"/>
    </row>
    <row r="106" spans="1:2">
      <c r="A106" s="2011"/>
      <c r="B106" s="2007"/>
    </row>
    <row r="107" spans="1:2">
      <c r="A107" s="2011"/>
      <c r="B107" s="2007"/>
    </row>
    <row r="108" spans="1:2">
      <c r="A108" s="2011"/>
      <c r="B108" s="2007"/>
    </row>
    <row r="109" spans="1:2">
      <c r="A109" s="2011"/>
      <c r="B109" s="2007"/>
    </row>
    <row r="110" spans="1:2">
      <c r="A110" s="2011"/>
      <c r="B110" s="2007"/>
    </row>
    <row r="111" spans="1:2">
      <c r="A111" s="2011"/>
      <c r="B111" s="2007"/>
    </row>
    <row r="112" spans="1:2">
      <c r="A112" s="2011"/>
      <c r="B112" s="2007"/>
    </row>
    <row r="113" spans="1:2">
      <c r="A113" s="2011"/>
      <c r="B113" s="2007"/>
    </row>
    <row r="114" spans="1:2">
      <c r="A114" s="2011"/>
      <c r="B114" s="2007"/>
    </row>
    <row r="115" spans="1:2">
      <c r="A115" s="2011"/>
      <c r="B115" s="2007"/>
    </row>
    <row r="116" spans="1:2">
      <c r="A116" s="2011"/>
      <c r="B116" s="2007"/>
    </row>
    <row r="117" spans="1:2">
      <c r="A117" s="2011"/>
      <c r="B117" s="2007"/>
    </row>
    <row r="118" spans="1:2">
      <c r="A118" s="2011"/>
      <c r="B118" s="2007"/>
    </row>
    <row r="119" spans="1:2">
      <c r="A119" s="2011"/>
      <c r="B119" s="2007"/>
    </row>
    <row r="120" spans="1:2">
      <c r="A120" s="2011"/>
      <c r="B120" s="2007"/>
    </row>
    <row r="121" spans="1:2">
      <c r="A121" s="2011"/>
      <c r="B121" s="2007"/>
    </row>
    <row r="122" spans="1:2">
      <c r="A122" s="2011"/>
      <c r="B122" s="2007"/>
    </row>
    <row r="123" spans="1:2">
      <c r="A123" s="2011"/>
      <c r="B123" s="2007"/>
    </row>
    <row r="124" spans="1:2">
      <c r="A124" s="2011"/>
      <c r="B124" s="2007"/>
    </row>
    <row r="125" spans="1:2">
      <c r="A125" s="2011"/>
      <c r="B125" s="2007"/>
    </row>
    <row r="126" spans="1:2">
      <c r="A126" s="2011"/>
      <c r="B126" s="2007"/>
    </row>
    <row r="127" spans="1:2">
      <c r="A127" s="2011"/>
      <c r="B127" s="200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23" sqref="L23"/>
    </sheetView>
  </sheetViews>
  <sheetFormatPr defaultColWidth="10" defaultRowHeight="18" customHeight="1"/>
  <cols>
    <col min="1" max="1" width="14.875" style="2020" customWidth="1"/>
    <col min="2" max="2" width="10" style="2020" customWidth="1"/>
    <col min="3" max="3" width="11.5" style="2020" customWidth="1"/>
    <col min="4" max="6" width="10" style="2020" customWidth="1"/>
    <col min="7" max="7" width="10.75" style="2020" customWidth="1"/>
    <col min="8" max="8" width="10" style="2020" customWidth="1"/>
    <col min="9" max="9" width="11.125" style="2145" customWidth="1"/>
    <col min="10" max="10" width="10" style="2020" customWidth="1"/>
    <col min="11" max="11" width="10" style="2146" customWidth="1"/>
    <col min="12" max="13" width="10" style="2147" customWidth="1"/>
    <col min="14" max="14" width="10" style="2020" customWidth="1"/>
    <col min="15" max="15" width="10" style="2145" customWidth="1"/>
    <col min="16" max="17" width="10" style="2020"/>
    <col min="18" max="18" width="10" style="2020" customWidth="1"/>
    <col min="19" max="16384" width="10" style="2020"/>
  </cols>
  <sheetData>
    <row r="1" spans="1:19" ht="38.25" customHeight="1" thickBot="1">
      <c r="A1" s="2013" t="s">
        <v>1770</v>
      </c>
      <c r="B1" s="3033" t="str">
        <f>IF(B10="北京市","北京市",C10)&amp;F10&amp;IF(结果表!G1="在建","出让国有建设用地使用权及在建建筑物",IF(结果表!G1="土地","出让国有建设用地使用权",))&amp;B9&amp;"预评估"</f>
        <v>北京市房山区青龙湖中心区01-0010地块R2二类居住用地出让国有建设用地使用权及在建建筑物房地产抵押价值预评估</v>
      </c>
      <c r="C1" s="3034"/>
      <c r="D1" s="3034"/>
      <c r="E1" s="3034"/>
      <c r="F1" s="3034"/>
      <c r="G1" s="3034"/>
      <c r="H1" s="3034"/>
      <c r="I1" s="3035"/>
      <c r="J1" s="2014"/>
      <c r="K1" s="2015"/>
      <c r="L1" s="2016"/>
      <c r="M1" s="2016"/>
      <c r="N1" s="2017"/>
      <c r="O1" s="2018"/>
      <c r="P1" s="2017"/>
      <c r="Q1" s="2017"/>
      <c r="R1" s="2017"/>
      <c r="S1" s="2019" t="str">
        <f>IF(B10="北京市","北京市",C10)&amp;F10&amp;IF(结果表!G1="在建","出让国有建设用地使用权及在建建筑物房地产抵押价值",IF(结果表!G1="土地","出让国有建设用地使用权抵押价值",B9))</f>
        <v>北京市房山区青龙湖中心区01-0010地块R2二类居住用地出让国有建设用地使用权及在建建筑物房地产抵押价值</v>
      </c>
    </row>
    <row r="2" spans="1:19" ht="18" customHeight="1">
      <c r="A2" s="2014" t="s">
        <v>1771</v>
      </c>
      <c r="B2" s="1038"/>
      <c r="C2" s="2021"/>
      <c r="D2" s="2014"/>
      <c r="E2" s="2022"/>
      <c r="F2" s="2022"/>
      <c r="G2" s="2014"/>
      <c r="H2" s="2014"/>
      <c r="I2" s="2014"/>
      <c r="J2" s="2014"/>
      <c r="K2" s="2015"/>
      <c r="L2" s="2016"/>
      <c r="M2" s="2016"/>
      <c r="N2" s="2017"/>
      <c r="O2" s="2018"/>
      <c r="P2" s="2017"/>
      <c r="Q2" s="2017"/>
      <c r="R2" s="2017"/>
      <c r="S2" s="2019" t="str">
        <f>IF(B10="北京市","北京市",C10)&amp;F10&amp;IF(结果表!G1="在建","出让国有建设用地使用权及在建建筑物房地产",IF(结果表!G1="土地","出让国有建设用地使用权","房地产"))</f>
        <v>北京市房山区青龙湖中心区01-0010地块R2二类居住用地出让国有建设用地使用权及在建建筑物房地产</v>
      </c>
    </row>
    <row r="3" spans="1:19" ht="18" customHeight="1">
      <c r="A3" s="2023" t="s">
        <v>1772</v>
      </c>
      <c r="B3" s="2024">
        <v>43962</v>
      </c>
      <c r="C3" s="2025" t="s">
        <v>1773</v>
      </c>
      <c r="D3" s="2024">
        <f>B3</f>
        <v>43962</v>
      </c>
      <c r="E3" s="2014"/>
      <c r="F3" s="2014"/>
      <c r="G3" s="2014"/>
      <c r="H3" s="2014"/>
      <c r="I3" s="2014"/>
      <c r="J3" s="2014"/>
      <c r="K3" s="2015"/>
      <c r="L3" s="2016"/>
      <c r="M3" s="2016"/>
      <c r="N3" s="2017"/>
      <c r="O3" s="2018"/>
      <c r="P3" s="2017"/>
      <c r="Q3" s="2017"/>
      <c r="R3" s="2017"/>
      <c r="S3" s="2019"/>
    </row>
    <row r="4" spans="1:19" ht="18" customHeight="1" thickBot="1">
      <c r="A4" s="2026" t="s">
        <v>1774</v>
      </c>
      <c r="B4" s="2027" t="s">
        <v>3059</v>
      </c>
      <c r="C4" s="1036">
        <f ca="1">SUMIF(注册房地产估价师,B4,估价师及机构信息!B3:B24)</f>
        <v>1120100036</v>
      </c>
      <c r="D4" s="2027" t="s">
        <v>3060</v>
      </c>
      <c r="E4" s="1037">
        <f ca="1">SUMIF(注册房地产估价师,D4,估价师及机构信息!B3:B24)</f>
        <v>1120070131</v>
      </c>
      <c r="F4" s="2027" t="s">
        <v>70</v>
      </c>
      <c r="G4" s="2028">
        <f>SUMIF(注册房地产估价师,F4,估价师及机构信息!B3:B24)</f>
        <v>0</v>
      </c>
      <c r="H4" s="2027" t="s">
        <v>70</v>
      </c>
      <c r="I4" s="2029">
        <f>SUMIF(注册房地产估价师,H4,估价师及机构信息!B3:B24)</f>
        <v>0</v>
      </c>
      <c r="J4" s="2030"/>
      <c r="K4" s="2031" t="str">
        <f ca="1">CONCATENATE(B4,"（注册号：",C4,")、",D4,"（注册号：",E4,")")</f>
        <v>崔锴（注册号：1120100036)、郑燚（注册号：1120070131)</v>
      </c>
      <c r="L4" s="2016"/>
      <c r="M4" s="2016"/>
      <c r="N4" s="2017"/>
      <c r="O4" s="2018"/>
      <c r="P4" s="2017"/>
      <c r="Q4" s="2017"/>
      <c r="R4" s="2017"/>
      <c r="S4" s="2019"/>
    </row>
    <row r="5" spans="1:19" ht="18" customHeight="1" thickTop="1">
      <c r="A5" s="2032" t="s">
        <v>1775</v>
      </c>
      <c r="B5" s="2951" t="s">
        <v>3057</v>
      </c>
      <c r="C5" s="2033"/>
      <c r="D5" s="2034"/>
      <c r="E5" s="2030"/>
      <c r="F5" s="2030"/>
      <c r="G5" s="2030"/>
      <c r="H5" s="2030"/>
      <c r="I5" s="2030"/>
      <c r="J5" s="2030"/>
      <c r="K5" s="2031" t="str">
        <f>IF(F4="——","",IF(H4="——",F4&amp;"（注册号："&amp;G4&amp;")",CONCATENATE(F4,"（注册号：",G4,")、",H4,"（注册号：",I4,")")))</f>
        <v/>
      </c>
      <c r="L5" s="2016"/>
      <c r="M5" s="2016"/>
      <c r="N5" s="2017"/>
      <c r="O5" s="2018"/>
      <c r="P5" s="2017"/>
      <c r="Q5" s="2017"/>
      <c r="R5" s="2017"/>
    </row>
    <row r="6" spans="1:19" ht="18" customHeight="1">
      <c r="A6" s="2035" t="s">
        <v>1776</v>
      </c>
      <c r="B6" s="2951" t="s">
        <v>3058</v>
      </c>
      <c r="C6" s="2036"/>
      <c r="D6" s="2037"/>
      <c r="E6" s="2022"/>
      <c r="F6" s="2030"/>
      <c r="G6" s="2030"/>
      <c r="H6" s="2030"/>
      <c r="I6" s="2030"/>
      <c r="J6" s="2030"/>
      <c r="K6" s="2038" t="str">
        <f>IF(COUNTIF(B6,"*上海银行*"),"上海银行","")</f>
        <v/>
      </c>
      <c r="L6" s="2016"/>
      <c r="M6" s="2016"/>
      <c r="N6" s="2017"/>
      <c r="O6" s="2018"/>
      <c r="P6" s="2017"/>
      <c r="Q6" s="2017"/>
      <c r="R6" s="2017"/>
    </row>
    <row r="7" spans="1:19" ht="18" customHeight="1">
      <c r="A7" s="2035" t="s">
        <v>1777</v>
      </c>
      <c r="B7" s="2039"/>
      <c r="C7" s="2036"/>
      <c r="D7" s="2037"/>
      <c r="E7" s="2022"/>
      <c r="F7" s="2030"/>
      <c r="G7" s="2030"/>
      <c r="H7" s="2030"/>
      <c r="I7" s="2030"/>
      <c r="J7" s="2030"/>
      <c r="K7" s="2040"/>
      <c r="L7" s="2016"/>
      <c r="M7" s="2016"/>
      <c r="N7" s="2017"/>
      <c r="O7" s="2018"/>
      <c r="P7" s="2017"/>
      <c r="Q7" s="2017"/>
      <c r="R7" s="2017"/>
    </row>
    <row r="8" spans="1:19" ht="18" customHeight="1">
      <c r="A8" s="2035" t="s">
        <v>1778</v>
      </c>
      <c r="B8" s="2041" t="s">
        <v>3061</v>
      </c>
      <c r="C8" s="2042"/>
      <c r="D8" s="3036" t="s">
        <v>1779</v>
      </c>
      <c r="E8" s="2043" t="s">
        <v>3062</v>
      </c>
      <c r="F8" s="2044"/>
      <c r="G8" s="2014"/>
      <c r="H8" s="2014"/>
      <c r="I8" s="2014"/>
      <c r="J8" s="2030"/>
      <c r="K8" s="2031"/>
      <c r="L8" s="2016"/>
      <c r="M8" s="2016"/>
      <c r="N8" s="2017"/>
      <c r="O8" s="2018"/>
      <c r="P8" s="2017"/>
      <c r="Q8" s="2017"/>
      <c r="R8" s="2017"/>
    </row>
    <row r="9" spans="1:19" ht="18" customHeight="1" thickBot="1">
      <c r="A9" s="2028" t="s">
        <v>1780</v>
      </c>
      <c r="B9" s="2045" t="s">
        <v>3062</v>
      </c>
      <c r="C9" s="2046"/>
      <c r="D9" s="3037"/>
      <c r="E9" s="2045" t="s">
        <v>70</v>
      </c>
      <c r="F9" s="2047"/>
      <c r="G9" s="2048"/>
      <c r="H9" s="2048"/>
      <c r="I9" s="2048"/>
      <c r="J9" s="2030"/>
      <c r="K9" s="2040"/>
      <c r="L9" s="2016"/>
      <c r="M9" s="2016"/>
      <c r="N9" s="2017"/>
      <c r="O9" s="2018"/>
      <c r="P9" s="2017"/>
      <c r="Q9" s="2017"/>
      <c r="R9" s="2017"/>
    </row>
    <row r="10" spans="1:19" ht="18" customHeight="1" thickTop="1">
      <c r="A10" s="2049" t="s">
        <v>1781</v>
      </c>
      <c r="B10" s="2050" t="s">
        <v>3063</v>
      </c>
      <c r="C10" s="2051"/>
      <c r="D10" s="2034"/>
      <c r="E10" s="2052" t="s">
        <v>1782</v>
      </c>
      <c r="F10" s="2053" t="s">
        <v>3298</v>
      </c>
      <c r="G10" s="2054"/>
      <c r="H10" s="2055"/>
      <c r="I10" s="2034"/>
      <c r="J10" s="2030"/>
      <c r="K10" s="2040"/>
      <c r="L10" s="2016"/>
      <c r="M10" s="2016"/>
      <c r="N10" s="2017"/>
      <c r="O10" s="2018"/>
      <c r="P10" s="2017"/>
      <c r="Q10" s="2017"/>
      <c r="R10" s="2017"/>
    </row>
    <row r="11" spans="1:19" ht="18" customHeight="1">
      <c r="A11" s="2056" t="s">
        <v>1783</v>
      </c>
      <c r="B11" s="2057" t="s">
        <v>3064</v>
      </c>
      <c r="C11" s="2952" t="s">
        <v>3065</v>
      </c>
      <c r="D11" s="2058"/>
      <c r="E11" s="2030"/>
      <c r="F11" s="2030"/>
      <c r="G11" s="2030"/>
      <c r="H11" s="2030"/>
      <c r="I11" s="2030"/>
      <c r="J11" s="2030"/>
      <c r="K11" s="2040"/>
      <c r="L11" s="2016"/>
      <c r="M11" s="2016"/>
      <c r="N11" s="2017"/>
      <c r="O11" s="2018"/>
      <c r="P11" s="2017"/>
      <c r="Q11" s="2017"/>
      <c r="R11" s="2017"/>
    </row>
    <row r="12" spans="1:19" ht="18" customHeight="1">
      <c r="A12" s="2059" t="s">
        <v>1784</v>
      </c>
      <c r="B12" s="2057" t="s">
        <v>3066</v>
      </c>
      <c r="C12" s="2060" t="s">
        <v>1785</v>
      </c>
      <c r="D12" s="2061" t="s">
        <v>1786</v>
      </c>
      <c r="E12" s="2061" t="s">
        <v>1787</v>
      </c>
      <c r="F12" s="2061" t="s">
        <v>1788</v>
      </c>
      <c r="G12" s="2061" t="s">
        <v>1789</v>
      </c>
      <c r="H12" s="2061" t="s">
        <v>1790</v>
      </c>
      <c r="I12" s="2061" t="s">
        <v>1791</v>
      </c>
      <c r="J12" s="2030"/>
      <c r="K12" s="2040"/>
      <c r="L12" s="2016"/>
      <c r="M12" s="2016"/>
      <c r="N12" s="2017"/>
      <c r="O12" s="2018"/>
      <c r="P12" s="2017"/>
      <c r="Q12" s="2017"/>
      <c r="R12" s="2017"/>
    </row>
    <row r="13" spans="1:19" ht="18" customHeight="1">
      <c r="A13" s="2062"/>
      <c r="B13" s="2063"/>
      <c r="C13" s="2064" t="s">
        <v>1792</v>
      </c>
      <c r="D13" s="2065">
        <v>69004</v>
      </c>
      <c r="E13" s="2065">
        <v>58046</v>
      </c>
      <c r="F13" s="2065">
        <v>61699</v>
      </c>
      <c r="G13" s="2065">
        <v>61699</v>
      </c>
      <c r="H13" s="2065">
        <v>61699</v>
      </c>
      <c r="I13" s="1046"/>
      <c r="J13" s="2030"/>
      <c r="K13" s="2040"/>
      <c r="L13" s="2016"/>
      <c r="M13" s="2016"/>
      <c r="N13" s="2017"/>
      <c r="O13" s="2018"/>
      <c r="P13" s="2017"/>
      <c r="Q13" s="2017"/>
      <c r="R13" s="2017"/>
    </row>
    <row r="14" spans="1:19" ht="18" customHeight="1">
      <c r="A14" s="2062"/>
      <c r="B14" s="2063"/>
      <c r="C14" s="2064" t="s">
        <v>1793</v>
      </c>
      <c r="D14" s="1049">
        <v>70</v>
      </c>
      <c r="E14" s="1049">
        <v>40</v>
      </c>
      <c r="F14" s="1049">
        <v>50</v>
      </c>
      <c r="G14" s="1049">
        <v>50</v>
      </c>
      <c r="H14" s="1049">
        <v>50</v>
      </c>
      <c r="I14" s="1049"/>
      <c r="J14" s="2030"/>
      <c r="K14" s="2066"/>
      <c r="L14" s="2016"/>
      <c r="M14" s="2016"/>
      <c r="N14" s="2017"/>
      <c r="O14" s="2018"/>
      <c r="P14" s="2017"/>
      <c r="Q14" s="2017"/>
      <c r="R14" s="2017"/>
    </row>
    <row r="15" spans="1:19" ht="18" customHeight="1">
      <c r="A15" s="2049"/>
      <c r="B15" s="2067"/>
      <c r="C15" s="2064" t="s">
        <v>1794</v>
      </c>
      <c r="D15" s="1048">
        <f>IF(B12="出让",IF(D13="","",ROUNDDOWN(MIN((D13-$D$3)/365,D14),2)),D14)</f>
        <v>68.599999999999994</v>
      </c>
      <c r="E15" s="1048">
        <f>IF(B12="出让",IF(E13="","",ROUNDDOWN(MIN((E13-$D$3)/365,E14),2)),E14)</f>
        <v>38.58</v>
      </c>
      <c r="F15" s="1048">
        <f>IF(B12="出让",IF(F13="","",ROUNDDOWN(MIN((F13-$D$3)/365,F14),2)),F14)</f>
        <v>48.59</v>
      </c>
      <c r="G15" s="1048">
        <f>IF(B12="出让",IF(G13="","",ROUNDDOWN(MIN((G13-$D$3)/365,G14),2)),G14)</f>
        <v>48.59</v>
      </c>
      <c r="H15" s="1048">
        <f>IF(B12="出让",IF(H13="","",ROUNDDOWN(MIN((H13-$D$3)/365,H14),2)),H14)</f>
        <v>48.59</v>
      </c>
      <c r="I15" s="1048" t="str">
        <f>IF(B12="出让",IF(I13="","",ROUNDDOWN(MIN((I13-$D$3)/365,I14),2)),I14)</f>
        <v/>
      </c>
      <c r="J15" s="2030"/>
      <c r="K15" s="2068"/>
      <c r="L15" s="2069"/>
      <c r="M15" s="2069"/>
      <c r="N15" s="2070"/>
      <c r="O15" s="2069"/>
      <c r="P15" s="2070"/>
      <c r="Q15" s="2017"/>
      <c r="R15" s="2017"/>
    </row>
    <row r="16" spans="1:19" ht="30.75" customHeight="1">
      <c r="A16" s="2052" t="s">
        <v>1795</v>
      </c>
      <c r="B16" s="3043"/>
      <c r="C16" s="3044"/>
      <c r="D16" s="3045"/>
      <c r="E16" s="2071" t="s">
        <v>1796</v>
      </c>
      <c r="F16" s="3046"/>
      <c r="G16" s="3047"/>
      <c r="H16" s="3047"/>
      <c r="I16" s="3048"/>
      <c r="J16" s="2017"/>
      <c r="K16" s="2068"/>
      <c r="L16" s="2069"/>
      <c r="M16" s="2069"/>
      <c r="N16" s="2070"/>
      <c r="O16" s="2069"/>
      <c r="P16" s="2070"/>
      <c r="Q16" s="2017"/>
      <c r="R16" s="2017"/>
    </row>
    <row r="17" spans="1:22" ht="18" customHeight="1">
      <c r="A17" s="2072" t="s">
        <v>1797</v>
      </c>
      <c r="B17" s="2023" t="s">
        <v>1798</v>
      </c>
      <c r="C17" s="1053">
        <f>'数据-汇总表'!E3</f>
        <v>43490.38</v>
      </c>
      <c r="D17" s="2073" t="s">
        <v>1799</v>
      </c>
      <c r="E17" s="3049" t="s">
        <v>1800</v>
      </c>
      <c r="F17" s="3050"/>
      <c r="G17" s="3050"/>
      <c r="H17" s="3050"/>
      <c r="I17" s="3051"/>
      <c r="J17" s="2017"/>
      <c r="K17" s="2074"/>
      <c r="L17" s="2069"/>
      <c r="M17" s="2069"/>
      <c r="N17" s="2070"/>
      <c r="O17" s="2069"/>
      <c r="P17" s="2070"/>
      <c r="Q17" s="2017"/>
      <c r="R17" s="2017"/>
      <c r="S17" s="2017"/>
      <c r="T17" s="2017"/>
      <c r="U17" s="2017"/>
      <c r="V17" s="2017"/>
    </row>
    <row r="18" spans="1:22" ht="36" customHeight="1" thickBot="1">
      <c r="A18" s="2075" t="s">
        <v>1801</v>
      </c>
      <c r="B18" s="2026" t="s">
        <v>1802</v>
      </c>
      <c r="C18" s="1441">
        <f>'数据-汇总表'!D3</f>
        <v>22468.9</v>
      </c>
      <c r="D18" s="2076" t="s">
        <v>1799</v>
      </c>
      <c r="E18" s="3052" t="s">
        <v>1803</v>
      </c>
      <c r="F18" s="3053"/>
      <c r="G18" s="3053"/>
      <c r="H18" s="3053"/>
      <c r="I18" s="3054"/>
      <c r="J18" s="2017"/>
      <c r="K18" s="2074"/>
      <c r="L18" s="2069"/>
      <c r="M18" s="2069"/>
      <c r="N18" s="2070"/>
      <c r="O18" s="2069"/>
      <c r="P18" s="2070"/>
      <c r="Q18" s="2017"/>
      <c r="R18" s="2017"/>
      <c r="S18" s="2017"/>
      <c r="T18" s="2017"/>
      <c r="U18" s="2017"/>
      <c r="V18" s="2017"/>
    </row>
    <row r="19" spans="1:22" ht="37.5" customHeight="1" thickTop="1" thickBot="1">
      <c r="A19" s="372" t="s">
        <v>1804</v>
      </c>
      <c r="B19" s="351" t="s">
        <v>1805</v>
      </c>
      <c r="C19" s="2077"/>
      <c r="D19" s="2078" t="s">
        <v>1806</v>
      </c>
      <c r="E19" s="2079"/>
      <c r="F19" s="2080" t="str">
        <f>IF(AND(C19="是",E19="否"),"是否提供他项权证或相关说明","")</f>
        <v/>
      </c>
      <c r="G19" s="2081"/>
      <c r="H19" s="2030"/>
      <c r="I19" s="2030"/>
      <c r="J19" s="2030"/>
      <c r="K19" s="2040"/>
      <c r="L19" s="2016"/>
      <c r="M19" s="2016"/>
      <c r="N19" s="2070"/>
      <c r="O19" s="2069"/>
      <c r="P19" s="2070"/>
      <c r="Q19" s="2017"/>
      <c r="R19" s="2017"/>
      <c r="S19" s="2017"/>
      <c r="T19" s="2017"/>
      <c r="U19" s="2017"/>
      <c r="V19" s="2017"/>
    </row>
    <row r="20" spans="1:22" ht="18" customHeight="1">
      <c r="A20" s="2082" t="s">
        <v>1807</v>
      </c>
      <c r="B20" s="3039" t="s">
        <v>1808</v>
      </c>
      <c r="C20" s="3040"/>
      <c r="D20" s="3041" t="s">
        <v>1809</v>
      </c>
      <c r="E20" s="3042"/>
      <c r="F20" s="2083" t="s">
        <v>1810</v>
      </c>
      <c r="G20" s="2030"/>
      <c r="H20" s="2030"/>
      <c r="I20" s="2030"/>
      <c r="J20" s="2030"/>
      <c r="K20" s="3038" t="s">
        <v>1811</v>
      </c>
      <c r="L20" s="747" t="str">
        <f>"根据估价对象"&amp;IF(B22="——",B21&amp;C21,B21&amp;C21&amp;"、"&amp;B22&amp;C22)&amp;"，"&amp;IF(C19="是","截至价值时点，估价对象已设定抵押。","截至价值时点，估价对象抵押权未见登记。")</f>
        <v>根据估价对象《房屋所有权证》、《国有土地使用权》原件，截至价值时点，估价对象抵押权未见登记。</v>
      </c>
      <c r="M20" s="2016"/>
      <c r="N20" s="2070"/>
      <c r="O20" s="2069"/>
      <c r="P20" s="2070"/>
      <c r="Q20" s="2017"/>
      <c r="R20" s="2017"/>
      <c r="S20" s="2017"/>
      <c r="T20" s="2017"/>
      <c r="U20" s="2017"/>
      <c r="V20" s="2017"/>
    </row>
    <row r="21" spans="1:22" ht="24.75" customHeight="1">
      <c r="A21" s="2082"/>
      <c r="B21" s="2084" t="s">
        <v>1812</v>
      </c>
      <c r="C21" s="2085"/>
      <c r="D21" s="2086" t="s">
        <v>1813</v>
      </c>
      <c r="E21" s="2087"/>
      <c r="F21" s="2088"/>
      <c r="G21" s="2030"/>
      <c r="H21" s="2030"/>
      <c r="I21" s="2030"/>
      <c r="J21" s="2030"/>
      <c r="K21" s="3038"/>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6"/>
      <c r="N21" s="2070"/>
      <c r="O21" s="2069"/>
      <c r="P21" s="2070"/>
      <c r="Q21" s="2017"/>
      <c r="R21" s="2017"/>
      <c r="S21" s="2017"/>
      <c r="T21" s="2017"/>
      <c r="U21" s="2017"/>
      <c r="V21" s="2017"/>
    </row>
    <row r="22" spans="1:22" ht="24.75" customHeight="1" thickBot="1">
      <c r="A22" s="2082"/>
      <c r="B22" s="2089" t="s">
        <v>1814</v>
      </c>
      <c r="C22" s="2085" t="s">
        <v>3068</v>
      </c>
      <c r="D22" s="2014"/>
      <c r="E22" s="2014"/>
      <c r="F22" s="2090"/>
      <c r="G22" s="2030"/>
      <c r="H22" s="2030"/>
      <c r="I22" s="2030"/>
      <c r="J22" s="2030"/>
      <c r="K22" s="3038"/>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6"/>
      <c r="N22" s="2070"/>
      <c r="O22" s="2069"/>
      <c r="P22" s="2070"/>
      <c r="Q22" s="2017"/>
      <c r="R22" s="2017"/>
      <c r="S22" s="2017"/>
      <c r="T22" s="2017"/>
      <c r="U22" s="2017"/>
      <c r="V22" s="2017"/>
    </row>
    <row r="23" spans="1:22" ht="18" customHeight="1">
      <c r="A23" s="2091" t="s">
        <v>1815</v>
      </c>
      <c r="B23" s="183" t="s">
        <v>1816</v>
      </c>
      <c r="C23" s="2092"/>
      <c r="D23" s="2093" t="s">
        <v>1816</v>
      </c>
      <c r="E23" s="2094"/>
      <c r="F23" s="2090"/>
      <c r="G23" s="2030"/>
      <c r="H23" s="2030"/>
      <c r="I23" s="2030"/>
      <c r="J23" s="2030"/>
      <c r="K23" s="2095"/>
      <c r="L23" s="747"/>
      <c r="M23" s="2016"/>
      <c r="N23" s="2070"/>
      <c r="O23" s="2069"/>
      <c r="P23" s="2070"/>
      <c r="Q23" s="2017"/>
      <c r="R23" s="2017"/>
      <c r="S23" s="2017"/>
      <c r="T23" s="2017"/>
      <c r="U23" s="2017"/>
      <c r="V23" s="2017"/>
    </row>
    <row r="24" spans="1:22" ht="18" customHeight="1">
      <c r="A24" s="2096"/>
      <c r="B24" s="183" t="s">
        <v>1817</v>
      </c>
      <c r="C24" s="2097"/>
      <c r="D24" s="2091" t="s">
        <v>1817</v>
      </c>
      <c r="E24" s="2098"/>
      <c r="F24" s="2090"/>
      <c r="G24" s="2030"/>
      <c r="H24" s="2030"/>
      <c r="I24" s="2030"/>
      <c r="J24" s="2030"/>
      <c r="K24" s="2095"/>
      <c r="L24" s="747"/>
      <c r="M24" s="2016"/>
      <c r="N24" s="2070"/>
      <c r="O24" s="2069"/>
      <c r="P24" s="2070"/>
      <c r="Q24" s="2017"/>
      <c r="R24" s="2017"/>
      <c r="S24" s="2017"/>
      <c r="T24" s="2017"/>
      <c r="U24" s="2017"/>
      <c r="V24" s="2017"/>
    </row>
    <row r="25" spans="1:22" ht="18" customHeight="1">
      <c r="A25" s="2096"/>
      <c r="B25" s="183" t="s">
        <v>1818</v>
      </c>
      <c r="C25" s="2097"/>
      <c r="D25" s="2091" t="s">
        <v>1818</v>
      </c>
      <c r="E25" s="2098"/>
      <c r="F25" s="2090"/>
      <c r="G25" s="2030"/>
      <c r="H25" s="2030"/>
      <c r="I25" s="2030"/>
      <c r="J25" s="2030"/>
      <c r="K25" s="2040"/>
      <c r="L25" s="2016"/>
      <c r="M25" s="2016"/>
      <c r="N25" s="2070"/>
      <c r="O25" s="2069"/>
      <c r="P25" s="2070"/>
      <c r="Q25" s="2017"/>
      <c r="R25" s="2017"/>
      <c r="S25" s="2017"/>
      <c r="T25" s="2017"/>
      <c r="U25" s="2017"/>
      <c r="V25" s="2017"/>
    </row>
    <row r="26" spans="1:22" ht="18" customHeight="1" thickBot="1">
      <c r="A26" s="2099"/>
      <c r="B26" s="2100" t="s">
        <v>1819</v>
      </c>
      <c r="C26" s="2101"/>
      <c r="D26" s="2102" t="s">
        <v>1820</v>
      </c>
      <c r="E26" s="2103"/>
      <c r="F26" s="2104"/>
      <c r="G26" s="2048"/>
      <c r="H26" s="2048"/>
      <c r="I26" s="2048"/>
      <c r="J26" s="2030"/>
      <c r="K26" s="2040"/>
      <c r="L26" s="2016"/>
      <c r="M26" s="2016"/>
      <c r="N26" s="2070"/>
      <c r="O26" s="2069"/>
      <c r="P26" s="2070"/>
      <c r="Q26" s="2017"/>
      <c r="R26" s="2017"/>
      <c r="S26" s="2017"/>
      <c r="T26" s="2017"/>
      <c r="U26" s="2017"/>
      <c r="V26" s="2017"/>
    </row>
    <row r="27" spans="1:22" ht="18" customHeight="1" thickTop="1">
      <c r="A27" s="3056" t="s">
        <v>1821</v>
      </c>
      <c r="B27" s="2049" t="s">
        <v>1822</v>
      </c>
      <c r="C27" s="2105" t="s">
        <v>3266</v>
      </c>
      <c r="D27" s="2106"/>
      <c r="E27" s="2030"/>
      <c r="F27" s="2030"/>
      <c r="G27" s="2030"/>
      <c r="H27" s="2030"/>
      <c r="I27" s="2030"/>
      <c r="J27" s="2017"/>
      <c r="K27" s="2068"/>
      <c r="L27" s="2069"/>
      <c r="M27" s="2069"/>
      <c r="N27" s="2070"/>
      <c r="O27" s="2069"/>
      <c r="P27" s="2070"/>
      <c r="Q27" s="2017"/>
      <c r="R27" s="2017"/>
      <c r="S27" s="2017"/>
      <c r="T27" s="2017"/>
      <c r="U27" s="2017"/>
      <c r="V27" s="2017"/>
    </row>
    <row r="28" spans="1:22" ht="18" customHeight="1">
      <c r="A28" s="3056"/>
      <c r="B28" s="2023" t="s">
        <v>1823</v>
      </c>
      <c r="C28" s="2107"/>
      <c r="D28" s="2108"/>
      <c r="E28" s="2030"/>
      <c r="F28" s="2030"/>
      <c r="G28" s="2030"/>
      <c r="H28" s="2030"/>
      <c r="I28" s="2030"/>
      <c r="J28" s="2017"/>
      <c r="K28" s="2109"/>
      <c r="L28" s="2016"/>
      <c r="M28" s="2016"/>
      <c r="N28" s="2017"/>
      <c r="O28" s="2018"/>
      <c r="P28" s="2017"/>
      <c r="Q28" s="2017"/>
      <c r="R28" s="2017"/>
      <c r="S28" s="2017"/>
      <c r="T28" s="2017"/>
      <c r="U28" s="2017"/>
      <c r="V28" s="2017"/>
    </row>
    <row r="29" spans="1:22" ht="18" customHeight="1">
      <c r="A29" s="3056"/>
      <c r="B29" s="2023" t="s">
        <v>1824</v>
      </c>
      <c r="C29" s="2110"/>
      <c r="D29" s="2111"/>
      <c r="E29" s="2030"/>
      <c r="F29" s="2030"/>
      <c r="G29" s="2030"/>
      <c r="H29" s="2030"/>
      <c r="I29" s="2030"/>
      <c r="J29" s="2017"/>
      <c r="K29" s="2109"/>
      <c r="L29" s="2016"/>
      <c r="M29" s="2016"/>
      <c r="N29" s="2017"/>
      <c r="O29" s="2018"/>
      <c r="P29" s="2017"/>
      <c r="Q29" s="2017"/>
      <c r="R29" s="2017"/>
      <c r="S29" s="2017"/>
      <c r="T29" s="2017"/>
      <c r="U29" s="2017"/>
      <c r="V29" s="2017"/>
    </row>
    <row r="30" spans="1:22" ht="18" customHeight="1">
      <c r="A30" s="3057"/>
      <c r="B30" s="2023" t="s">
        <v>1825</v>
      </c>
      <c r="C30" s="3058"/>
      <c r="D30" s="3059"/>
      <c r="E30" s="2030"/>
      <c r="F30" s="2030"/>
      <c r="G30" s="2030"/>
      <c r="H30" s="2030"/>
      <c r="I30" s="2030"/>
      <c r="J30" s="2017"/>
      <c r="K30" s="2109"/>
      <c r="L30" s="2016"/>
      <c r="M30" s="2016"/>
      <c r="N30" s="2017"/>
      <c r="O30" s="2018"/>
      <c r="P30" s="2017"/>
      <c r="Q30" s="2017"/>
      <c r="R30" s="2017"/>
      <c r="S30" s="2017"/>
      <c r="T30" s="2017"/>
      <c r="U30" s="2017"/>
      <c r="V30" s="2017"/>
    </row>
    <row r="31" spans="1:22" ht="18" customHeight="1">
      <c r="A31" s="3060" t="s">
        <v>1826</v>
      </c>
      <c r="B31" s="2112" t="s">
        <v>3067</v>
      </c>
      <c r="C31" s="2113" t="str">
        <f>IF(B31="现房","成新及维护状况正常否",IF(B31="在建","工程状态是否正常",IF(B31="土地","是否闲置","-")))</f>
        <v>工程状态是否正常</v>
      </c>
      <c r="D31" s="2114"/>
      <c r="E31" s="2115"/>
      <c r="F31" s="2030"/>
      <c r="G31" s="2030"/>
      <c r="H31" s="2030"/>
      <c r="I31" s="2030"/>
      <c r="J31" s="2030"/>
      <c r="K31" s="2038"/>
      <c r="L31" s="2016"/>
      <c r="M31" s="2016"/>
      <c r="N31" s="2017"/>
      <c r="O31" s="2018"/>
      <c r="P31" s="2017"/>
      <c r="Q31" s="2017"/>
      <c r="R31" s="2017"/>
      <c r="S31" s="2017"/>
      <c r="T31" s="2017"/>
      <c r="U31" s="2017"/>
      <c r="V31" s="2017"/>
    </row>
    <row r="32" spans="1:22" ht="18" customHeight="1">
      <c r="A32" s="3061"/>
      <c r="B32" s="2112"/>
      <c r="C32" s="2113" t="str">
        <f>IF(B32="现房","成新及维护状况是否正常",IF(B32="在建","工程状态是否正常",IF(B32="土地","是否闲置","-")))</f>
        <v>-</v>
      </c>
      <c r="D32" s="2114"/>
      <c r="E32" s="2115"/>
      <c r="F32" s="2030"/>
      <c r="G32" s="2030"/>
      <c r="H32" s="2030"/>
      <c r="I32" s="2030"/>
      <c r="J32" s="2030"/>
      <c r="K32" s="2040"/>
      <c r="L32" s="2016"/>
      <c r="M32" s="2016"/>
      <c r="N32" s="2017"/>
      <c r="O32" s="2018"/>
      <c r="P32" s="2017"/>
      <c r="Q32" s="2017"/>
      <c r="R32" s="2017"/>
      <c r="S32" s="2017"/>
      <c r="T32" s="2017"/>
      <c r="U32" s="2017"/>
      <c r="V32" s="2017"/>
    </row>
    <row r="33" spans="1:22" ht="18" customHeight="1">
      <c r="A33" s="3061"/>
      <c r="B33" s="2116"/>
      <c r="C33" s="2056" t="str">
        <f>IF(B33="现房","成新及维护状况是否正常",IF(B33="在建","工程状态是否正常",IF(B33="土地","是否闲置","-")))</f>
        <v>-</v>
      </c>
      <c r="D33" s="2117"/>
      <c r="E33" s="2118"/>
      <c r="F33" s="2030"/>
      <c r="G33" s="2030"/>
      <c r="H33" s="2030"/>
      <c r="I33" s="2030"/>
      <c r="J33" s="2030"/>
      <c r="K33" s="2040"/>
      <c r="L33" s="2016"/>
      <c r="M33" s="2016"/>
      <c r="N33" s="2017"/>
      <c r="O33" s="2018"/>
      <c r="P33" s="2017"/>
      <c r="Q33" s="2017"/>
      <c r="R33" s="2017"/>
      <c r="S33" s="2017"/>
      <c r="T33" s="2017"/>
      <c r="U33" s="2017"/>
      <c r="V33" s="2017"/>
    </row>
    <row r="34" spans="1:22" ht="18" customHeight="1">
      <c r="A34" s="2023" t="s">
        <v>1827</v>
      </c>
      <c r="B34" s="2119"/>
      <c r="C34" s="2119"/>
      <c r="D34" s="2119"/>
      <c r="E34" s="2119"/>
      <c r="F34" s="2119"/>
      <c r="G34" s="2119"/>
      <c r="H34" s="2119"/>
      <c r="I34" s="2030"/>
      <c r="J34" s="2030"/>
      <c r="K34" s="1784">
        <f>COUNTIF(B34:H34,"——")</f>
        <v>0</v>
      </c>
      <c r="L34" s="2060" t="s">
        <v>1828</v>
      </c>
      <c r="M34" s="2060" t="s">
        <v>1829</v>
      </c>
      <c r="N34" s="2060" t="s">
        <v>1830</v>
      </c>
      <c r="O34" s="2060" t="s">
        <v>1831</v>
      </c>
      <c r="P34" s="2060" t="s">
        <v>1832</v>
      </c>
      <c r="Q34" s="2060" t="s">
        <v>1833</v>
      </c>
      <c r="R34" s="2060" t="s">
        <v>1834</v>
      </c>
      <c r="S34" s="3055" t="s">
        <v>1835</v>
      </c>
      <c r="T34" s="2120" t="str">
        <f>NUMBERSTRING(7-K34,1)&amp;"通"</f>
        <v>七通</v>
      </c>
      <c r="U34" s="2017"/>
      <c r="V34" s="2017"/>
    </row>
    <row r="35" spans="1:22" ht="18" customHeight="1">
      <c r="A35" s="2121"/>
      <c r="B35" s="3062" t="s">
        <v>1836</v>
      </c>
      <c r="C35" s="3062"/>
      <c r="D35" s="3062"/>
      <c r="E35" s="3062"/>
      <c r="F35" s="2122">
        <f>C10</f>
        <v>0</v>
      </c>
      <c r="G35" s="2030"/>
      <c r="H35" s="2030"/>
      <c r="I35" s="2030"/>
      <c r="J35" s="2030"/>
      <c r="K35" s="2060"/>
      <c r="L35" s="2060">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5"/>
      <c r="T35" s="48" t="str">
        <f>IF(T34="一通",L35,IF(T34="二通",M35,IF(T34="三通",N35,IF(T34="四通",O35,IF(T34="五通",P35,IF(T34="六通",Q35,R35))))))</f>
        <v>、、、、、、</v>
      </c>
      <c r="U35" s="2017"/>
      <c r="V35" s="2017"/>
    </row>
    <row r="36" spans="1:22" ht="18" customHeight="1">
      <c r="A36" s="2123"/>
      <c r="B36" s="2122" t="s">
        <v>1837</v>
      </c>
      <c r="C36" s="2122" t="s">
        <v>1838</v>
      </c>
      <c r="D36" s="2122" t="s">
        <v>1839</v>
      </c>
      <c r="E36" s="2122" t="s">
        <v>1840</v>
      </c>
      <c r="F36" s="2124"/>
      <c r="G36" s="2030"/>
      <c r="H36" s="2030"/>
      <c r="I36" s="2030"/>
      <c r="J36" s="2030"/>
      <c r="K36" s="2040"/>
      <c r="L36" s="2016"/>
      <c r="M36" s="2016"/>
      <c r="N36" s="2017"/>
      <c r="O36" s="2018"/>
      <c r="P36" s="2017"/>
      <c r="Q36" s="2017"/>
      <c r="R36" s="2017"/>
      <c r="S36" s="2017"/>
      <c r="T36" s="2017"/>
      <c r="U36" s="2017"/>
      <c r="V36" s="2017"/>
    </row>
    <row r="37" spans="1:22" ht="18" customHeight="1">
      <c r="A37" s="2125" t="s">
        <v>1841</v>
      </c>
      <c r="B37" s="2953" t="s">
        <v>530</v>
      </c>
      <c r="C37" s="2953" t="s">
        <v>530</v>
      </c>
      <c r="D37" s="2953" t="s">
        <v>530</v>
      </c>
      <c r="E37" s="2126"/>
      <c r="F37" s="2124"/>
      <c r="G37" s="2030"/>
      <c r="H37" s="2030"/>
      <c r="I37" s="2030"/>
      <c r="J37" s="2030"/>
      <c r="K37" s="2040"/>
      <c r="L37" s="2016"/>
      <c r="M37" s="2016"/>
      <c r="N37" s="2017"/>
      <c r="O37" s="2018"/>
      <c r="P37" s="2017"/>
      <c r="Q37" s="2017"/>
      <c r="R37" s="2017"/>
      <c r="S37" s="2017"/>
      <c r="T37" s="2017"/>
      <c r="U37" s="2017"/>
      <c r="V37" s="2017"/>
    </row>
    <row r="38" spans="1:22" ht="18" customHeight="1" thickBot="1">
      <c r="A38" s="2127" t="s">
        <v>1842</v>
      </c>
      <c r="B38" s="2953" t="s">
        <v>255</v>
      </c>
      <c r="C38" s="2953" t="s">
        <v>255</v>
      </c>
      <c r="D38" s="2953" t="s">
        <v>255</v>
      </c>
      <c r="E38" s="2128"/>
      <c r="F38" s="2129"/>
      <c r="G38" s="2048"/>
      <c r="H38" s="2048"/>
      <c r="I38" s="2048"/>
      <c r="J38" s="2030"/>
      <c r="K38" s="2040"/>
      <c r="L38" s="2016"/>
      <c r="M38" s="2016"/>
      <c r="N38" s="2017"/>
      <c r="O38" s="2018"/>
      <c r="P38" s="2017"/>
      <c r="Q38" s="2017"/>
      <c r="R38" s="2017"/>
      <c r="S38" s="2017"/>
      <c r="T38" s="2017"/>
      <c r="U38" s="2017"/>
      <c r="V38" s="2017"/>
    </row>
    <row r="39" spans="1:22" s="2134" customFormat="1" ht="18" customHeight="1" thickTop="1" thickBot="1">
      <c r="A39" s="2130" t="s">
        <v>1843</v>
      </c>
      <c r="B39" s="2131"/>
      <c r="C39" s="2131"/>
      <c r="D39" s="2131"/>
      <c r="E39" s="2131"/>
      <c r="F39" s="2131"/>
      <c r="G39" s="2131"/>
      <c r="H39" s="2131"/>
      <c r="I39" s="2131"/>
      <c r="J39" s="2131"/>
      <c r="K39" s="2132"/>
      <c r="L39" s="2131"/>
      <c r="M39" s="2131"/>
      <c r="N39" s="2131"/>
      <c r="O39" s="2133"/>
      <c r="P39" s="2131"/>
      <c r="Q39" s="2131"/>
      <c r="R39" s="2131"/>
      <c r="S39" s="2131"/>
      <c r="T39" s="2131"/>
      <c r="U39" s="2131"/>
      <c r="V39" s="2131"/>
    </row>
    <row r="40" spans="1:22" ht="18" customHeight="1">
      <c r="A40" s="2017"/>
      <c r="B40" s="2017"/>
      <c r="C40" s="2017"/>
      <c r="D40" s="2017"/>
      <c r="E40" s="2017"/>
      <c r="F40" s="2017"/>
      <c r="G40" s="2017"/>
      <c r="H40" s="2017"/>
      <c r="I40" s="2135"/>
      <c r="J40" s="2070"/>
      <c r="K40" s="665"/>
      <c r="L40" s="2069"/>
      <c r="M40" s="2069"/>
      <c r="N40" s="2070"/>
      <c r="O40" s="2069"/>
      <c r="P40" s="2017"/>
      <c r="Q40" s="2017"/>
      <c r="R40" s="2017"/>
      <c r="S40" s="2017"/>
      <c r="T40" s="2017"/>
      <c r="U40" s="2017"/>
      <c r="V40" s="2017"/>
    </row>
    <row r="41" spans="1:22" ht="18" customHeight="1">
      <c r="A41" s="8" t="s">
        <v>1844</v>
      </c>
      <c r="B41" s="2136"/>
      <c r="C41" s="2137"/>
      <c r="D41" s="2017"/>
      <c r="E41" s="2017"/>
      <c r="F41" s="2017"/>
      <c r="G41" s="2017"/>
      <c r="H41" s="2017"/>
      <c r="I41" s="2018"/>
      <c r="J41" s="2017"/>
      <c r="K41" s="2109"/>
      <c r="L41" s="2016"/>
      <c r="M41" s="2016"/>
      <c r="N41" s="2017"/>
      <c r="O41" s="2018"/>
      <c r="P41" s="2017"/>
      <c r="Q41" s="2017"/>
      <c r="R41" s="2017"/>
      <c r="S41" s="2017"/>
      <c r="T41" s="2017"/>
      <c r="U41" s="2017"/>
      <c r="V41" s="2017"/>
    </row>
    <row r="42" spans="1:22" ht="18" customHeight="1">
      <c r="A42" s="2060" t="s">
        <v>1845</v>
      </c>
      <c r="B42" s="1784" t="s">
        <v>1846</v>
      </c>
      <c r="C42" s="1784" t="s">
        <v>1847</v>
      </c>
      <c r="D42" s="1784" t="s">
        <v>1848</v>
      </c>
      <c r="E42" s="1784" t="s">
        <v>1849</v>
      </c>
      <c r="F42" s="1784" t="s">
        <v>1850</v>
      </c>
      <c r="G42" s="1784" t="s">
        <v>1851</v>
      </c>
      <c r="H42" s="1784" t="s">
        <v>1852</v>
      </c>
      <c r="I42" s="1784" t="s">
        <v>1853</v>
      </c>
      <c r="J42" s="2138" t="s">
        <v>1854</v>
      </c>
      <c r="K42" s="2061" t="s">
        <v>1855</v>
      </c>
      <c r="L42" s="2061" t="s">
        <v>1856</v>
      </c>
      <c r="M42" s="2061" t="s">
        <v>1857</v>
      </c>
      <c r="N42" s="1784" t="s">
        <v>1858</v>
      </c>
      <c r="O42" s="1784" t="s">
        <v>1859</v>
      </c>
      <c r="P42" s="1784" t="s">
        <v>1860</v>
      </c>
      <c r="Q42" s="2060" t="s">
        <v>1861</v>
      </c>
      <c r="R42" s="2060" t="s">
        <v>1862</v>
      </c>
      <c r="S42" s="2017"/>
      <c r="T42" s="2017"/>
      <c r="U42" s="2017"/>
      <c r="V42" s="2017"/>
    </row>
    <row r="43" spans="1:22" s="2143" customFormat="1" ht="18" customHeight="1">
      <c r="A43" s="2139"/>
      <c r="B43" s="1271"/>
      <c r="C43" s="1271"/>
      <c r="D43" s="1271"/>
      <c r="E43" s="1271"/>
      <c r="F43" s="1271"/>
      <c r="G43" s="1271"/>
      <c r="H43" s="9"/>
      <c r="I43" s="9"/>
      <c r="J43" s="2140"/>
      <c r="K43" s="2141"/>
      <c r="L43" s="2141"/>
      <c r="M43" s="9"/>
      <c r="N43" s="1271"/>
      <c r="O43" s="9"/>
      <c r="P43" s="1271"/>
      <c r="Q43" s="1271"/>
      <c r="R43" s="1271"/>
      <c r="S43" s="2142"/>
      <c r="T43" s="2142"/>
      <c r="U43" s="2142"/>
      <c r="V43" s="2142"/>
    </row>
    <row r="44" spans="1:22" s="2143" customFormat="1" ht="18" customHeight="1">
      <c r="A44" s="2139"/>
      <c r="B44" s="2139"/>
      <c r="C44" s="1271"/>
      <c r="D44" s="1271"/>
      <c r="E44" s="1271"/>
      <c r="F44" s="1271"/>
      <c r="G44" s="1271"/>
      <c r="H44" s="9"/>
      <c r="I44" s="9"/>
      <c r="J44" s="2140"/>
      <c r="K44" s="2141"/>
      <c r="L44" s="2141"/>
      <c r="M44" s="9"/>
      <c r="N44" s="1271"/>
      <c r="O44" s="9"/>
      <c r="P44" s="1271"/>
      <c r="Q44" s="1271"/>
      <c r="R44" s="1271"/>
      <c r="S44" s="2142"/>
      <c r="T44" s="2142"/>
      <c r="U44" s="2142"/>
      <c r="V44" s="2142"/>
    </row>
    <row r="45" spans="1:22" s="2143" customFormat="1" ht="18" customHeight="1">
      <c r="A45" s="2139"/>
      <c r="B45" s="2139"/>
      <c r="C45" s="1271"/>
      <c r="D45" s="1271"/>
      <c r="E45" s="1271"/>
      <c r="F45" s="1271"/>
      <c r="G45" s="1271"/>
      <c r="H45" s="9"/>
      <c r="I45" s="9"/>
      <c r="J45" s="2140"/>
      <c r="K45" s="2141"/>
      <c r="L45" s="2141"/>
      <c r="M45" s="9"/>
      <c r="N45" s="1271"/>
      <c r="O45" s="9"/>
      <c r="P45" s="1271"/>
      <c r="Q45" s="1271"/>
      <c r="R45" s="1271"/>
      <c r="S45" s="2142"/>
      <c r="T45" s="2142"/>
      <c r="U45" s="2142"/>
      <c r="V45" s="2142"/>
    </row>
    <row r="46" spans="1:22" s="2143" customFormat="1" ht="18" customHeight="1">
      <c r="A46" s="2139"/>
      <c r="B46" s="2139"/>
      <c r="C46" s="1271"/>
      <c r="D46" s="1271"/>
      <c r="E46" s="1271"/>
      <c r="F46" s="1271"/>
      <c r="G46" s="1271"/>
      <c r="H46" s="9"/>
      <c r="I46" s="9"/>
      <c r="J46" s="2140"/>
      <c r="K46" s="2141"/>
      <c r="L46" s="2141"/>
      <c r="M46" s="9"/>
      <c r="N46" s="1271"/>
      <c r="O46" s="9"/>
      <c r="P46" s="1271"/>
      <c r="Q46" s="1271"/>
      <c r="R46" s="1271"/>
      <c r="S46" s="2142"/>
      <c r="T46" s="2142"/>
      <c r="U46" s="2142"/>
      <c r="V46" s="2142"/>
    </row>
    <row r="47" spans="1:22" s="2143" customFormat="1" ht="18" customHeight="1">
      <c r="A47" s="2139"/>
      <c r="B47" s="2139"/>
      <c r="C47" s="1271"/>
      <c r="D47" s="1271"/>
      <c r="E47" s="1271"/>
      <c r="F47" s="1271"/>
      <c r="G47" s="1271"/>
      <c r="H47" s="9"/>
      <c r="I47" s="9"/>
      <c r="J47" s="2140"/>
      <c r="K47" s="2141"/>
      <c r="L47" s="2141"/>
      <c r="M47" s="9"/>
      <c r="N47" s="1271"/>
      <c r="O47" s="9"/>
      <c r="P47" s="1271"/>
      <c r="Q47" s="1271"/>
      <c r="R47" s="1271"/>
      <c r="S47" s="2142"/>
      <c r="T47" s="2142"/>
      <c r="U47" s="2142"/>
      <c r="V47" s="2142"/>
    </row>
    <row r="48" spans="1:22" s="2143" customFormat="1" ht="18" customHeight="1">
      <c r="A48" s="2139"/>
      <c r="B48" s="2139"/>
      <c r="C48" s="1271"/>
      <c r="D48" s="1271"/>
      <c r="E48" s="1271"/>
      <c r="F48" s="1271"/>
      <c r="G48" s="1271"/>
      <c r="H48" s="9"/>
      <c r="I48" s="9"/>
      <c r="J48" s="2140"/>
      <c r="K48" s="2141"/>
      <c r="L48" s="2141"/>
      <c r="M48" s="9"/>
      <c r="N48" s="1271"/>
      <c r="O48" s="9"/>
      <c r="P48" s="1271"/>
      <c r="Q48" s="1271"/>
      <c r="R48" s="1271"/>
      <c r="S48" s="2142"/>
      <c r="T48" s="2142"/>
      <c r="U48" s="2142"/>
      <c r="V48" s="2142"/>
    </row>
    <row r="49" spans="1:22" s="2143" customFormat="1" ht="18" customHeight="1">
      <c r="A49" s="2139"/>
      <c r="B49" s="2139"/>
      <c r="C49" s="1271"/>
      <c r="D49" s="1271"/>
      <c r="E49" s="1271"/>
      <c r="F49" s="1271"/>
      <c r="G49" s="1271"/>
      <c r="H49" s="9"/>
      <c r="I49" s="9"/>
      <c r="J49" s="2140"/>
      <c r="K49" s="2141"/>
      <c r="L49" s="2141"/>
      <c r="M49" s="9"/>
      <c r="N49" s="1271"/>
      <c r="O49" s="9"/>
      <c r="P49" s="1271"/>
      <c r="Q49" s="1271"/>
      <c r="R49" s="1271"/>
      <c r="S49" s="2142"/>
      <c r="T49" s="2142"/>
      <c r="U49" s="2142"/>
      <c r="V49" s="2142"/>
    </row>
    <row r="50" spans="1:22" s="2143" customFormat="1" ht="18" customHeight="1">
      <c r="A50" s="2139"/>
      <c r="B50" s="2139"/>
      <c r="C50" s="1271"/>
      <c r="D50" s="1271"/>
      <c r="E50" s="1271"/>
      <c r="F50" s="1271"/>
      <c r="G50" s="1271"/>
      <c r="H50" s="9"/>
      <c r="I50" s="9"/>
      <c r="J50" s="2140"/>
      <c r="K50" s="2141"/>
      <c r="L50" s="2141"/>
      <c r="M50" s="9"/>
      <c r="N50" s="1271"/>
      <c r="O50" s="9"/>
      <c r="P50" s="1271"/>
      <c r="Q50" s="1271"/>
      <c r="R50" s="1271"/>
      <c r="S50" s="2142"/>
      <c r="T50" s="2142"/>
      <c r="U50" s="2142"/>
      <c r="V50" s="2142"/>
    </row>
    <row r="51" spans="1:22" s="2143" customFormat="1" ht="18" customHeight="1">
      <c r="A51" s="2139"/>
      <c r="B51" s="2139"/>
      <c r="C51" s="1271"/>
      <c r="D51" s="1271"/>
      <c r="E51" s="1271"/>
      <c r="F51" s="1271"/>
      <c r="G51" s="1271"/>
      <c r="H51" s="9"/>
      <c r="I51" s="9"/>
      <c r="J51" s="2140"/>
      <c r="K51" s="2141"/>
      <c r="L51" s="2141"/>
      <c r="M51" s="9"/>
      <c r="N51" s="1271"/>
      <c r="O51" s="9"/>
      <c r="P51" s="1271"/>
      <c r="Q51" s="1271"/>
      <c r="R51" s="1271"/>
    </row>
    <row r="52" spans="1:22" s="2143" customFormat="1" ht="18" customHeight="1">
      <c r="A52" s="10"/>
      <c r="B52" s="10"/>
      <c r="C52" s="10"/>
      <c r="D52" s="10"/>
      <c r="E52" s="10"/>
      <c r="F52" s="9"/>
      <c r="G52" s="10"/>
      <c r="H52" s="10"/>
      <c r="I52" s="10"/>
      <c r="J52" s="2144"/>
      <c r="K52" s="2141"/>
      <c r="L52" s="2141"/>
      <c r="M52" s="2141"/>
      <c r="N52" s="10"/>
      <c r="O52" s="10"/>
      <c r="P52" s="10"/>
      <c r="Q52" s="10"/>
      <c r="R52" s="10"/>
    </row>
    <row r="53" spans="1:22" s="2143" customFormat="1" ht="18" customHeight="1">
      <c r="A53" s="10"/>
      <c r="B53" s="10"/>
      <c r="C53" s="10"/>
      <c r="D53" s="10"/>
      <c r="E53" s="10"/>
      <c r="F53" s="9"/>
      <c r="G53" s="10"/>
      <c r="H53" s="10"/>
      <c r="I53" s="10"/>
      <c r="J53" s="2144"/>
      <c r="K53" s="2141"/>
      <c r="L53" s="2141"/>
      <c r="M53" s="2141"/>
      <c r="N53" s="10"/>
      <c r="O53" s="10"/>
      <c r="P53" s="10"/>
      <c r="Q53" s="10"/>
      <c r="R53" s="10"/>
    </row>
    <row r="54" spans="1:22" s="2143" customFormat="1" ht="18" customHeight="1">
      <c r="A54" s="10"/>
      <c r="B54" s="10"/>
      <c r="C54" s="10"/>
      <c r="D54" s="10"/>
      <c r="E54" s="10"/>
      <c r="F54" s="9"/>
      <c r="G54" s="10"/>
      <c r="H54" s="10"/>
      <c r="I54" s="10"/>
      <c r="J54" s="2144"/>
      <c r="K54" s="2141"/>
      <c r="L54" s="2141"/>
      <c r="M54" s="2141"/>
      <c r="N54" s="10"/>
      <c r="O54" s="10"/>
      <c r="P54" s="10"/>
      <c r="Q54" s="10"/>
      <c r="R54" s="10"/>
    </row>
    <row r="55" spans="1:22" s="2143" customFormat="1" ht="18" customHeight="1">
      <c r="A55" s="10"/>
      <c r="B55" s="10"/>
      <c r="C55" s="10"/>
      <c r="D55" s="10"/>
      <c r="E55" s="10"/>
      <c r="F55" s="9"/>
      <c r="G55" s="10"/>
      <c r="H55" s="10"/>
      <c r="I55" s="10"/>
      <c r="J55" s="2144"/>
      <c r="K55" s="2141"/>
      <c r="L55" s="2141"/>
      <c r="M55" s="2141"/>
      <c r="N55" s="10"/>
      <c r="O55" s="10"/>
      <c r="P55" s="10"/>
      <c r="Q55" s="10"/>
      <c r="R55" s="10"/>
    </row>
    <row r="56" spans="1:22" s="2143" customFormat="1" ht="18" customHeight="1">
      <c r="A56" s="10"/>
      <c r="B56" s="10"/>
      <c r="C56" s="10"/>
      <c r="D56" s="10"/>
      <c r="E56" s="10"/>
      <c r="F56" s="9"/>
      <c r="G56" s="10"/>
      <c r="H56" s="10"/>
      <c r="I56" s="10"/>
      <c r="J56" s="2144"/>
      <c r="K56" s="2141"/>
      <c r="L56" s="2141"/>
      <c r="M56" s="214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zoomScaleSheetLayoutView="85" workbookViewId="0">
      <pane xSplit="4" ySplit="12" topLeftCell="AU13" activePane="bottomRight" state="frozen"/>
      <selection activeCell="C50" sqref="C50"/>
      <selection pane="topRight" activeCell="C50" sqref="C50"/>
      <selection pane="bottomLeft" activeCell="C50" sqref="C50"/>
      <selection pane="bottomRight" activeCell="B43" sqref="B43"/>
    </sheetView>
  </sheetViews>
  <sheetFormatPr defaultColWidth="8.875" defaultRowHeight="14.25"/>
  <cols>
    <col min="1" max="1" width="10.625" style="2145" customWidth="1"/>
    <col min="2" max="2" width="11" style="2145" customWidth="1"/>
    <col min="3" max="3" width="10.375" style="2145" customWidth="1"/>
    <col min="4" max="4" width="9.125" style="2145" customWidth="1"/>
    <col min="5" max="6" width="10" style="2208" customWidth="1"/>
    <col min="7" max="8" width="10" style="2145" customWidth="1"/>
    <col min="9" max="9" width="10.625" style="2145" customWidth="1"/>
    <col min="10" max="10" width="9.5" style="2145" customWidth="1"/>
    <col min="11" max="11" width="11" style="2145" customWidth="1"/>
    <col min="12" max="14" width="9.5" style="2145" customWidth="1"/>
    <col min="15" max="15" width="9.875" style="2145" customWidth="1"/>
    <col min="16" max="16" width="9.75" style="2145" customWidth="1"/>
    <col min="17" max="17" width="9.375" style="2145" hidden="1" customWidth="1"/>
    <col min="18" max="18" width="9.25" style="2145" hidden="1" customWidth="1"/>
    <col min="19" max="19" width="10.875" style="2145" hidden="1" customWidth="1"/>
    <col min="20" max="21" width="10.75" style="2145" hidden="1" customWidth="1"/>
    <col min="22" max="22" width="10.875" style="2145" hidden="1" customWidth="1"/>
    <col min="23" max="27" width="10.75" style="2145" hidden="1" customWidth="1"/>
    <col min="28" max="28" width="10.875" style="2145" hidden="1" customWidth="1"/>
    <col min="29" max="29" width="11" style="2145" bestFit="1" customWidth="1"/>
    <col min="30" max="30" width="10" style="2145" bestFit="1" customWidth="1"/>
    <col min="31" max="31" width="9.75" style="2145" customWidth="1"/>
    <col min="32" max="46" width="9.5" style="2145" customWidth="1"/>
    <col min="47" max="47" width="18.125" style="2145" customWidth="1"/>
    <col min="48" max="50" width="9.75" style="2145" customWidth="1"/>
    <col min="51" max="55" width="10.5" style="2145" bestFit="1" customWidth="1"/>
    <col min="56" max="56" width="9.5" style="2145" bestFit="1" customWidth="1"/>
    <col min="57" max="63" width="9.125" style="2145" bestFit="1" customWidth="1"/>
    <col min="64" max="64" width="9.5" style="2145" bestFit="1" customWidth="1"/>
    <col min="65" max="65" width="9.125" style="2145" bestFit="1" customWidth="1"/>
    <col min="66" max="66" width="9.5" style="2145" bestFit="1" customWidth="1"/>
    <col min="67" max="69" width="9.125" style="2145" bestFit="1" customWidth="1"/>
    <col min="70" max="70" width="9.5" style="2145" bestFit="1" customWidth="1"/>
    <col min="71" max="71" width="9" style="2145" customWidth="1"/>
    <col min="72" max="72" width="9.125" style="2145" bestFit="1" customWidth="1"/>
    <col min="73" max="16384" width="8.875" style="2145"/>
  </cols>
  <sheetData>
    <row r="1" spans="1:72" ht="20.25">
      <c r="A1" s="2148" t="s">
        <v>1863</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c r="AU1" s="2018"/>
      <c r="AV1" s="2149" t="s">
        <v>1864</v>
      </c>
      <c r="AW1" s="2018"/>
      <c r="AX1" s="2018"/>
      <c r="AY1" s="2018"/>
      <c r="AZ1" s="2018"/>
      <c r="BA1" s="2018"/>
      <c r="BB1" s="2018"/>
      <c r="BC1" s="2018"/>
      <c r="BD1" s="2018"/>
      <c r="BE1" s="2018"/>
      <c r="BF1" s="2018"/>
      <c r="BG1" s="2018"/>
      <c r="BH1" s="2018"/>
      <c r="BI1" s="2018"/>
      <c r="BJ1" s="2018"/>
      <c r="BK1" s="2018"/>
      <c r="BL1" s="2018"/>
      <c r="BM1" s="2018"/>
      <c r="BN1" s="2018"/>
      <c r="BO1" s="2018"/>
      <c r="BP1" s="2018"/>
      <c r="BQ1" s="2018"/>
      <c r="BR1" s="2018"/>
      <c r="BS1" s="2018"/>
      <c r="BT1" s="2018"/>
    </row>
    <row r="2" spans="1:72" s="2153" customFormat="1" ht="24">
      <c r="A2" s="11" t="s">
        <v>1865</v>
      </c>
      <c r="B2" s="11" t="s">
        <v>1866</v>
      </c>
      <c r="C2" s="11" t="s">
        <v>1867</v>
      </c>
      <c r="D2" s="2150"/>
      <c r="E2" s="2151"/>
      <c r="F2" s="2152"/>
      <c r="G2" s="2150"/>
      <c r="H2" s="2150"/>
      <c r="I2" s="2150"/>
      <c r="J2" s="2150"/>
      <c r="K2" s="2150"/>
      <c r="L2" s="2150"/>
      <c r="M2" s="2150"/>
      <c r="N2" s="2150"/>
      <c r="O2" s="2150"/>
      <c r="P2" s="2150"/>
      <c r="Q2" s="2150"/>
      <c r="R2" s="2150"/>
      <c r="S2" s="2150"/>
      <c r="T2" s="2150"/>
      <c r="U2" s="2150"/>
      <c r="V2" s="2150"/>
      <c r="W2" s="2150"/>
      <c r="X2" s="2150"/>
      <c r="Y2" s="2150"/>
      <c r="Z2" s="2150"/>
      <c r="AA2" s="2150"/>
      <c r="AB2" s="2150"/>
      <c r="AC2" s="2150"/>
      <c r="AD2" s="2150"/>
      <c r="AE2" s="2150"/>
      <c r="AF2" s="2150"/>
      <c r="AG2" s="2150"/>
      <c r="AH2" s="2150"/>
      <c r="AI2" s="2150"/>
      <c r="AJ2" s="2150"/>
      <c r="AK2" s="2150"/>
      <c r="AL2" s="2150"/>
      <c r="AM2" s="2150"/>
      <c r="AN2" s="2150"/>
      <c r="AO2" s="2150"/>
      <c r="AP2" s="2150"/>
      <c r="AQ2" s="2150"/>
      <c r="AR2" s="2150"/>
      <c r="AS2" s="2150"/>
      <c r="AT2" s="2150"/>
      <c r="AU2" s="2150"/>
      <c r="AV2" s="2150"/>
      <c r="AW2" s="2150"/>
      <c r="AX2" s="2150"/>
      <c r="AY2" s="1268" t="s">
        <v>1868</v>
      </c>
      <c r="AZ2" s="1269" t="s">
        <v>1869</v>
      </c>
      <c r="BA2" s="11" t="s">
        <v>1870</v>
      </c>
      <c r="BB2" s="2150"/>
      <c r="BC2" s="2150"/>
      <c r="BD2" s="2150"/>
      <c r="BE2" s="2150"/>
      <c r="BF2" s="2150"/>
      <c r="BG2" s="2150"/>
      <c r="BH2" s="2150"/>
      <c r="BI2" s="2150"/>
      <c r="BJ2" s="2150"/>
      <c r="BK2" s="2150"/>
      <c r="BL2" s="2150"/>
      <c r="BM2" s="2150"/>
      <c r="BN2" s="2150"/>
      <c r="BO2" s="2150"/>
      <c r="BP2" s="2150"/>
      <c r="BQ2" s="2150"/>
      <c r="BR2" s="2150"/>
      <c r="BS2" s="2150"/>
      <c r="BT2" s="2150"/>
    </row>
    <row r="3" spans="1:72" s="2153" customFormat="1" ht="12.75">
      <c r="A3" s="13">
        <v>24151.66</v>
      </c>
      <c r="B3" s="14">
        <f>IF(C3="否",G5-AT5,G5)</f>
        <v>46712.319999999992</v>
      </c>
      <c r="C3" s="2154" t="s">
        <v>3069</v>
      </c>
      <c r="D3" s="2150"/>
      <c r="E3" s="2150"/>
      <c r="F3" s="2150"/>
      <c r="G3" s="2150"/>
      <c r="H3" s="2150"/>
      <c r="I3" s="2150"/>
      <c r="J3" s="2150"/>
      <c r="K3" s="2150"/>
      <c r="L3" s="2150"/>
      <c r="M3" s="2150"/>
      <c r="N3" s="2150"/>
      <c r="O3" s="2150"/>
      <c r="P3" s="2150"/>
      <c r="Q3" s="2150"/>
      <c r="R3" s="2150"/>
      <c r="S3" s="2150"/>
      <c r="T3" s="2150"/>
      <c r="U3" s="2150"/>
      <c r="V3" s="2150"/>
      <c r="W3" s="2150"/>
      <c r="X3" s="2150"/>
      <c r="Y3" s="2150"/>
      <c r="Z3" s="2150"/>
      <c r="AA3" s="2150"/>
      <c r="AB3" s="2150"/>
      <c r="AC3" s="2150"/>
      <c r="AD3" s="2150"/>
      <c r="AE3" s="2150"/>
      <c r="AF3" s="2150"/>
      <c r="AG3" s="2150"/>
      <c r="AH3" s="2150"/>
      <c r="AI3" s="2150"/>
      <c r="AJ3" s="2150"/>
      <c r="AK3" s="2150"/>
      <c r="AL3" s="2150"/>
      <c r="AM3" s="2150"/>
      <c r="AN3" s="2150"/>
      <c r="AO3" s="2150"/>
      <c r="AP3" s="2150"/>
      <c r="AQ3" s="2150"/>
      <c r="AR3" s="2150"/>
      <c r="AS3" s="2150"/>
      <c r="AT3" s="2150"/>
      <c r="AU3" s="2150"/>
      <c r="AV3" s="2150"/>
      <c r="AW3" s="2150"/>
      <c r="AX3" s="2150"/>
      <c r="AY3" s="1270">
        <v>22468.9</v>
      </c>
      <c r="AZ3" s="1271"/>
      <c r="BA3" s="1272"/>
      <c r="BB3" s="2150"/>
      <c r="BC3" s="2150"/>
      <c r="BD3" s="2150"/>
      <c r="BE3" s="2150"/>
      <c r="BF3" s="2150"/>
      <c r="BG3" s="2150"/>
      <c r="BH3" s="2150"/>
      <c r="BI3" s="2150"/>
      <c r="BJ3" s="2150"/>
      <c r="BK3" s="2150"/>
      <c r="BL3" s="2150"/>
      <c r="BM3" s="2150"/>
      <c r="BN3" s="2150"/>
      <c r="BO3" s="2150"/>
      <c r="BP3" s="2150"/>
      <c r="BQ3" s="2150"/>
      <c r="BR3" s="2150"/>
      <c r="BS3" s="2150"/>
      <c r="BT3" s="2150"/>
    </row>
    <row r="4" spans="1:72" s="2159" customFormat="1" ht="13.5" thickBot="1">
      <c r="A4" s="2155"/>
      <c r="B4" s="2156"/>
      <c r="C4" s="2157"/>
      <c r="D4" s="2150"/>
      <c r="E4" s="2150"/>
      <c r="F4" s="2150"/>
      <c r="G4" s="2150"/>
      <c r="H4" s="2150"/>
      <c r="I4" s="2150"/>
      <c r="J4" s="2150"/>
      <c r="K4" s="2150"/>
      <c r="L4" s="2150"/>
      <c r="M4" s="2150"/>
      <c r="N4" s="2150"/>
      <c r="O4" s="2150"/>
      <c r="P4" s="2150"/>
      <c r="Q4" s="2150"/>
      <c r="R4" s="2150"/>
      <c r="S4" s="2150"/>
      <c r="T4" s="2150"/>
      <c r="U4" s="2150"/>
      <c r="V4" s="2150"/>
      <c r="W4" s="2150"/>
      <c r="X4" s="2150"/>
      <c r="Y4" s="2150"/>
      <c r="Z4" s="2150"/>
      <c r="AA4" s="2150"/>
      <c r="AB4" s="2150"/>
      <c r="AC4" s="2150"/>
      <c r="AD4" s="2150"/>
      <c r="AE4" s="2150"/>
      <c r="AF4" s="2150"/>
      <c r="AG4" s="2150"/>
      <c r="AH4" s="2150"/>
      <c r="AI4" s="2150"/>
      <c r="AJ4" s="2150"/>
      <c r="AK4" s="2150"/>
      <c r="AL4" s="2150"/>
      <c r="AM4" s="2150"/>
      <c r="AN4" s="2150"/>
      <c r="AO4" s="2150"/>
      <c r="AP4" s="2150"/>
      <c r="AQ4" s="2150"/>
      <c r="AR4" s="2150"/>
      <c r="AS4" s="2150"/>
      <c r="AT4" s="2150"/>
      <c r="AU4" s="2150"/>
      <c r="AV4" s="2150"/>
      <c r="AW4" s="2150"/>
      <c r="AX4" s="2150"/>
      <c r="AY4" s="2150"/>
      <c r="AZ4" s="2150"/>
      <c r="BA4" s="2158"/>
      <c r="BB4" s="2150"/>
      <c r="BC4" s="2150"/>
      <c r="BD4" s="2150"/>
      <c r="BE4" s="2150"/>
      <c r="BF4" s="2150"/>
      <c r="BG4" s="2150"/>
      <c r="BH4" s="2150"/>
      <c r="BI4" s="2150"/>
      <c r="BJ4" s="2150"/>
      <c r="BK4" s="2150"/>
      <c r="BL4" s="2150"/>
      <c r="BM4" s="2150"/>
      <c r="BN4" s="2150"/>
      <c r="BO4" s="2150"/>
      <c r="BP4" s="2150"/>
      <c r="BQ4" s="2150"/>
      <c r="BR4" s="2150"/>
      <c r="BS4" s="2150"/>
      <c r="BT4" s="2150"/>
    </row>
    <row r="5" spans="1:72" s="2153" customFormat="1" ht="12.75">
      <c r="A5" s="15" t="s">
        <v>1871</v>
      </c>
      <c r="B5" s="1792"/>
      <c r="C5" s="1792"/>
      <c r="D5" s="1795"/>
      <c r="E5" s="16" t="s">
        <v>1</v>
      </c>
      <c r="F5" s="16">
        <f>SUM(F13:F587)</f>
        <v>0</v>
      </c>
      <c r="G5" s="16">
        <f>SUM(G13:G587)</f>
        <v>46712.319999999992</v>
      </c>
      <c r="H5" s="16">
        <f t="shared" ref="H5:AT5" si="0">SUM(H13:H656)</f>
        <v>43687.46</v>
      </c>
      <c r="I5" s="16">
        <f t="shared" si="0"/>
        <v>2648.98</v>
      </c>
      <c r="J5" s="16">
        <f t="shared" si="0"/>
        <v>0</v>
      </c>
      <c r="K5" s="16">
        <f t="shared" si="0"/>
        <v>22570.929999999997</v>
      </c>
      <c r="L5" s="16">
        <f t="shared" si="0"/>
        <v>0</v>
      </c>
      <c r="M5" s="16">
        <f t="shared" si="0"/>
        <v>13513.800000000003</v>
      </c>
      <c r="N5" s="16">
        <f t="shared" si="0"/>
        <v>0</v>
      </c>
      <c r="O5" s="16">
        <f t="shared" si="0"/>
        <v>4953.75</v>
      </c>
      <c r="P5" s="16">
        <f t="shared" si="0"/>
        <v>197.07999999999993</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708.97</v>
      </c>
      <c r="AD5" s="16">
        <f t="shared" si="0"/>
        <v>22.18</v>
      </c>
      <c r="AE5" s="16">
        <f t="shared" si="0"/>
        <v>22.18</v>
      </c>
      <c r="AF5" s="16">
        <f t="shared" si="0"/>
        <v>237.49</v>
      </c>
      <c r="AG5" s="16">
        <f t="shared" si="0"/>
        <v>237.49</v>
      </c>
      <c r="AH5" s="16">
        <f t="shared" si="0"/>
        <v>165.68</v>
      </c>
      <c r="AI5" s="16">
        <f t="shared" si="0"/>
        <v>165.68</v>
      </c>
      <c r="AJ5" s="16">
        <f t="shared" si="0"/>
        <v>0</v>
      </c>
      <c r="AK5" s="16">
        <f t="shared" si="0"/>
        <v>0</v>
      </c>
      <c r="AL5" s="16">
        <f t="shared" si="0"/>
        <v>0</v>
      </c>
      <c r="AM5" s="16">
        <f t="shared" si="0"/>
        <v>0</v>
      </c>
      <c r="AN5" s="16">
        <f t="shared" si="0"/>
        <v>283.62</v>
      </c>
      <c r="AO5" s="16">
        <f t="shared" si="0"/>
        <v>283.62</v>
      </c>
      <c r="AP5" s="16">
        <f t="shared" si="0"/>
        <v>0</v>
      </c>
      <c r="AQ5" s="16">
        <f t="shared" si="0"/>
        <v>0</v>
      </c>
      <c r="AR5" s="16">
        <f t="shared" si="0"/>
        <v>0</v>
      </c>
      <c r="AS5" s="16">
        <f t="shared" si="0"/>
        <v>0</v>
      </c>
      <c r="AT5" s="16">
        <f t="shared" si="0"/>
        <v>2315.89</v>
      </c>
      <c r="AU5" s="1791"/>
      <c r="AV5" s="15" t="s">
        <v>1871</v>
      </c>
      <c r="AW5" s="1792"/>
      <c r="AX5" s="1792"/>
      <c r="AY5" s="17" t="s">
        <v>3</v>
      </c>
      <c r="AZ5" s="18">
        <f t="shared" ref="AZ5:BT5" si="1">SUM(AZ13:AZ656)</f>
        <v>43490.38</v>
      </c>
      <c r="BA5" s="18">
        <f t="shared" si="1"/>
        <v>43490.38</v>
      </c>
      <c r="BB5" s="18">
        <f t="shared" si="1"/>
        <v>2648.98</v>
      </c>
      <c r="BC5" s="18">
        <f t="shared" si="1"/>
        <v>22570.929999999997</v>
      </c>
      <c r="BD5" s="18">
        <f t="shared" si="1"/>
        <v>13513.800000000003</v>
      </c>
      <c r="BE5" s="18">
        <f t="shared" si="1"/>
        <v>4756.67</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3" customFormat="1" ht="12.75">
      <c r="A6" s="15" t="s">
        <v>1872</v>
      </c>
      <c r="B6" s="2160"/>
      <c r="C6" s="2160"/>
      <c r="D6" s="2161"/>
      <c r="E6" s="16">
        <f>H6+AC6+AT6</f>
        <v>24151.660000000003</v>
      </c>
      <c r="F6" s="16" t="s">
        <v>1</v>
      </c>
      <c r="G6" s="16" t="s">
        <v>2</v>
      </c>
      <c r="H6" s="20">
        <f>SUMIF(I$12:AB$12,"总值",I6:AB6)</f>
        <v>22587.72</v>
      </c>
      <c r="I6" s="16">
        <f t="shared" ref="I6:AB6" si="2">ROUND($A$3*I5/$B$3,2)</f>
        <v>1369.6</v>
      </c>
      <c r="J6" s="16">
        <f t="shared" si="2"/>
        <v>0</v>
      </c>
      <c r="K6" s="16">
        <f t="shared" si="2"/>
        <v>11669.84</v>
      </c>
      <c r="L6" s="16">
        <f t="shared" si="2"/>
        <v>0</v>
      </c>
      <c r="M6" s="16">
        <f t="shared" si="2"/>
        <v>6987.04</v>
      </c>
      <c r="N6" s="16">
        <f t="shared" si="2"/>
        <v>0</v>
      </c>
      <c r="O6" s="16">
        <f t="shared" si="2"/>
        <v>2561.2399999999998</v>
      </c>
      <c r="P6" s="16">
        <f t="shared" si="2"/>
        <v>101.9</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366.56</v>
      </c>
      <c r="AD6" s="16">
        <f t="shared" ref="AD6:AS6" si="3">ROUND($A$3*AD5/$B$3,2)</f>
        <v>11.47</v>
      </c>
      <c r="AE6" s="16">
        <f t="shared" si="3"/>
        <v>11.47</v>
      </c>
      <c r="AF6" s="16">
        <f t="shared" si="3"/>
        <v>122.79</v>
      </c>
      <c r="AG6" s="16">
        <f t="shared" si="3"/>
        <v>122.79</v>
      </c>
      <c r="AH6" s="16">
        <f t="shared" si="3"/>
        <v>85.66</v>
      </c>
      <c r="AI6" s="16">
        <f t="shared" si="3"/>
        <v>85.66</v>
      </c>
      <c r="AJ6" s="16">
        <f t="shared" si="3"/>
        <v>0</v>
      </c>
      <c r="AK6" s="16">
        <f t="shared" si="3"/>
        <v>0</v>
      </c>
      <c r="AL6" s="16">
        <f t="shared" si="3"/>
        <v>0</v>
      </c>
      <c r="AM6" s="16">
        <f t="shared" si="3"/>
        <v>0</v>
      </c>
      <c r="AN6" s="16">
        <f t="shared" si="3"/>
        <v>146.63999999999999</v>
      </c>
      <c r="AO6" s="16">
        <f t="shared" si="3"/>
        <v>146.63999999999999</v>
      </c>
      <c r="AP6" s="16">
        <f t="shared" si="3"/>
        <v>0</v>
      </c>
      <c r="AQ6" s="16">
        <f t="shared" si="3"/>
        <v>0</v>
      </c>
      <c r="AR6" s="16">
        <f t="shared" si="3"/>
        <v>0</v>
      </c>
      <c r="AS6" s="16">
        <f t="shared" si="3"/>
        <v>0</v>
      </c>
      <c r="AT6" s="20">
        <f>IF(C3="是",ROUND($A$3*AT5/$B$3,2),0)</f>
        <v>1197.3800000000001</v>
      </c>
      <c r="AU6" s="2162"/>
      <c r="AV6" s="15" t="s">
        <v>1872</v>
      </c>
      <c r="AW6" s="2160"/>
      <c r="AX6" s="2160"/>
      <c r="AY6" s="21">
        <f>IF(AY3&gt;0,AY3,ROUND($A$3*AZ5/$B$3,2))</f>
        <v>22468.9</v>
      </c>
      <c r="AZ6" s="16" t="s">
        <v>3</v>
      </c>
      <c r="BA6" s="16">
        <f>ROUND($AY$6*BA5/$AZ$5,2)</f>
        <v>22468.9</v>
      </c>
      <c r="BB6" s="16">
        <f>ROUND($AY$6*BB5/$AZ$5,2)</f>
        <v>1368.57</v>
      </c>
      <c r="BC6" s="16">
        <f t="shared" ref="BC6:BH6" si="4">ROUND($AY$6*BC5/$AZ$5,2)</f>
        <v>11661.06</v>
      </c>
      <c r="BD6" s="16">
        <f t="shared" si="4"/>
        <v>6981.78</v>
      </c>
      <c r="BE6" s="16">
        <f t="shared" si="4"/>
        <v>2457.4899999999998</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3" customFormat="1" ht="24.75">
      <c r="A7" s="2095" t="s">
        <v>1873</v>
      </c>
      <c r="B7" s="2095" t="s">
        <v>1874</v>
      </c>
      <c r="C7" s="2095" t="s">
        <v>1875</v>
      </c>
      <c r="D7" s="2095" t="s">
        <v>1876</v>
      </c>
      <c r="E7" s="2095" t="s">
        <v>1877</v>
      </c>
      <c r="F7" s="2095" t="s">
        <v>1878</v>
      </c>
      <c r="G7" s="2164" t="s">
        <v>1879</v>
      </c>
      <c r="H7" s="2165"/>
      <c r="I7" s="2165"/>
      <c r="J7" s="2165"/>
      <c r="K7" s="2165"/>
      <c r="L7" s="2165"/>
      <c r="M7" s="2165"/>
      <c r="N7" s="2165"/>
      <c r="O7" s="2165"/>
      <c r="P7" s="2165"/>
      <c r="Q7" s="2165"/>
      <c r="R7" s="2165"/>
      <c r="S7" s="2165"/>
      <c r="T7" s="2165"/>
      <c r="U7" s="2165"/>
      <c r="V7" s="2165"/>
      <c r="W7" s="2165"/>
      <c r="X7" s="2165"/>
      <c r="Y7" s="2165"/>
      <c r="Z7" s="2165"/>
      <c r="AA7" s="2165"/>
      <c r="AB7" s="2165"/>
      <c r="AC7" s="2165"/>
      <c r="AD7" s="2165"/>
      <c r="AE7" s="2165"/>
      <c r="AF7" s="2165"/>
      <c r="AG7" s="2165"/>
      <c r="AH7" s="2165"/>
      <c r="AI7" s="2165"/>
      <c r="AJ7" s="2165"/>
      <c r="AK7" s="2165"/>
      <c r="AL7" s="2165"/>
      <c r="AM7" s="2165"/>
      <c r="AN7" s="2165"/>
      <c r="AO7" s="2165"/>
      <c r="AP7" s="2165"/>
      <c r="AQ7" s="2165"/>
      <c r="AR7" s="2165"/>
      <c r="AS7" s="2165"/>
      <c r="AT7" s="1795"/>
      <c r="AU7" s="2165" t="s">
        <v>1880</v>
      </c>
      <c r="AV7" s="23" t="s">
        <v>1881</v>
      </c>
      <c r="AW7" s="2152" t="s">
        <v>1882</v>
      </c>
      <c r="AX7" s="23" t="s">
        <v>1875</v>
      </c>
      <c r="AY7" s="1792" t="s">
        <v>1883</v>
      </c>
      <c r="AZ7" s="2166"/>
      <c r="BA7" s="2165"/>
      <c r="BB7" s="2165"/>
      <c r="BC7" s="2165"/>
      <c r="BD7" s="2165"/>
      <c r="BE7" s="2165"/>
      <c r="BF7" s="2165"/>
      <c r="BG7" s="2165"/>
      <c r="BH7" s="2165"/>
      <c r="BI7" s="2165"/>
      <c r="BJ7" s="2165"/>
      <c r="BK7" s="2165"/>
      <c r="BL7" s="2165"/>
      <c r="BM7" s="2165"/>
      <c r="BN7" s="2165"/>
      <c r="BO7" s="2165"/>
      <c r="BP7" s="2165"/>
      <c r="BQ7" s="2165"/>
      <c r="BR7" s="2165"/>
      <c r="BS7" s="2165"/>
      <c r="BT7" s="2167"/>
    </row>
    <row r="8" spans="1:72" s="2175" customFormat="1" ht="24">
      <c r="A8" s="2168"/>
      <c r="B8" s="2168"/>
      <c r="C8" s="2168"/>
      <c r="D8" s="2168"/>
      <c r="E8" s="2168"/>
      <c r="F8" s="2168"/>
      <c r="G8" s="2169" t="s">
        <v>1884</v>
      </c>
      <c r="H8" s="2170" t="s">
        <v>1885</v>
      </c>
      <c r="I8" s="2171"/>
      <c r="J8" s="1807"/>
      <c r="K8" s="1807"/>
      <c r="L8" s="1807"/>
      <c r="M8" s="1807"/>
      <c r="N8" s="1807"/>
      <c r="O8" s="1807"/>
      <c r="P8" s="1807"/>
      <c r="Q8" s="1807"/>
      <c r="R8" s="1807"/>
      <c r="S8" s="1807"/>
      <c r="T8" s="1807"/>
      <c r="U8" s="1807"/>
      <c r="V8" s="2172"/>
      <c r="W8" s="1807"/>
      <c r="X8" s="1807"/>
      <c r="Y8" s="1807"/>
      <c r="Z8" s="1807"/>
      <c r="AA8" s="2172"/>
      <c r="AB8" s="2173"/>
      <c r="AC8" s="980" t="s">
        <v>1886</v>
      </c>
      <c r="AD8" s="2174"/>
      <c r="AE8" s="2166"/>
      <c r="AF8" s="1807"/>
      <c r="AG8" s="1807"/>
      <c r="AH8" s="1807"/>
      <c r="AI8" s="1807"/>
      <c r="AJ8" s="1807"/>
      <c r="AK8" s="1807"/>
      <c r="AL8" s="1807"/>
      <c r="AM8" s="1807"/>
      <c r="AN8" s="1807"/>
      <c r="AO8" s="1807"/>
      <c r="AP8" s="1807"/>
      <c r="AQ8" s="1807"/>
      <c r="AR8" s="1807"/>
      <c r="AS8" s="1807"/>
      <c r="AT8" s="1291" t="s">
        <v>1887</v>
      </c>
      <c r="AU8" s="2168" t="s">
        <v>1888</v>
      </c>
      <c r="AV8" s="1291"/>
      <c r="AW8" s="2151"/>
      <c r="AX8" s="1291"/>
      <c r="AY8" s="2152" t="s">
        <v>1889</v>
      </c>
      <c r="AZ8" s="1806" t="s">
        <v>1890</v>
      </c>
      <c r="BA8" s="1807"/>
      <c r="BB8" s="1807"/>
      <c r="BC8" s="1807"/>
      <c r="BD8" s="1807"/>
      <c r="BE8" s="1807"/>
      <c r="BF8" s="1807"/>
      <c r="BG8" s="1807"/>
      <c r="BH8" s="1807"/>
      <c r="BI8" s="1807"/>
      <c r="BJ8" s="1807"/>
      <c r="BK8" s="1807"/>
      <c r="BL8" s="1807"/>
      <c r="BM8" s="1807"/>
      <c r="BN8" s="1807"/>
      <c r="BO8" s="1807"/>
      <c r="BP8" s="1807"/>
      <c r="BQ8" s="1807"/>
      <c r="BR8" s="1807"/>
      <c r="BS8" s="1807"/>
      <c r="BT8" s="26"/>
    </row>
    <row r="9" spans="1:72" s="2175" customFormat="1" ht="12.75">
      <c r="A9" s="2168"/>
      <c r="B9" s="2168"/>
      <c r="C9" s="2168"/>
      <c r="D9" s="2168"/>
      <c r="E9" s="2168"/>
      <c r="F9" s="2168"/>
      <c r="G9" s="1291"/>
      <c r="H9" s="2176" t="s">
        <v>1891</v>
      </c>
      <c r="I9" s="2177" t="s">
        <v>3070</v>
      </c>
      <c r="J9" s="980"/>
      <c r="K9" s="2177" t="s">
        <v>3070</v>
      </c>
      <c r="L9" s="980"/>
      <c r="M9" s="2177" t="s">
        <v>3071</v>
      </c>
      <c r="N9" s="980"/>
      <c r="O9" s="2177" t="s">
        <v>3071</v>
      </c>
      <c r="P9" s="980"/>
      <c r="Q9" s="2177"/>
      <c r="R9" s="980"/>
      <c r="S9" s="2177"/>
      <c r="T9" s="980"/>
      <c r="U9" s="2177"/>
      <c r="V9" s="980"/>
      <c r="W9" s="2177"/>
      <c r="X9" s="2178"/>
      <c r="Y9" s="2177"/>
      <c r="Z9" s="980"/>
      <c r="AA9" s="2177"/>
      <c r="AB9" s="980"/>
      <c r="AC9" s="2169" t="s">
        <v>1891</v>
      </c>
      <c r="AD9" s="15" t="s">
        <v>1892</v>
      </c>
      <c r="AE9" s="1297"/>
      <c r="AF9" s="15" t="s">
        <v>1893</v>
      </c>
      <c r="AG9" s="1297"/>
      <c r="AH9" s="15" t="s">
        <v>1892</v>
      </c>
      <c r="AI9" s="1297"/>
      <c r="AJ9" s="15" t="s">
        <v>1893</v>
      </c>
      <c r="AK9" s="1297"/>
      <c r="AL9" s="15" t="s">
        <v>1892</v>
      </c>
      <c r="AM9" s="1297"/>
      <c r="AN9" s="15" t="s">
        <v>1893</v>
      </c>
      <c r="AO9" s="1297"/>
      <c r="AP9" s="15" t="s">
        <v>1892</v>
      </c>
      <c r="AQ9" s="1297"/>
      <c r="AR9" s="15" t="s">
        <v>1893</v>
      </c>
      <c r="AS9" s="2179"/>
      <c r="AT9" s="2168"/>
      <c r="AU9" s="2168" t="s">
        <v>1894</v>
      </c>
      <c r="AV9" s="1291"/>
      <c r="AW9" s="2151"/>
      <c r="AX9" s="1291"/>
      <c r="AY9" s="28"/>
      <c r="AZ9" s="28" t="s">
        <v>1884</v>
      </c>
      <c r="BA9" s="2180" t="s">
        <v>1895</v>
      </c>
      <c r="BB9" s="2181"/>
      <c r="BC9" s="1337"/>
      <c r="BD9" s="1337"/>
      <c r="BE9" s="1337"/>
      <c r="BF9" s="1337"/>
      <c r="BG9" s="1337"/>
      <c r="BH9" s="1337"/>
      <c r="BI9" s="1337"/>
      <c r="BJ9" s="1337"/>
      <c r="BK9" s="2182"/>
      <c r="BL9" s="15" t="s">
        <v>1896</v>
      </c>
      <c r="BM9" s="1807"/>
      <c r="BN9" s="2171"/>
      <c r="BO9" s="1807"/>
      <c r="BP9" s="1807"/>
      <c r="BQ9" s="1807"/>
      <c r="BR9" s="1807"/>
      <c r="BS9" s="1807"/>
      <c r="BT9" s="26"/>
    </row>
    <row r="10" spans="1:72" s="2175" customFormat="1" ht="12.75">
      <c r="A10" s="2168"/>
      <c r="B10" s="2168"/>
      <c r="C10" s="2168"/>
      <c r="D10" s="2168"/>
      <c r="E10" s="2168"/>
      <c r="F10" s="2168"/>
      <c r="G10" s="1291"/>
      <c r="H10" s="28"/>
      <c r="I10" s="2177" t="s">
        <v>3267</v>
      </c>
      <c r="J10" s="980"/>
      <c r="K10" s="2177" t="s">
        <v>3267</v>
      </c>
      <c r="L10" s="980"/>
      <c r="M10" s="2183" t="s">
        <v>3269</v>
      </c>
      <c r="N10" s="980"/>
      <c r="O10" s="2183" t="s">
        <v>3072</v>
      </c>
      <c r="P10" s="980"/>
      <c r="Q10" s="2183"/>
      <c r="R10" s="980"/>
      <c r="S10" s="2183"/>
      <c r="T10" s="980"/>
      <c r="U10" s="2183"/>
      <c r="V10" s="980"/>
      <c r="W10" s="2183"/>
      <c r="X10" s="980"/>
      <c r="Y10" s="2183"/>
      <c r="Z10" s="980"/>
      <c r="AA10" s="2183"/>
      <c r="AB10" s="980"/>
      <c r="AC10" s="1291"/>
      <c r="AD10" s="15" t="s">
        <v>1897</v>
      </c>
      <c r="AE10" s="2184"/>
      <c r="AF10" s="15" t="s">
        <v>1897</v>
      </c>
      <c r="AG10" s="2184"/>
      <c r="AH10" s="15" t="s">
        <v>1898</v>
      </c>
      <c r="AI10" s="2184"/>
      <c r="AJ10" s="15" t="s">
        <v>1898</v>
      </c>
      <c r="AK10" s="2184"/>
      <c r="AL10" s="15" t="s">
        <v>1899</v>
      </c>
      <c r="AM10" s="1297"/>
      <c r="AN10" s="15" t="s">
        <v>1899</v>
      </c>
      <c r="AO10" s="1297"/>
      <c r="AP10" s="15" t="s">
        <v>1900</v>
      </c>
      <c r="AQ10" s="1297"/>
      <c r="AR10" s="15" t="s">
        <v>1900</v>
      </c>
      <c r="AS10" s="1297"/>
      <c r="AT10" s="2168"/>
      <c r="AU10" s="2168"/>
      <c r="AV10" s="1291"/>
      <c r="AW10" s="2151"/>
      <c r="AX10" s="1291"/>
      <c r="AY10" s="28"/>
      <c r="AZ10" s="28"/>
      <c r="BA10" s="2185" t="s">
        <v>1891</v>
      </c>
      <c r="BB10" s="2186" t="str">
        <f>I9</f>
        <v>地上</v>
      </c>
      <c r="BC10" s="29" t="str">
        <f>K9</f>
        <v>地上</v>
      </c>
      <c r="BD10" s="29" t="str">
        <f>M9</f>
        <v>地下</v>
      </c>
      <c r="BE10" s="29" t="str">
        <f>O9</f>
        <v>地下</v>
      </c>
      <c r="BF10" s="29">
        <f>Q9</f>
        <v>0</v>
      </c>
      <c r="BG10" s="29">
        <f>S9</f>
        <v>0</v>
      </c>
      <c r="BH10" s="29">
        <f>U9</f>
        <v>0</v>
      </c>
      <c r="BI10" s="29">
        <f>W9</f>
        <v>0</v>
      </c>
      <c r="BJ10" s="29">
        <f>Y9</f>
        <v>0</v>
      </c>
      <c r="BK10" s="29">
        <f>AA9</f>
        <v>0</v>
      </c>
      <c r="BL10" s="25" t="s">
        <v>1891</v>
      </c>
      <c r="BM10" s="1806" t="str">
        <f>AD9</f>
        <v>地上</v>
      </c>
      <c r="BN10" s="29" t="str">
        <f>AF9</f>
        <v>地下</v>
      </c>
      <c r="BO10" s="1806" t="str">
        <f>AH9</f>
        <v>地上</v>
      </c>
      <c r="BP10" s="29" t="str">
        <f>AJ9</f>
        <v>地下</v>
      </c>
      <c r="BQ10" s="1806" t="str">
        <f>AL9</f>
        <v>地上</v>
      </c>
      <c r="BR10" s="29" t="str">
        <f>AN9</f>
        <v>地下</v>
      </c>
      <c r="BS10" s="1806" t="str">
        <f>AP9</f>
        <v>地上</v>
      </c>
      <c r="BT10" s="2187" t="str">
        <f>AR9</f>
        <v>地下</v>
      </c>
    </row>
    <row r="11" spans="1:72" s="2175" customFormat="1" ht="12.75">
      <c r="A11" s="2168"/>
      <c r="B11" s="2168"/>
      <c r="C11" s="2168"/>
      <c r="D11" s="2168"/>
      <c r="E11" s="2168"/>
      <c r="F11" s="2168"/>
      <c r="G11" s="1291"/>
      <c r="H11" s="2185"/>
      <c r="I11" s="2188" t="s">
        <v>3308</v>
      </c>
      <c r="J11" s="2189"/>
      <c r="K11" s="2188" t="s">
        <v>3313</v>
      </c>
      <c r="L11" s="2189"/>
      <c r="M11" s="2188" t="s">
        <v>3270</v>
      </c>
      <c r="N11" s="2189"/>
      <c r="O11" s="2188" t="s">
        <v>3072</v>
      </c>
      <c r="P11" s="2189"/>
      <c r="Q11" s="2188"/>
      <c r="R11" s="2189"/>
      <c r="S11" s="2188"/>
      <c r="T11" s="2189"/>
      <c r="U11" s="2188"/>
      <c r="V11" s="2189"/>
      <c r="W11" s="2188"/>
      <c r="X11" s="2189"/>
      <c r="Y11" s="2188"/>
      <c r="Z11" s="2189"/>
      <c r="AA11" s="2188"/>
      <c r="AB11" s="2189"/>
      <c r="AC11" s="1291"/>
      <c r="AD11" s="2190" t="s">
        <v>1901</v>
      </c>
      <c r="AE11" s="1808"/>
      <c r="AF11" s="2190" t="s">
        <v>1901</v>
      </c>
      <c r="AG11" s="1808"/>
      <c r="AH11" s="2190" t="s">
        <v>1902</v>
      </c>
      <c r="AI11" s="2191"/>
      <c r="AJ11" s="2190" t="s">
        <v>1902</v>
      </c>
      <c r="AK11" s="1808"/>
      <c r="AL11" s="1806"/>
      <c r="AM11" s="1808"/>
      <c r="AN11" s="1806"/>
      <c r="AO11" s="1808"/>
      <c r="AP11" s="1806"/>
      <c r="AQ11" s="1808"/>
      <c r="AR11" s="1806"/>
      <c r="AS11" s="1808"/>
      <c r="AT11" s="2151"/>
      <c r="AU11" s="2168"/>
      <c r="AV11" s="1291"/>
      <c r="AW11" s="2151"/>
      <c r="AX11" s="1291"/>
      <c r="AY11" s="28"/>
      <c r="AZ11" s="28"/>
      <c r="BA11" s="28"/>
      <c r="BB11" s="2173" t="str">
        <f>I10</f>
        <v>住宅</v>
      </c>
      <c r="BC11" s="2173" t="str">
        <f>K10</f>
        <v>住宅</v>
      </c>
      <c r="BD11" s="2173" t="str">
        <f>M10</f>
        <v>仓储</v>
      </c>
      <c r="BE11" s="2173" t="str">
        <f>O10</f>
        <v>车库</v>
      </c>
      <c r="BF11" s="2173">
        <f>Q10</f>
        <v>0</v>
      </c>
      <c r="BG11" s="2173">
        <f>S10</f>
        <v>0</v>
      </c>
      <c r="BH11" s="2173">
        <f>U10</f>
        <v>0</v>
      </c>
      <c r="BI11" s="2173">
        <f>W10</f>
        <v>0</v>
      </c>
      <c r="BJ11" s="2173">
        <f>Y10</f>
        <v>0</v>
      </c>
      <c r="BK11" s="2173">
        <f>AA10</f>
        <v>0</v>
      </c>
      <c r="BL11" s="1291"/>
      <c r="BM11" s="1806" t="str">
        <f>AD10</f>
        <v>公共配套设施</v>
      </c>
      <c r="BN11" s="1806" t="str">
        <f>AF10</f>
        <v>公共配套设施</v>
      </c>
      <c r="BO11" s="24" t="str">
        <f>AH10</f>
        <v>物业管理用房</v>
      </c>
      <c r="BP11" s="24" t="str">
        <f>AJ10</f>
        <v>物业管理用房</v>
      </c>
      <c r="BQ11" s="24" t="str">
        <f>AL10</f>
        <v>设备及其他</v>
      </c>
      <c r="BR11" s="24" t="str">
        <f>AN10</f>
        <v>设备及其他</v>
      </c>
      <c r="BS11" s="25" t="str">
        <f>AP10</f>
        <v>未注明</v>
      </c>
      <c r="BT11" s="2192" t="str">
        <f>AR10</f>
        <v>未注明</v>
      </c>
    </row>
    <row r="12" spans="1:72" s="2153" customFormat="1" ht="12.75">
      <c r="A12" s="2193"/>
      <c r="B12" s="2193"/>
      <c r="C12" s="2193"/>
      <c r="D12" s="2193"/>
      <c r="E12" s="2193"/>
      <c r="F12" s="2193"/>
      <c r="G12" s="30"/>
      <c r="H12" s="2194"/>
      <c r="I12" s="1795"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91" t="s">
        <v>1904</v>
      </c>
      <c r="W12" s="11" t="s">
        <v>1903</v>
      </c>
      <c r="X12" s="11" t="s">
        <v>1904</v>
      </c>
      <c r="Y12" s="11" t="s">
        <v>1903</v>
      </c>
      <c r="Z12" s="11" t="s">
        <v>1904</v>
      </c>
      <c r="AA12" s="11" t="s">
        <v>1903</v>
      </c>
      <c r="AB12" s="11" t="s">
        <v>1904</v>
      </c>
      <c r="AC12" s="2195"/>
      <c r="AD12" s="1795"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193" t="s">
        <v>1904</v>
      </c>
      <c r="AT12" s="2196"/>
      <c r="AU12" s="2193"/>
      <c r="AV12" s="31"/>
      <c r="AW12" s="2152"/>
      <c r="AX12" s="31"/>
      <c r="AY12" s="2197"/>
      <c r="AZ12" s="28"/>
      <c r="BA12" s="2185"/>
      <c r="BB12" s="24" t="str">
        <f>I11</f>
        <v>合院</v>
      </c>
      <c r="BC12" s="2198" t="str">
        <f>K11</f>
        <v>叠拼</v>
      </c>
      <c r="BD12" s="2198" t="str">
        <f>M11</f>
        <v>戊类库房</v>
      </c>
      <c r="BE12" s="2173" t="str">
        <f>O11</f>
        <v>车库</v>
      </c>
      <c r="BF12" s="2173">
        <f>Q11</f>
        <v>0</v>
      </c>
      <c r="BG12" s="2173">
        <f>S11</f>
        <v>0</v>
      </c>
      <c r="BH12" s="2173">
        <f>U11</f>
        <v>0</v>
      </c>
      <c r="BI12" s="2173">
        <f>W11</f>
        <v>0</v>
      </c>
      <c r="BJ12" s="2173">
        <f>Y11</f>
        <v>0</v>
      </c>
      <c r="BK12" s="2173">
        <f>AA11</f>
        <v>0</v>
      </c>
      <c r="BL12" s="1291"/>
      <c r="BM12" s="1806" t="str">
        <f>AD11</f>
        <v>（住宅）</v>
      </c>
      <c r="BN12" s="1806" t="str">
        <f>AF11</f>
        <v>（住宅）</v>
      </c>
      <c r="BO12" s="24" t="str">
        <f>AH11</f>
        <v>（住宅、计出让金）</v>
      </c>
      <c r="BP12" s="24" t="str">
        <f>AJ11</f>
        <v>（住宅、计出让金）</v>
      </c>
      <c r="BQ12" s="24">
        <f>AL11</f>
        <v>0</v>
      </c>
      <c r="BR12" s="24">
        <f>AN11</f>
        <v>0</v>
      </c>
      <c r="BS12" s="25">
        <f>AP11</f>
        <v>0</v>
      </c>
      <c r="BT12" s="2192">
        <f>AR11</f>
        <v>0</v>
      </c>
    </row>
    <row r="13" spans="1:72" s="2153" customFormat="1" ht="12.75">
      <c r="A13" s="2954" t="s">
        <v>3309</v>
      </c>
      <c r="B13" s="1271" t="s">
        <v>3314</v>
      </c>
      <c r="C13" s="2976" t="s">
        <v>3299</v>
      </c>
      <c r="D13" s="2199" t="s">
        <v>3069</v>
      </c>
      <c r="E13" s="16">
        <f>IF($C$3="是",ROUND($A$3*G13/$B$3,2),ROUND($A$3*(G13-AT13)/$B$3,2))</f>
        <v>634.46</v>
      </c>
      <c r="F13" s="32"/>
      <c r="G13" s="33">
        <f>H13+AC13+AT13</f>
        <v>1227.1300000000001</v>
      </c>
      <c r="H13" s="20">
        <f>SUMIF(I$12:AB$12,"总值",I13:AB13)</f>
        <v>1039.27</v>
      </c>
      <c r="I13" s="2200">
        <v>558.23</v>
      </c>
      <c r="J13" s="2200"/>
      <c r="K13" s="2200"/>
      <c r="L13" s="2200"/>
      <c r="M13" s="2200">
        <v>481.04</v>
      </c>
      <c r="N13" s="2200"/>
      <c r="O13" s="2200"/>
      <c r="P13" s="2200"/>
      <c r="Q13" s="2200"/>
      <c r="R13" s="2200"/>
      <c r="S13" s="2200"/>
      <c r="T13" s="2200"/>
      <c r="U13" s="2200"/>
      <c r="V13" s="2200"/>
      <c r="W13" s="2200"/>
      <c r="X13" s="2200"/>
      <c r="Y13" s="2200"/>
      <c r="Z13" s="2200"/>
      <c r="AA13" s="2200"/>
      <c r="AB13" s="2200"/>
      <c r="AC13" s="16">
        <f>SUMIF(AD$12:AS$12,"总值",AD13:AS13)</f>
        <v>187.86</v>
      </c>
      <c r="AD13" s="2201">
        <v>22.18</v>
      </c>
      <c r="AE13" s="2201">
        <f>AD13</f>
        <v>22.18</v>
      </c>
      <c r="AF13" s="2201"/>
      <c r="AG13" s="2201"/>
      <c r="AH13" s="2201">
        <v>165.68</v>
      </c>
      <c r="AI13" s="2201">
        <f>AH13</f>
        <v>165.68</v>
      </c>
      <c r="AJ13" s="2201"/>
      <c r="AK13" s="2201"/>
      <c r="AL13" s="2201"/>
      <c r="AM13" s="2201"/>
      <c r="AN13" s="2201"/>
      <c r="AO13" s="2201"/>
      <c r="AP13" s="2201"/>
      <c r="AQ13" s="2201"/>
      <c r="AR13" s="2201"/>
      <c r="AS13" s="2201"/>
      <c r="AT13" s="2202"/>
      <c r="AU13" s="2203"/>
      <c r="AV13" s="11" t="str">
        <f t="shared" ref="AV13:AX17" si="6">A13</f>
        <v>合院</v>
      </c>
      <c r="AW13" s="11" t="str">
        <f t="shared" si="6"/>
        <v>3层</v>
      </c>
      <c r="AX13" s="11" t="str">
        <f t="shared" si="6"/>
        <v>1#住宅楼</v>
      </c>
      <c r="AY13" s="1795">
        <f>ROUND($AY$6*AZ13/$AZ$5,2)</f>
        <v>536.92999999999995</v>
      </c>
      <c r="AZ13" s="16">
        <f>BA13+BL13</f>
        <v>1039.27</v>
      </c>
      <c r="BA13" s="16">
        <f>SUM(BB13:BK13)</f>
        <v>1039.27</v>
      </c>
      <c r="BB13" s="16">
        <f>IF($D13="是",I13-J13,0)</f>
        <v>558.23</v>
      </c>
      <c r="BC13" s="16">
        <f>IF($D13="是",K13-L13,0)</f>
        <v>0</v>
      </c>
      <c r="BD13" s="16">
        <f>IF($D13="是",M13-N13,0)</f>
        <v>481.04</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3" customFormat="1" ht="12.75">
      <c r="A14" s="2954" t="s">
        <v>3309</v>
      </c>
      <c r="B14" s="1271" t="s">
        <v>3314</v>
      </c>
      <c r="C14" s="2976" t="s">
        <v>3271</v>
      </c>
      <c r="D14" s="2199" t="s">
        <v>3069</v>
      </c>
      <c r="E14" s="16">
        <f>IF($C$3="是",ROUND($A$3*G14/$B$3,2),ROUND($A$3*(G14-AT14)/$B$3,2))</f>
        <v>726.66</v>
      </c>
      <c r="F14" s="32"/>
      <c r="G14" s="33">
        <f>H14+AC14+AT14</f>
        <v>1405.46</v>
      </c>
      <c r="H14" s="20">
        <f>SUMIF(I$12:AB$12,"总值",I14:AB14)</f>
        <v>1405.46</v>
      </c>
      <c r="I14" s="2200">
        <v>759.43</v>
      </c>
      <c r="J14" s="2200"/>
      <c r="K14" s="2200"/>
      <c r="L14" s="2200"/>
      <c r="M14" s="2200">
        <v>646.03</v>
      </c>
      <c r="N14" s="2200"/>
      <c r="O14" s="2200"/>
      <c r="P14" s="2200"/>
      <c r="Q14" s="2200"/>
      <c r="R14" s="2200"/>
      <c r="S14" s="2200"/>
      <c r="T14" s="2200"/>
      <c r="U14" s="2200"/>
      <c r="V14" s="2200"/>
      <c r="W14" s="2200"/>
      <c r="X14" s="2200"/>
      <c r="Y14" s="2200"/>
      <c r="Z14" s="2200"/>
      <c r="AA14" s="2200"/>
      <c r="AB14" s="2200"/>
      <c r="AC14" s="16">
        <f>SUMIF(AD$12:AS$12,"总值",AD14:AS14)</f>
        <v>0</v>
      </c>
      <c r="AD14" s="2201"/>
      <c r="AE14" s="2201"/>
      <c r="AF14" s="2201"/>
      <c r="AG14" s="2201"/>
      <c r="AH14" s="2201"/>
      <c r="AI14" s="2201"/>
      <c r="AJ14" s="2201"/>
      <c r="AK14" s="2201"/>
      <c r="AL14" s="2201"/>
      <c r="AM14" s="2201"/>
      <c r="AN14" s="2201"/>
      <c r="AO14" s="2201"/>
      <c r="AP14" s="2201"/>
      <c r="AQ14" s="2201"/>
      <c r="AR14" s="2201"/>
      <c r="AS14" s="2201"/>
      <c r="AT14" s="2202"/>
      <c r="AU14" s="2203"/>
      <c r="AV14" s="11" t="str">
        <f t="shared" si="6"/>
        <v>合院</v>
      </c>
      <c r="AW14" s="11" t="str">
        <f t="shared" si="6"/>
        <v>3层</v>
      </c>
      <c r="AX14" s="11" t="str">
        <f t="shared" si="6"/>
        <v>2#住宅楼</v>
      </c>
      <c r="AY14" s="1795">
        <f>ROUND($AY$6*AZ14/$AZ$5,2)</f>
        <v>726.12</v>
      </c>
      <c r="AZ14" s="16">
        <f>BA14+BL14</f>
        <v>1405.46</v>
      </c>
      <c r="BA14" s="16">
        <f>SUM(BB14:BK14)</f>
        <v>1405.46</v>
      </c>
      <c r="BB14" s="16">
        <f>IF($D14="是",I14-J14,0)</f>
        <v>759.43</v>
      </c>
      <c r="BC14" s="16">
        <f>IF($D14="是",K14-L14,0)</f>
        <v>0</v>
      </c>
      <c r="BD14" s="16">
        <f>IF($D14="是",M14-N14,0)</f>
        <v>646.03</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3" customFormat="1" ht="12.75">
      <c r="A15" s="2954" t="s">
        <v>3311</v>
      </c>
      <c r="B15" s="1271" t="s">
        <v>3315</v>
      </c>
      <c r="C15" s="2976" t="s">
        <v>3272</v>
      </c>
      <c r="D15" s="2199" t="s">
        <v>3069</v>
      </c>
      <c r="E15" s="16">
        <f>IF($C$3="是",ROUND($A$3*G15/$B$3,2),ROUND($A$3*(G15-AT15)/$B$3,2))</f>
        <v>1326.59</v>
      </c>
      <c r="F15" s="32"/>
      <c r="G15" s="33">
        <f>H15+AC15+AT15</f>
        <v>2565.8000000000002</v>
      </c>
      <c r="H15" s="20">
        <f>SUMIF(I$12:AB$12,"总值",I15:AB15)</f>
        <v>2565.8000000000002</v>
      </c>
      <c r="I15" s="2200"/>
      <c r="J15" s="2200"/>
      <c r="K15" s="2200">
        <f>521.77+521.77+448.14+353.43</f>
        <v>1845.11</v>
      </c>
      <c r="L15" s="2200"/>
      <c r="M15" s="2200">
        <v>720.69</v>
      </c>
      <c r="N15" s="2200"/>
      <c r="O15" s="2200"/>
      <c r="P15" s="2200"/>
      <c r="Q15" s="2200"/>
      <c r="R15" s="2200"/>
      <c r="S15" s="2200"/>
      <c r="T15" s="2200"/>
      <c r="U15" s="2200"/>
      <c r="V15" s="2200"/>
      <c r="W15" s="2200"/>
      <c r="X15" s="2200"/>
      <c r="Y15" s="2200"/>
      <c r="Z15" s="2200"/>
      <c r="AA15" s="2200"/>
      <c r="AB15" s="2200"/>
      <c r="AC15" s="16">
        <f>SUMIF(AD$12:AS$12,"总值",AD15:AS15)</f>
        <v>0</v>
      </c>
      <c r="AD15" s="2201"/>
      <c r="AE15" s="2201"/>
      <c r="AF15" s="2201"/>
      <c r="AG15" s="2201"/>
      <c r="AH15" s="2201"/>
      <c r="AI15" s="2201"/>
      <c r="AJ15" s="2201"/>
      <c r="AK15" s="2201"/>
      <c r="AL15" s="2201"/>
      <c r="AM15" s="2201"/>
      <c r="AN15" s="2201"/>
      <c r="AO15" s="2201"/>
      <c r="AP15" s="2201"/>
      <c r="AQ15" s="2201"/>
      <c r="AR15" s="2201"/>
      <c r="AS15" s="2201"/>
      <c r="AT15" s="2202"/>
      <c r="AU15" s="2203"/>
      <c r="AV15" s="11" t="str">
        <f t="shared" si="6"/>
        <v>叠墅</v>
      </c>
      <c r="AW15" s="11" t="str">
        <f t="shared" si="6"/>
        <v>4层</v>
      </c>
      <c r="AX15" s="11" t="str">
        <f t="shared" si="6"/>
        <v>3#住宅楼</v>
      </c>
      <c r="AY15" s="1795">
        <f>ROUND($AY$6*AZ15/$AZ$5,2)</f>
        <v>1325.6</v>
      </c>
      <c r="AZ15" s="16">
        <f>BA15+BL15</f>
        <v>2565.8000000000002</v>
      </c>
      <c r="BA15" s="16">
        <f>SUM(BB15:BK15)</f>
        <v>2565.8000000000002</v>
      </c>
      <c r="BB15" s="16">
        <f>IF($D15="是",I15-J15,0)</f>
        <v>0</v>
      </c>
      <c r="BC15" s="16">
        <f>IF($D15="是",K15-L15,0)</f>
        <v>1845.11</v>
      </c>
      <c r="BD15" s="16">
        <f>IF($D15="是",M15-N15,0)</f>
        <v>720.69</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3" customFormat="1" ht="12.75">
      <c r="A16" s="2954" t="s">
        <v>3311</v>
      </c>
      <c r="B16" s="1271" t="s">
        <v>3315</v>
      </c>
      <c r="C16" s="2976" t="s">
        <v>3273</v>
      </c>
      <c r="D16" s="2199" t="s">
        <v>3069</v>
      </c>
      <c r="E16" s="16">
        <f>IF($C$3="是",ROUND($A$3*G16/$B$3,2),ROUND($A$3*(G16-AT16)/$B$3,2))</f>
        <v>1727.77</v>
      </c>
      <c r="F16" s="32"/>
      <c r="G16" s="33">
        <f>H16+AC16+AT16</f>
        <v>3341.7299999999996</v>
      </c>
      <c r="H16" s="20">
        <f>SUMIF(I$12:AB$12,"总值",I16:AB16)</f>
        <v>3341.7299999999996</v>
      </c>
      <c r="I16" s="2200"/>
      <c r="J16" s="2200"/>
      <c r="K16" s="2200">
        <f>618.8+616.72+523.8+408.92</f>
        <v>2168.2399999999998</v>
      </c>
      <c r="L16" s="2200"/>
      <c r="M16" s="2200">
        <f>662.37+511.12</f>
        <v>1173.49</v>
      </c>
      <c r="N16" s="2200"/>
      <c r="O16" s="2200"/>
      <c r="P16" s="2200"/>
      <c r="Q16" s="2200"/>
      <c r="R16" s="2200"/>
      <c r="S16" s="2200"/>
      <c r="T16" s="2200"/>
      <c r="U16" s="2200"/>
      <c r="V16" s="2200"/>
      <c r="W16" s="2200"/>
      <c r="X16" s="2200"/>
      <c r="Y16" s="2200"/>
      <c r="Z16" s="2200"/>
      <c r="AA16" s="2200"/>
      <c r="AB16" s="2200"/>
      <c r="AC16" s="16">
        <f>SUMIF(AD$12:AS$12,"总值",AD16:AS16)</f>
        <v>0</v>
      </c>
      <c r="AD16" s="2201"/>
      <c r="AE16" s="2201"/>
      <c r="AF16" s="2201"/>
      <c r="AG16" s="2201"/>
      <c r="AH16" s="2201"/>
      <c r="AI16" s="2201"/>
      <c r="AJ16" s="2201"/>
      <c r="AK16" s="2201"/>
      <c r="AL16" s="2201"/>
      <c r="AM16" s="2201"/>
      <c r="AN16" s="2201"/>
      <c r="AO16" s="2201"/>
      <c r="AP16" s="2201"/>
      <c r="AQ16" s="2201"/>
      <c r="AR16" s="2201"/>
      <c r="AS16" s="2201"/>
      <c r="AT16" s="2202"/>
      <c r="AU16" s="2203"/>
      <c r="AV16" s="11" t="str">
        <f t="shared" si="6"/>
        <v>叠墅</v>
      </c>
      <c r="AW16" s="11" t="str">
        <f t="shared" si="6"/>
        <v>4层</v>
      </c>
      <c r="AX16" s="11" t="str">
        <f t="shared" si="6"/>
        <v>4#住宅楼</v>
      </c>
      <c r="AY16" s="1795">
        <f>ROUND($AY$6*AZ16/$AZ$5,2)</f>
        <v>1726.47</v>
      </c>
      <c r="AZ16" s="16">
        <f>BA16+BL16</f>
        <v>3341.7299999999996</v>
      </c>
      <c r="BA16" s="16">
        <f>SUM(BB16:BK16)</f>
        <v>3341.7299999999996</v>
      </c>
      <c r="BB16" s="16">
        <f>IF($D16="是",I16-J16,0)</f>
        <v>0</v>
      </c>
      <c r="BC16" s="16">
        <f>IF($D16="是",K16-L16,0)</f>
        <v>2168.2399999999998</v>
      </c>
      <c r="BD16" s="16">
        <f>IF($D16="是",M16-N16,0)</f>
        <v>1173.49</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3" customFormat="1" ht="12.75">
      <c r="A17" s="2954" t="s">
        <v>3311</v>
      </c>
      <c r="B17" s="1271" t="s">
        <v>3315</v>
      </c>
      <c r="C17" s="2976" t="s">
        <v>3274</v>
      </c>
      <c r="D17" s="2199" t="s">
        <v>3069</v>
      </c>
      <c r="E17" s="16">
        <f>IF($C$3="是",ROUND($A$3*G17/$B$3,2),ROUND($A$3*(G17-AT17)/$B$3,2))</f>
        <v>1729.38</v>
      </c>
      <c r="F17" s="32"/>
      <c r="G17" s="33">
        <f>H17+AC17+AT17</f>
        <v>3344.8399999999997</v>
      </c>
      <c r="H17" s="20">
        <f>SUMIF(I$12:AB$12,"总值",I17:AB17)</f>
        <v>3344.8399999999997</v>
      </c>
      <c r="I17" s="2200"/>
      <c r="J17" s="2200"/>
      <c r="K17" s="2200">
        <f>618.8+616.72+523.8+408.92</f>
        <v>2168.2399999999998</v>
      </c>
      <c r="L17" s="2200"/>
      <c r="M17" s="2200">
        <f>665.21+511.39</f>
        <v>1176.5999999999999</v>
      </c>
      <c r="N17" s="2200"/>
      <c r="O17" s="2200"/>
      <c r="P17" s="2200"/>
      <c r="Q17" s="2200"/>
      <c r="R17" s="2200"/>
      <c r="S17" s="2200"/>
      <c r="T17" s="2200"/>
      <c r="U17" s="2200"/>
      <c r="V17" s="2200"/>
      <c r="W17" s="2200"/>
      <c r="X17" s="2200"/>
      <c r="Y17" s="2200"/>
      <c r="Z17" s="2200"/>
      <c r="AA17" s="2200"/>
      <c r="AB17" s="2200"/>
      <c r="AC17" s="16">
        <f>SUMIF(AD$12:AS$12,"总值",AD17:AS17)</f>
        <v>0</v>
      </c>
      <c r="AD17" s="2201"/>
      <c r="AE17" s="2201"/>
      <c r="AF17" s="2201"/>
      <c r="AG17" s="2201"/>
      <c r="AH17" s="2201"/>
      <c r="AI17" s="2201"/>
      <c r="AJ17" s="2201"/>
      <c r="AK17" s="2201"/>
      <c r="AL17" s="2201"/>
      <c r="AM17" s="2201"/>
      <c r="AN17" s="2201"/>
      <c r="AO17" s="2201"/>
      <c r="AP17" s="2201"/>
      <c r="AQ17" s="2201"/>
      <c r="AR17" s="2201"/>
      <c r="AS17" s="2201"/>
      <c r="AT17" s="2202"/>
      <c r="AU17" s="2203"/>
      <c r="AV17" s="11" t="str">
        <f t="shared" si="6"/>
        <v>叠墅</v>
      </c>
      <c r="AW17" s="11" t="str">
        <f t="shared" si="6"/>
        <v>4层</v>
      </c>
      <c r="AX17" s="11" t="str">
        <f t="shared" si="6"/>
        <v>5#住宅楼</v>
      </c>
      <c r="AY17" s="1795">
        <f>ROUND($AY$6*AZ17/$AZ$5,2)</f>
        <v>1728.08</v>
      </c>
      <c r="AZ17" s="16">
        <f>BA17+BL17</f>
        <v>3344.8399999999997</v>
      </c>
      <c r="BA17" s="16">
        <f>SUM(BB17:BK17)</f>
        <v>3344.8399999999997</v>
      </c>
      <c r="BB17" s="16">
        <f>IF($D17="是",I17-J17,0)</f>
        <v>0</v>
      </c>
      <c r="BC17" s="16">
        <f>IF($D17="是",K17-L17,0)</f>
        <v>2168.2399999999998</v>
      </c>
      <c r="BD17" s="16">
        <f>IF($D17="是",M17-N17,0)</f>
        <v>1176.5999999999999</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2954" t="s">
        <v>3311</v>
      </c>
      <c r="B18" s="1271" t="s">
        <v>3315</v>
      </c>
      <c r="C18" s="2976" t="s">
        <v>3275</v>
      </c>
      <c r="D18" s="2199" t="s">
        <v>3069</v>
      </c>
      <c r="E18" s="35">
        <f t="shared" ref="E18:E112" si="7">IF($C$3="是",ROUND($A$3*G18/$B$3,2),ROUND($A$3*(G18-AT18)/$B$3,2))</f>
        <v>1766.86</v>
      </c>
      <c r="F18" s="36"/>
      <c r="G18" s="37">
        <f t="shared" ref="G18:G109" si="8">H18+AC18+AT18</f>
        <v>3417.3199999999997</v>
      </c>
      <c r="H18" s="38">
        <f t="shared" ref="H18:H109" si="9">SUMIF(I$12:AB$12,"总值",I18:AB18)</f>
        <v>3417.3199999999997</v>
      </c>
      <c r="I18" s="39"/>
      <c r="J18" s="39"/>
      <c r="K18" s="39">
        <f>696+696+597.8+471.72</f>
        <v>2461.52</v>
      </c>
      <c r="L18" s="39"/>
      <c r="M18" s="39">
        <f>955.8</f>
        <v>955.8</v>
      </c>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5"/>
      <c r="AV18" s="1784" t="str">
        <f t="shared" ref="AV18:AV112" si="11">A18</f>
        <v>叠墅</v>
      </c>
      <c r="AW18" s="1784" t="str">
        <f t="shared" ref="AW18:AW112" si="12">B18</f>
        <v>4层</v>
      </c>
      <c r="AX18" s="1784" t="str">
        <f t="shared" ref="AX18:AX112" si="13">C18</f>
        <v>6#住宅楼</v>
      </c>
      <c r="AY18" s="42">
        <f t="shared" ref="AY18:AY109" si="14">ROUND($AY$6*AZ18/$AZ$5,2)</f>
        <v>1765.53</v>
      </c>
      <c r="AZ18" s="35">
        <f t="shared" ref="AZ18:AZ109" si="15">BA18+BL18</f>
        <v>3417.3199999999997</v>
      </c>
      <c r="BA18" s="35">
        <f t="shared" ref="BA18:BA109" si="16">SUM(BB18:BK18)</f>
        <v>3417.3199999999997</v>
      </c>
      <c r="BB18" s="35">
        <f t="shared" ref="BB18:BB109" si="17">IF($D18="是",I18-J18,0)</f>
        <v>0</v>
      </c>
      <c r="BC18" s="35">
        <f t="shared" ref="BC18:BC109" si="18">IF($D18="是",K18-L18,0)</f>
        <v>2461.52</v>
      </c>
      <c r="BD18" s="35">
        <f t="shared" ref="BD18:BD109" si="19">IF($D18="是",M18-N18,0)</f>
        <v>955.8</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2954" t="s">
        <v>3311</v>
      </c>
      <c r="B19" s="1271" t="s">
        <v>3315</v>
      </c>
      <c r="C19" s="2976" t="s">
        <v>3276</v>
      </c>
      <c r="D19" s="2199" t="s">
        <v>3069</v>
      </c>
      <c r="E19" s="35">
        <f t="shared" si="7"/>
        <v>1737.07</v>
      </c>
      <c r="F19" s="36"/>
      <c r="G19" s="37">
        <f t="shared" si="8"/>
        <v>3359.71</v>
      </c>
      <c r="H19" s="38">
        <f t="shared" si="9"/>
        <v>3359.71</v>
      </c>
      <c r="I19" s="39"/>
      <c r="J19" s="39"/>
      <c r="K19" s="39">
        <f>618.8+616.39+523.8+408.92</f>
        <v>2167.91</v>
      </c>
      <c r="L19" s="39"/>
      <c r="M19" s="39">
        <f>757.89+433.91</f>
        <v>1191.8</v>
      </c>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5"/>
      <c r="AV19" s="1784" t="str">
        <f t="shared" si="11"/>
        <v>叠墅</v>
      </c>
      <c r="AW19" s="1784" t="str">
        <f t="shared" si="12"/>
        <v>4层</v>
      </c>
      <c r="AX19" s="1784" t="str">
        <f t="shared" si="13"/>
        <v>7#住宅楼</v>
      </c>
      <c r="AY19" s="42">
        <f t="shared" si="14"/>
        <v>1735.76</v>
      </c>
      <c r="AZ19" s="35">
        <f t="shared" si="15"/>
        <v>3359.71</v>
      </c>
      <c r="BA19" s="35">
        <f t="shared" si="16"/>
        <v>3359.71</v>
      </c>
      <c r="BB19" s="35">
        <f t="shared" si="17"/>
        <v>0</v>
      </c>
      <c r="BC19" s="35">
        <f t="shared" si="18"/>
        <v>2167.91</v>
      </c>
      <c r="BD19" s="35">
        <f t="shared" si="19"/>
        <v>1191.8</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2954" t="s">
        <v>3311</v>
      </c>
      <c r="B20" s="1271" t="s">
        <v>3315</v>
      </c>
      <c r="C20" s="2976" t="s">
        <v>3277</v>
      </c>
      <c r="D20" s="2199" t="s">
        <v>3069</v>
      </c>
      <c r="E20" s="35">
        <f t="shared" si="7"/>
        <v>1960.44</v>
      </c>
      <c r="F20" s="36"/>
      <c r="G20" s="37">
        <f t="shared" si="8"/>
        <v>3791.74</v>
      </c>
      <c r="H20" s="38">
        <f t="shared" si="9"/>
        <v>3791.74</v>
      </c>
      <c r="I20" s="39"/>
      <c r="J20" s="39"/>
      <c r="K20" s="39">
        <f>696+696+597.8+471.72</f>
        <v>2461.52</v>
      </c>
      <c r="L20" s="39"/>
      <c r="M20" s="39">
        <f>745.86+584.36</f>
        <v>1330.22</v>
      </c>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5"/>
      <c r="AV20" s="1784" t="str">
        <f t="shared" si="11"/>
        <v>叠墅</v>
      </c>
      <c r="AW20" s="1784" t="str">
        <f t="shared" si="12"/>
        <v>4层</v>
      </c>
      <c r="AX20" s="1784" t="str">
        <f t="shared" si="13"/>
        <v>8#住宅楼</v>
      </c>
      <c r="AY20" s="42">
        <f t="shared" si="14"/>
        <v>1958.97</v>
      </c>
      <c r="AZ20" s="35">
        <f t="shared" si="15"/>
        <v>3791.74</v>
      </c>
      <c r="BA20" s="35">
        <f t="shared" si="16"/>
        <v>3791.74</v>
      </c>
      <c r="BB20" s="35">
        <f t="shared" si="17"/>
        <v>0</v>
      </c>
      <c r="BC20" s="35">
        <f t="shared" si="18"/>
        <v>2461.52</v>
      </c>
      <c r="BD20" s="35">
        <f t="shared" si="19"/>
        <v>1330.22</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2954" t="s">
        <v>3311</v>
      </c>
      <c r="B21" s="1271" t="s">
        <v>3315</v>
      </c>
      <c r="C21" s="2976" t="s">
        <v>3300</v>
      </c>
      <c r="D21" s="2199" t="s">
        <v>3069</v>
      </c>
      <c r="E21" s="35">
        <f t="shared" si="7"/>
        <v>1364.35</v>
      </c>
      <c r="F21" s="36"/>
      <c r="G21" s="37">
        <f t="shared" si="8"/>
        <v>2638.83</v>
      </c>
      <c r="H21" s="38">
        <f t="shared" si="9"/>
        <v>2638.83</v>
      </c>
      <c r="I21" s="39"/>
      <c r="J21" s="39"/>
      <c r="K21" s="39">
        <f>521.77+521.77+448.14+353.43</f>
        <v>1845.11</v>
      </c>
      <c r="L21" s="39"/>
      <c r="M21" s="39">
        <f>793.72</f>
        <v>793.72</v>
      </c>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5"/>
      <c r="AV21" s="1784" t="str">
        <f t="shared" si="11"/>
        <v>叠墅</v>
      </c>
      <c r="AW21" s="1784" t="str">
        <f t="shared" si="12"/>
        <v>4层</v>
      </c>
      <c r="AX21" s="1784" t="str">
        <f t="shared" si="13"/>
        <v>9#住宅楼</v>
      </c>
      <c r="AY21" s="42">
        <f t="shared" si="14"/>
        <v>1363.33</v>
      </c>
      <c r="AZ21" s="35">
        <f t="shared" si="15"/>
        <v>2638.83</v>
      </c>
      <c r="BA21" s="35">
        <f t="shared" si="16"/>
        <v>2638.83</v>
      </c>
      <c r="BB21" s="35">
        <f t="shared" si="17"/>
        <v>0</v>
      </c>
      <c r="BC21" s="35">
        <f t="shared" si="18"/>
        <v>1845.11</v>
      </c>
      <c r="BD21" s="35">
        <f t="shared" si="19"/>
        <v>793.72</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2954" t="s">
        <v>3311</v>
      </c>
      <c r="B22" s="1271" t="s">
        <v>3315</v>
      </c>
      <c r="C22" s="2976" t="s">
        <v>3301</v>
      </c>
      <c r="D22" s="2199" t="s">
        <v>3069</v>
      </c>
      <c r="E22" s="35">
        <f t="shared" si="7"/>
        <v>1710.34</v>
      </c>
      <c r="F22" s="36"/>
      <c r="G22" s="37">
        <f t="shared" si="8"/>
        <v>3308.0099999999998</v>
      </c>
      <c r="H22" s="38">
        <f t="shared" si="9"/>
        <v>3308.0099999999998</v>
      </c>
      <c r="I22" s="39"/>
      <c r="J22" s="39"/>
      <c r="K22" s="39">
        <f>618.8+616.39+523.8+408.92</f>
        <v>2167.91</v>
      </c>
      <c r="L22" s="39"/>
      <c r="M22" s="39">
        <f>815.82+324.28</f>
        <v>1140.0999999999999</v>
      </c>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5"/>
      <c r="AV22" s="1784" t="str">
        <f t="shared" si="11"/>
        <v>叠墅</v>
      </c>
      <c r="AW22" s="1784" t="str">
        <f t="shared" si="12"/>
        <v>4层</v>
      </c>
      <c r="AX22" s="1784" t="str">
        <f t="shared" si="13"/>
        <v>10#住宅楼</v>
      </c>
      <c r="AY22" s="42">
        <f t="shared" si="14"/>
        <v>1709.05</v>
      </c>
      <c r="AZ22" s="35">
        <f t="shared" si="15"/>
        <v>3308.0099999999998</v>
      </c>
      <c r="BA22" s="35">
        <f t="shared" si="16"/>
        <v>3308.0099999999998</v>
      </c>
      <c r="BB22" s="35">
        <f t="shared" si="17"/>
        <v>0</v>
      </c>
      <c r="BC22" s="35">
        <f t="shared" si="18"/>
        <v>2167.91</v>
      </c>
      <c r="BD22" s="35">
        <f t="shared" si="19"/>
        <v>1140.0999999999999</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2954" t="s">
        <v>3311</v>
      </c>
      <c r="B23" s="1271" t="s">
        <v>3315</v>
      </c>
      <c r="C23" s="2976" t="s">
        <v>3302</v>
      </c>
      <c r="D23" s="2199" t="s">
        <v>3069</v>
      </c>
      <c r="E23" s="35">
        <f t="shared" si="7"/>
        <v>1726.8</v>
      </c>
      <c r="F23" s="36"/>
      <c r="G23" s="37">
        <f t="shared" si="8"/>
        <v>3339.85</v>
      </c>
      <c r="H23" s="38">
        <f t="shared" si="9"/>
        <v>3339.85</v>
      </c>
      <c r="I23" s="39"/>
      <c r="J23" s="39"/>
      <c r="K23" s="39">
        <f>618.8+616.39+523.8+408.92</f>
        <v>2167.91</v>
      </c>
      <c r="L23" s="39"/>
      <c r="M23" s="39">
        <f>662.43+509.51</f>
        <v>1171.94</v>
      </c>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5"/>
      <c r="AV23" s="1784" t="str">
        <f t="shared" si="11"/>
        <v>叠墅</v>
      </c>
      <c r="AW23" s="1784" t="str">
        <f t="shared" si="12"/>
        <v>4层</v>
      </c>
      <c r="AX23" s="1784" t="str">
        <f t="shared" si="13"/>
        <v>11#住宅楼</v>
      </c>
      <c r="AY23" s="42">
        <f t="shared" si="14"/>
        <v>1725.5</v>
      </c>
      <c r="AZ23" s="35">
        <f t="shared" si="15"/>
        <v>3339.85</v>
      </c>
      <c r="BA23" s="35">
        <f t="shared" si="16"/>
        <v>3339.85</v>
      </c>
      <c r="BB23" s="35">
        <f t="shared" si="17"/>
        <v>0</v>
      </c>
      <c r="BC23" s="35">
        <f t="shared" si="18"/>
        <v>2167.91</v>
      </c>
      <c r="BD23" s="35">
        <f t="shared" si="19"/>
        <v>1171.94</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2954" t="s">
        <v>3311</v>
      </c>
      <c r="B24" s="1271" t="s">
        <v>3315</v>
      </c>
      <c r="C24" s="2976" t="s">
        <v>3303</v>
      </c>
      <c r="D24" s="2199" t="s">
        <v>3069</v>
      </c>
      <c r="E24" s="35">
        <f t="shared" si="7"/>
        <v>1219.8599999999999</v>
      </c>
      <c r="F24" s="36"/>
      <c r="G24" s="37">
        <f t="shared" si="8"/>
        <v>2359.37</v>
      </c>
      <c r="H24" s="38">
        <f t="shared" si="9"/>
        <v>2359.37</v>
      </c>
      <c r="I24" s="39"/>
      <c r="J24" s="39"/>
      <c r="K24" s="39">
        <f>446.47+444.39+375.82+292.05</f>
        <v>1558.73</v>
      </c>
      <c r="L24" s="39"/>
      <c r="M24" s="39">
        <f>437.03+363.61</f>
        <v>800.64</v>
      </c>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5"/>
      <c r="AV24" s="1784" t="str">
        <f t="shared" si="11"/>
        <v>叠墅</v>
      </c>
      <c r="AW24" s="1784" t="str">
        <f t="shared" si="12"/>
        <v>4层</v>
      </c>
      <c r="AX24" s="1784" t="str">
        <f t="shared" si="13"/>
        <v>12#住宅楼</v>
      </c>
      <c r="AY24" s="42">
        <f t="shared" si="14"/>
        <v>1218.95</v>
      </c>
      <c r="AZ24" s="35">
        <f t="shared" si="15"/>
        <v>2359.37</v>
      </c>
      <c r="BA24" s="35">
        <f t="shared" si="16"/>
        <v>2359.37</v>
      </c>
      <c r="BB24" s="35">
        <f t="shared" si="17"/>
        <v>0</v>
      </c>
      <c r="BC24" s="35">
        <f t="shared" si="18"/>
        <v>1558.73</v>
      </c>
      <c r="BD24" s="35">
        <f t="shared" si="19"/>
        <v>800.64</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2954" t="s">
        <v>3311</v>
      </c>
      <c r="B25" s="1271" t="s">
        <v>3315</v>
      </c>
      <c r="C25" s="2976" t="s">
        <v>3304</v>
      </c>
      <c r="D25" s="2199" t="s">
        <v>3069</v>
      </c>
      <c r="E25" s="35">
        <f t="shared" si="7"/>
        <v>1262.18</v>
      </c>
      <c r="F25" s="36"/>
      <c r="G25" s="37">
        <f t="shared" si="8"/>
        <v>2441.2100000000005</v>
      </c>
      <c r="H25" s="38">
        <f t="shared" si="9"/>
        <v>2367.4300000000003</v>
      </c>
      <c r="I25" s="39"/>
      <c r="J25" s="39"/>
      <c r="K25" s="39">
        <f>446.47+444.39+375.82+292.05</f>
        <v>1558.73</v>
      </c>
      <c r="L25" s="39"/>
      <c r="M25" s="39">
        <f>272.51+609.97-AN25</f>
        <v>808.7</v>
      </c>
      <c r="N25" s="39"/>
      <c r="O25" s="39"/>
      <c r="P25" s="39"/>
      <c r="Q25" s="39"/>
      <c r="R25" s="39"/>
      <c r="S25" s="39"/>
      <c r="T25" s="39"/>
      <c r="U25" s="39"/>
      <c r="V25" s="39"/>
      <c r="W25" s="39"/>
      <c r="X25" s="39"/>
      <c r="Y25" s="39"/>
      <c r="Z25" s="39"/>
      <c r="AA25" s="39"/>
      <c r="AB25" s="39"/>
      <c r="AC25" s="35">
        <f t="shared" si="10"/>
        <v>73.78</v>
      </c>
      <c r="AD25" s="40"/>
      <c r="AE25" s="40"/>
      <c r="AF25" s="40"/>
      <c r="AG25" s="40"/>
      <c r="AH25" s="40"/>
      <c r="AI25" s="40"/>
      <c r="AJ25" s="40"/>
      <c r="AK25" s="40"/>
      <c r="AL25" s="40"/>
      <c r="AM25" s="40"/>
      <c r="AN25" s="40">
        <f>36.49+37.29</f>
        <v>73.78</v>
      </c>
      <c r="AO25" s="40">
        <f>AN25</f>
        <v>73.78</v>
      </c>
      <c r="AP25" s="40"/>
      <c r="AQ25" s="40"/>
      <c r="AR25" s="40"/>
      <c r="AS25" s="40"/>
      <c r="AT25" s="41"/>
      <c r="AU25" s="2205"/>
      <c r="AV25" s="1784" t="str">
        <f t="shared" si="11"/>
        <v>叠墅</v>
      </c>
      <c r="AW25" s="1784" t="str">
        <f t="shared" si="12"/>
        <v>4层</v>
      </c>
      <c r="AX25" s="1784" t="str">
        <f t="shared" si="13"/>
        <v>13#住宅楼</v>
      </c>
      <c r="AY25" s="42">
        <f t="shared" si="14"/>
        <v>1223.1099999999999</v>
      </c>
      <c r="AZ25" s="35">
        <f t="shared" si="15"/>
        <v>2367.4300000000003</v>
      </c>
      <c r="BA25" s="35">
        <f t="shared" si="16"/>
        <v>2367.4300000000003</v>
      </c>
      <c r="BB25" s="35">
        <f t="shared" si="17"/>
        <v>0</v>
      </c>
      <c r="BC25" s="35">
        <f t="shared" si="18"/>
        <v>1558.73</v>
      </c>
      <c r="BD25" s="35">
        <f t="shared" si="19"/>
        <v>808.7</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2954" t="s">
        <v>3309</v>
      </c>
      <c r="B26" s="1271" t="s">
        <v>3314</v>
      </c>
      <c r="C26" s="2976" t="s">
        <v>3305</v>
      </c>
      <c r="D26" s="2199" t="s">
        <v>3069</v>
      </c>
      <c r="E26" s="35">
        <f t="shared" si="7"/>
        <v>726.82</v>
      </c>
      <c r="F26" s="36"/>
      <c r="G26" s="37">
        <f t="shared" si="8"/>
        <v>1405.7600000000002</v>
      </c>
      <c r="H26" s="38">
        <f t="shared" si="9"/>
        <v>1405.7600000000002</v>
      </c>
      <c r="I26" s="39">
        <v>759.32</v>
      </c>
      <c r="J26" s="39"/>
      <c r="K26" s="39"/>
      <c r="L26" s="39"/>
      <c r="M26" s="39">
        <v>646.44000000000005</v>
      </c>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5"/>
      <c r="AV26" s="1784" t="str">
        <f t="shared" si="11"/>
        <v>合院</v>
      </c>
      <c r="AW26" s="1784" t="str">
        <f t="shared" si="12"/>
        <v>3层</v>
      </c>
      <c r="AX26" s="1784" t="str">
        <f t="shared" si="13"/>
        <v>14#住宅楼</v>
      </c>
      <c r="AY26" s="42">
        <f t="shared" si="14"/>
        <v>726.27</v>
      </c>
      <c r="AZ26" s="35">
        <f t="shared" si="15"/>
        <v>1405.7600000000002</v>
      </c>
      <c r="BA26" s="35">
        <f t="shared" si="16"/>
        <v>1405.7600000000002</v>
      </c>
      <c r="BB26" s="35">
        <f t="shared" si="17"/>
        <v>759.32</v>
      </c>
      <c r="BC26" s="35">
        <f t="shared" si="18"/>
        <v>0</v>
      </c>
      <c r="BD26" s="35">
        <f t="shared" si="19"/>
        <v>646.44000000000005</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2954" t="s">
        <v>3309</v>
      </c>
      <c r="B27" s="1271" t="s">
        <v>3314</v>
      </c>
      <c r="C27" s="2976" t="s">
        <v>3306</v>
      </c>
      <c r="D27" s="2199" t="s">
        <v>3069</v>
      </c>
      <c r="E27" s="35">
        <f t="shared" si="7"/>
        <v>542.15</v>
      </c>
      <c r="F27" s="36"/>
      <c r="G27" s="37">
        <f t="shared" si="8"/>
        <v>1048.5899999999999</v>
      </c>
      <c r="H27" s="38">
        <f t="shared" si="9"/>
        <v>1048.5899999999999</v>
      </c>
      <c r="I27" s="39">
        <v>572</v>
      </c>
      <c r="J27" s="39"/>
      <c r="K27" s="39"/>
      <c r="L27" s="39"/>
      <c r="M27" s="39">
        <v>476.59</v>
      </c>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5"/>
      <c r="AV27" s="1784" t="str">
        <f t="shared" si="11"/>
        <v>合院</v>
      </c>
      <c r="AW27" s="1784" t="str">
        <f t="shared" si="12"/>
        <v>3层</v>
      </c>
      <c r="AX27" s="1784" t="str">
        <f t="shared" si="13"/>
        <v>15#住宅楼</v>
      </c>
      <c r="AY27" s="42">
        <f t="shared" si="14"/>
        <v>541.74</v>
      </c>
      <c r="AZ27" s="35">
        <f t="shared" si="15"/>
        <v>1048.5899999999999</v>
      </c>
      <c r="BA27" s="35">
        <f t="shared" si="16"/>
        <v>1048.5899999999999</v>
      </c>
      <c r="BB27" s="35">
        <f t="shared" si="17"/>
        <v>572</v>
      </c>
      <c r="BC27" s="35">
        <f t="shared" si="18"/>
        <v>0</v>
      </c>
      <c r="BD27" s="35">
        <f t="shared" si="19"/>
        <v>476.59</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42.75">
      <c r="A28" s="9"/>
      <c r="B28" s="34" t="s">
        <v>3316</v>
      </c>
      <c r="C28" s="2976" t="s">
        <v>3307</v>
      </c>
      <c r="D28" s="2199" t="s">
        <v>3069</v>
      </c>
      <c r="E28" s="35">
        <f t="shared" si="7"/>
        <v>3989.9</v>
      </c>
      <c r="F28" s="36"/>
      <c r="G28" s="37">
        <f t="shared" si="8"/>
        <v>7716.9699999999993</v>
      </c>
      <c r="H28" s="38">
        <f t="shared" si="9"/>
        <v>4953.75</v>
      </c>
      <c r="I28" s="39"/>
      <c r="J28" s="39"/>
      <c r="K28" s="39"/>
      <c r="L28" s="39"/>
      <c r="M28" s="39"/>
      <c r="N28" s="39"/>
      <c r="O28" s="39">
        <f>4756.67+197.08</f>
        <v>4953.75</v>
      </c>
      <c r="P28" s="39">
        <f>O28-4756.67</f>
        <v>197.07999999999993</v>
      </c>
      <c r="Q28" s="39"/>
      <c r="R28" s="39"/>
      <c r="S28" s="39"/>
      <c r="T28" s="39"/>
      <c r="U28" s="39"/>
      <c r="V28" s="39"/>
      <c r="W28" s="39"/>
      <c r="X28" s="39"/>
      <c r="Y28" s="39"/>
      <c r="Z28" s="39"/>
      <c r="AA28" s="39"/>
      <c r="AB28" s="39"/>
      <c r="AC28" s="35">
        <f t="shared" si="10"/>
        <v>447.33000000000004</v>
      </c>
      <c r="AD28" s="40"/>
      <c r="AE28" s="40"/>
      <c r="AF28" s="40">
        <v>237.49</v>
      </c>
      <c r="AG28" s="40">
        <f>AF28</f>
        <v>237.49</v>
      </c>
      <c r="AH28" s="40"/>
      <c r="AI28" s="40"/>
      <c r="AJ28" s="40"/>
      <c r="AK28" s="40"/>
      <c r="AL28" s="40"/>
      <c r="AM28" s="40"/>
      <c r="AN28" s="40">
        <f>209.84</f>
        <v>209.84</v>
      </c>
      <c r="AO28" s="40">
        <f>AN28</f>
        <v>209.84</v>
      </c>
      <c r="AP28" s="40"/>
      <c r="AQ28" s="40"/>
      <c r="AR28" s="40"/>
      <c r="AS28" s="40"/>
      <c r="AT28" s="41">
        <v>2315.89</v>
      </c>
      <c r="AU28" s="2205"/>
      <c r="AV28" s="1784">
        <f t="shared" si="11"/>
        <v>0</v>
      </c>
      <c r="AW28" s="1784" t="str">
        <f t="shared" si="12"/>
        <v>129个车位+2个机械车位</v>
      </c>
      <c r="AX28" s="1784" t="str">
        <f t="shared" si="13"/>
        <v>地下室</v>
      </c>
      <c r="AY28" s="42">
        <f t="shared" si="14"/>
        <v>2457.4899999999998</v>
      </c>
      <c r="AZ28" s="35">
        <f t="shared" si="15"/>
        <v>4756.67</v>
      </c>
      <c r="BA28" s="35">
        <f t="shared" si="16"/>
        <v>4756.67</v>
      </c>
      <c r="BB28" s="35">
        <f t="shared" si="17"/>
        <v>0</v>
      </c>
      <c r="BC28" s="35">
        <f t="shared" si="18"/>
        <v>0</v>
      </c>
      <c r="BD28" s="35">
        <f t="shared" si="19"/>
        <v>0</v>
      </c>
      <c r="BE28" s="35">
        <f t="shared" si="20"/>
        <v>4756.67</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5"/>
      <c r="AV29" s="1784">
        <f t="shared" si="11"/>
        <v>0</v>
      </c>
      <c r="AW29" s="1784">
        <f t="shared" si="12"/>
        <v>0</v>
      </c>
      <c r="AX29" s="178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5"/>
      <c r="AV30" s="1784">
        <f t="shared" si="11"/>
        <v>0</v>
      </c>
      <c r="AW30" s="1784">
        <f t="shared" si="12"/>
        <v>0</v>
      </c>
      <c r="AX30" s="178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5"/>
      <c r="AV31" s="1784">
        <f t="shared" si="11"/>
        <v>0</v>
      </c>
      <c r="AW31" s="1784">
        <f t="shared" si="12"/>
        <v>0</v>
      </c>
      <c r="AX31" s="178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5"/>
      <c r="AV32" s="1784">
        <f t="shared" si="11"/>
        <v>0</v>
      </c>
      <c r="AW32" s="1784">
        <f t="shared" si="12"/>
        <v>0</v>
      </c>
      <c r="AX32" s="178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5"/>
      <c r="AV33" s="1784">
        <f t="shared" si="11"/>
        <v>0</v>
      </c>
      <c r="AW33" s="1784">
        <f t="shared" si="12"/>
        <v>0</v>
      </c>
      <c r="AX33" s="178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5"/>
      <c r="AV34" s="1784">
        <f t="shared" si="11"/>
        <v>0</v>
      </c>
      <c r="AW34" s="1784">
        <f t="shared" si="12"/>
        <v>0</v>
      </c>
      <c r="AX34" s="178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5"/>
      <c r="AV35" s="1784">
        <f t="shared" si="11"/>
        <v>0</v>
      </c>
      <c r="AW35" s="1784">
        <f t="shared" si="12"/>
        <v>0</v>
      </c>
      <c r="AX35" s="178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5"/>
      <c r="AV36" s="1784">
        <f t="shared" si="11"/>
        <v>0</v>
      </c>
      <c r="AW36" s="1784">
        <f t="shared" si="12"/>
        <v>0</v>
      </c>
      <c r="AX36" s="178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5"/>
      <c r="AV37" s="1784">
        <f t="shared" si="11"/>
        <v>0</v>
      </c>
      <c r="AW37" s="1784">
        <f t="shared" si="12"/>
        <v>0</v>
      </c>
      <c r="AX37" s="178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5"/>
      <c r="AV38" s="1784">
        <f t="shared" si="11"/>
        <v>0</v>
      </c>
      <c r="AW38" s="1784">
        <f t="shared" si="12"/>
        <v>0</v>
      </c>
      <c r="AX38" s="178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5"/>
      <c r="AV39" s="1784">
        <f t="shared" si="11"/>
        <v>0</v>
      </c>
      <c r="AW39" s="1784">
        <f t="shared" si="12"/>
        <v>0</v>
      </c>
      <c r="AX39" s="178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5"/>
      <c r="AV40" s="1784">
        <f t="shared" si="11"/>
        <v>0</v>
      </c>
      <c r="AW40" s="1784">
        <f t="shared" si="12"/>
        <v>0</v>
      </c>
      <c r="AX40" s="178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5"/>
      <c r="AV41" s="1784">
        <f t="shared" si="11"/>
        <v>0</v>
      </c>
      <c r="AW41" s="1784">
        <f t="shared" si="12"/>
        <v>0</v>
      </c>
      <c r="AX41" s="178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5"/>
      <c r="AV42" s="1784">
        <f t="shared" si="11"/>
        <v>0</v>
      </c>
      <c r="AW42" s="1784">
        <f t="shared" si="12"/>
        <v>0</v>
      </c>
      <c r="AX42" s="178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5"/>
      <c r="AV43" s="1784">
        <f t="shared" si="11"/>
        <v>0</v>
      </c>
      <c r="AW43" s="1784">
        <f t="shared" si="12"/>
        <v>0</v>
      </c>
      <c r="AX43" s="178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5"/>
      <c r="AV44" s="1784">
        <f t="shared" si="11"/>
        <v>0</v>
      </c>
      <c r="AW44" s="1784">
        <f t="shared" si="12"/>
        <v>0</v>
      </c>
      <c r="AX44" s="178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5"/>
      <c r="AV45" s="1784">
        <f t="shared" si="11"/>
        <v>0</v>
      </c>
      <c r="AW45" s="1784">
        <f t="shared" si="12"/>
        <v>0</v>
      </c>
      <c r="AX45" s="178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5"/>
      <c r="AV46" s="1784">
        <f t="shared" si="11"/>
        <v>0</v>
      </c>
      <c r="AW46" s="1784">
        <f t="shared" si="12"/>
        <v>0</v>
      </c>
      <c r="AX46" s="178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5"/>
      <c r="AV47" s="1784">
        <f t="shared" si="11"/>
        <v>0</v>
      </c>
      <c r="AW47" s="1784">
        <f t="shared" si="12"/>
        <v>0</v>
      </c>
      <c r="AX47" s="178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5"/>
      <c r="AV48" s="1784">
        <f t="shared" si="11"/>
        <v>0</v>
      </c>
      <c r="AW48" s="1784">
        <f t="shared" si="12"/>
        <v>0</v>
      </c>
      <c r="AX48" s="178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5"/>
      <c r="AV49" s="1784">
        <f t="shared" si="11"/>
        <v>0</v>
      </c>
      <c r="AW49" s="1784">
        <f t="shared" si="12"/>
        <v>0</v>
      </c>
      <c r="AX49" s="178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5"/>
      <c r="AV50" s="1784">
        <f t="shared" si="11"/>
        <v>0</v>
      </c>
      <c r="AW50" s="1784">
        <f t="shared" si="12"/>
        <v>0</v>
      </c>
      <c r="AX50" s="178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5"/>
      <c r="AV51" s="1784">
        <f t="shared" si="11"/>
        <v>0</v>
      </c>
      <c r="AW51" s="1784">
        <f t="shared" si="12"/>
        <v>0</v>
      </c>
      <c r="AX51" s="178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5"/>
      <c r="AV52" s="1784">
        <f t="shared" si="11"/>
        <v>0</v>
      </c>
      <c r="AW52" s="1784">
        <f t="shared" si="12"/>
        <v>0</v>
      </c>
      <c r="AX52" s="178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5"/>
      <c r="AV53" s="1784">
        <f t="shared" si="11"/>
        <v>0</v>
      </c>
      <c r="AW53" s="1784">
        <f t="shared" si="12"/>
        <v>0</v>
      </c>
      <c r="AX53" s="178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5"/>
      <c r="AV54" s="1784">
        <f t="shared" si="11"/>
        <v>0</v>
      </c>
      <c r="AW54" s="1784">
        <f t="shared" si="12"/>
        <v>0</v>
      </c>
      <c r="AX54" s="178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5"/>
      <c r="AV55" s="1784">
        <f t="shared" si="11"/>
        <v>0</v>
      </c>
      <c r="AW55" s="1784">
        <f t="shared" si="12"/>
        <v>0</v>
      </c>
      <c r="AX55" s="178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5"/>
      <c r="AV56" s="1784">
        <f t="shared" si="11"/>
        <v>0</v>
      </c>
      <c r="AW56" s="1784">
        <f t="shared" si="12"/>
        <v>0</v>
      </c>
      <c r="AX56" s="178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5"/>
      <c r="AV57" s="1784">
        <f t="shared" si="11"/>
        <v>0</v>
      </c>
      <c r="AW57" s="1784">
        <f t="shared" si="12"/>
        <v>0</v>
      </c>
      <c r="AX57" s="178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5"/>
      <c r="AV58" s="1784">
        <f t="shared" si="11"/>
        <v>0</v>
      </c>
      <c r="AW58" s="1784">
        <f t="shared" si="12"/>
        <v>0</v>
      </c>
      <c r="AX58" s="178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5"/>
      <c r="AV59" s="1784">
        <f t="shared" si="11"/>
        <v>0</v>
      </c>
      <c r="AW59" s="1784">
        <f t="shared" si="12"/>
        <v>0</v>
      </c>
      <c r="AX59" s="178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5"/>
      <c r="AV60" s="1784">
        <f t="shared" si="11"/>
        <v>0</v>
      </c>
      <c r="AW60" s="1784">
        <f t="shared" si="12"/>
        <v>0</v>
      </c>
      <c r="AX60" s="178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5"/>
      <c r="AV61" s="1784">
        <f t="shared" si="11"/>
        <v>0</v>
      </c>
      <c r="AW61" s="1784">
        <f t="shared" si="12"/>
        <v>0</v>
      </c>
      <c r="AX61" s="178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5"/>
      <c r="AV62" s="1784">
        <f t="shared" si="11"/>
        <v>0</v>
      </c>
      <c r="AW62" s="1784">
        <f t="shared" si="12"/>
        <v>0</v>
      </c>
      <c r="AX62" s="178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5"/>
      <c r="AV63" s="1784">
        <f t="shared" si="11"/>
        <v>0</v>
      </c>
      <c r="AW63" s="1784">
        <f t="shared" si="12"/>
        <v>0</v>
      </c>
      <c r="AX63" s="178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5"/>
      <c r="AV64" s="1784">
        <f t="shared" si="11"/>
        <v>0</v>
      </c>
      <c r="AW64" s="1784">
        <f t="shared" si="12"/>
        <v>0</v>
      </c>
      <c r="AX64" s="178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5"/>
      <c r="AV65" s="1784">
        <f t="shared" si="11"/>
        <v>0</v>
      </c>
      <c r="AW65" s="1784">
        <f t="shared" si="12"/>
        <v>0</v>
      </c>
      <c r="AX65" s="178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5"/>
      <c r="AV66" s="1784">
        <f t="shared" si="11"/>
        <v>0</v>
      </c>
      <c r="AW66" s="1784">
        <f t="shared" si="12"/>
        <v>0</v>
      </c>
      <c r="AX66" s="178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5"/>
      <c r="AV67" s="1784">
        <f t="shared" si="11"/>
        <v>0</v>
      </c>
      <c r="AW67" s="1784">
        <f t="shared" si="12"/>
        <v>0</v>
      </c>
      <c r="AX67" s="178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5"/>
      <c r="AV68" s="1784">
        <f t="shared" si="11"/>
        <v>0</v>
      </c>
      <c r="AW68" s="1784">
        <f t="shared" si="12"/>
        <v>0</v>
      </c>
      <c r="AX68" s="178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5"/>
      <c r="AV69" s="1784">
        <f t="shared" si="11"/>
        <v>0</v>
      </c>
      <c r="AW69" s="1784">
        <f t="shared" si="12"/>
        <v>0</v>
      </c>
      <c r="AX69" s="178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5"/>
      <c r="AV70" s="1784">
        <f t="shared" si="11"/>
        <v>0</v>
      </c>
      <c r="AW70" s="1784">
        <f t="shared" si="12"/>
        <v>0</v>
      </c>
      <c r="AX70" s="178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5"/>
      <c r="AV71" s="1784">
        <f t="shared" si="11"/>
        <v>0</v>
      </c>
      <c r="AW71" s="1784">
        <f t="shared" si="12"/>
        <v>0</v>
      </c>
      <c r="AX71" s="178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5"/>
      <c r="AV72" s="1784">
        <f t="shared" si="11"/>
        <v>0</v>
      </c>
      <c r="AW72" s="1784">
        <f t="shared" si="12"/>
        <v>0</v>
      </c>
      <c r="AX72" s="178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5"/>
      <c r="AV73" s="1784">
        <f t="shared" si="11"/>
        <v>0</v>
      </c>
      <c r="AW73" s="1784">
        <f t="shared" si="12"/>
        <v>0</v>
      </c>
      <c r="AX73" s="178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5"/>
      <c r="AV74" s="1784">
        <f t="shared" si="11"/>
        <v>0</v>
      </c>
      <c r="AW74" s="1784">
        <f t="shared" si="12"/>
        <v>0</v>
      </c>
      <c r="AX74" s="178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5"/>
      <c r="AV75" s="1784">
        <f t="shared" si="11"/>
        <v>0</v>
      </c>
      <c r="AW75" s="1784">
        <f t="shared" si="12"/>
        <v>0</v>
      </c>
      <c r="AX75" s="178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5"/>
      <c r="AV76" s="1784">
        <f t="shared" si="11"/>
        <v>0</v>
      </c>
      <c r="AW76" s="1784">
        <f t="shared" si="12"/>
        <v>0</v>
      </c>
      <c r="AX76" s="178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5"/>
      <c r="AV77" s="1784">
        <f t="shared" si="11"/>
        <v>0</v>
      </c>
      <c r="AW77" s="1784">
        <f t="shared" si="12"/>
        <v>0</v>
      </c>
      <c r="AX77" s="178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5"/>
      <c r="AV78" s="1784">
        <f t="shared" si="11"/>
        <v>0</v>
      </c>
      <c r="AW78" s="1784">
        <f t="shared" si="12"/>
        <v>0</v>
      </c>
      <c r="AX78" s="178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5"/>
      <c r="AV79" s="1784">
        <f t="shared" si="11"/>
        <v>0</v>
      </c>
      <c r="AW79" s="1784">
        <f t="shared" si="12"/>
        <v>0</v>
      </c>
      <c r="AX79" s="178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5"/>
      <c r="AV80" s="1784">
        <f t="shared" si="11"/>
        <v>0</v>
      </c>
      <c r="AW80" s="1784">
        <f t="shared" si="12"/>
        <v>0</v>
      </c>
      <c r="AX80" s="178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5"/>
      <c r="AV81" s="1784">
        <f t="shared" si="11"/>
        <v>0</v>
      </c>
      <c r="AW81" s="1784">
        <f t="shared" si="12"/>
        <v>0</v>
      </c>
      <c r="AX81" s="178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5"/>
      <c r="AV82" s="1784">
        <f t="shared" si="11"/>
        <v>0</v>
      </c>
      <c r="AW82" s="1784">
        <f t="shared" si="12"/>
        <v>0</v>
      </c>
      <c r="AX82" s="178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5"/>
      <c r="AV83" s="1784">
        <f t="shared" si="11"/>
        <v>0</v>
      </c>
      <c r="AW83" s="1784">
        <f t="shared" si="12"/>
        <v>0</v>
      </c>
      <c r="AX83" s="178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5"/>
      <c r="AV84" s="1784">
        <f t="shared" si="11"/>
        <v>0</v>
      </c>
      <c r="AW84" s="1784">
        <f t="shared" si="12"/>
        <v>0</v>
      </c>
      <c r="AX84" s="178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5"/>
      <c r="AV85" s="1784">
        <f t="shared" si="11"/>
        <v>0</v>
      </c>
      <c r="AW85" s="1784">
        <f t="shared" si="12"/>
        <v>0</v>
      </c>
      <c r="AX85" s="178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5"/>
      <c r="AV86" s="1784">
        <f t="shared" si="11"/>
        <v>0</v>
      </c>
      <c r="AW86" s="1784">
        <f t="shared" si="12"/>
        <v>0</v>
      </c>
      <c r="AX86" s="178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5"/>
      <c r="AV87" s="1784">
        <f t="shared" si="11"/>
        <v>0</v>
      </c>
      <c r="AW87" s="1784">
        <f t="shared" si="12"/>
        <v>0</v>
      </c>
      <c r="AX87" s="178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5"/>
      <c r="AV88" s="1784">
        <f t="shared" si="11"/>
        <v>0</v>
      </c>
      <c r="AW88" s="1784">
        <f t="shared" si="12"/>
        <v>0</v>
      </c>
      <c r="AX88" s="178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5"/>
      <c r="AV89" s="1784">
        <f t="shared" si="11"/>
        <v>0</v>
      </c>
      <c r="AW89" s="1784">
        <f t="shared" si="12"/>
        <v>0</v>
      </c>
      <c r="AX89" s="178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5"/>
      <c r="AV90" s="1784">
        <f t="shared" si="11"/>
        <v>0</v>
      </c>
      <c r="AW90" s="1784">
        <f t="shared" si="12"/>
        <v>0</v>
      </c>
      <c r="AX90" s="178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5"/>
      <c r="AV91" s="1784">
        <f t="shared" si="11"/>
        <v>0</v>
      </c>
      <c r="AW91" s="1784">
        <f t="shared" si="12"/>
        <v>0</v>
      </c>
      <c r="AX91" s="178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5"/>
      <c r="AV92" s="1784">
        <f t="shared" si="11"/>
        <v>0</v>
      </c>
      <c r="AW92" s="1784">
        <f t="shared" si="12"/>
        <v>0</v>
      </c>
      <c r="AX92" s="178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5"/>
      <c r="AV93" s="1784">
        <f t="shared" si="11"/>
        <v>0</v>
      </c>
      <c r="AW93" s="1784">
        <f t="shared" si="12"/>
        <v>0</v>
      </c>
      <c r="AX93" s="178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5"/>
      <c r="AV94" s="1784">
        <f t="shared" si="11"/>
        <v>0</v>
      </c>
      <c r="AW94" s="1784">
        <f t="shared" si="12"/>
        <v>0</v>
      </c>
      <c r="AX94" s="178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5"/>
      <c r="AV95" s="1784">
        <f t="shared" si="11"/>
        <v>0</v>
      </c>
      <c r="AW95" s="1784">
        <f t="shared" si="12"/>
        <v>0</v>
      </c>
      <c r="AX95" s="178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5"/>
      <c r="AV96" s="1784">
        <f t="shared" si="11"/>
        <v>0</v>
      </c>
      <c r="AW96" s="1784">
        <f t="shared" si="12"/>
        <v>0</v>
      </c>
      <c r="AX96" s="178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5"/>
      <c r="AV97" s="1784">
        <f t="shared" si="11"/>
        <v>0</v>
      </c>
      <c r="AW97" s="1784">
        <f t="shared" si="12"/>
        <v>0</v>
      </c>
      <c r="AX97" s="178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5"/>
      <c r="AV98" s="1784">
        <f t="shared" si="11"/>
        <v>0</v>
      </c>
      <c r="AW98" s="1784">
        <f t="shared" si="12"/>
        <v>0</v>
      </c>
      <c r="AX98" s="178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5"/>
      <c r="AV99" s="1784">
        <f t="shared" si="11"/>
        <v>0</v>
      </c>
      <c r="AW99" s="1784">
        <f t="shared" si="12"/>
        <v>0</v>
      </c>
      <c r="AX99" s="178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5"/>
      <c r="AV100" s="1784">
        <f t="shared" si="11"/>
        <v>0</v>
      </c>
      <c r="AW100" s="1784">
        <f t="shared" si="12"/>
        <v>0</v>
      </c>
      <c r="AX100" s="178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5"/>
      <c r="AV101" s="1784">
        <f t="shared" si="11"/>
        <v>0</v>
      </c>
      <c r="AW101" s="1784">
        <f t="shared" si="12"/>
        <v>0</v>
      </c>
      <c r="AX101" s="178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5"/>
      <c r="AV102" s="1784">
        <f t="shared" si="11"/>
        <v>0</v>
      </c>
      <c r="AW102" s="1784">
        <f t="shared" si="12"/>
        <v>0</v>
      </c>
      <c r="AX102" s="178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5"/>
      <c r="AV103" s="1784">
        <f t="shared" si="11"/>
        <v>0</v>
      </c>
      <c r="AW103" s="1784">
        <f t="shared" si="12"/>
        <v>0</v>
      </c>
      <c r="AX103" s="178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5"/>
      <c r="AV104" s="1784">
        <f t="shared" si="11"/>
        <v>0</v>
      </c>
      <c r="AW104" s="1784">
        <f t="shared" si="12"/>
        <v>0</v>
      </c>
      <c r="AX104" s="178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5"/>
      <c r="AV105" s="1784">
        <f t="shared" si="11"/>
        <v>0</v>
      </c>
      <c r="AW105" s="1784">
        <f t="shared" si="12"/>
        <v>0</v>
      </c>
      <c r="AX105" s="178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5"/>
      <c r="AV106" s="1784">
        <f t="shared" si="11"/>
        <v>0</v>
      </c>
      <c r="AW106" s="1784">
        <f t="shared" si="12"/>
        <v>0</v>
      </c>
      <c r="AX106" s="178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5"/>
      <c r="AV107" s="1784">
        <f t="shared" si="11"/>
        <v>0</v>
      </c>
      <c r="AW107" s="1784">
        <f t="shared" si="12"/>
        <v>0</v>
      </c>
      <c r="AX107" s="178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5"/>
      <c r="AV108" s="1784">
        <f t="shared" si="11"/>
        <v>0</v>
      </c>
      <c r="AW108" s="1784">
        <f t="shared" si="12"/>
        <v>0</v>
      </c>
      <c r="AX108" s="178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5"/>
      <c r="AV109" s="1784">
        <f t="shared" si="11"/>
        <v>0</v>
      </c>
      <c r="AW109" s="1784">
        <f t="shared" si="12"/>
        <v>0</v>
      </c>
      <c r="AX109" s="178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0"/>
      <c r="AV110" s="1784">
        <f t="shared" si="11"/>
        <v>0</v>
      </c>
      <c r="AW110" s="1784">
        <f t="shared" si="12"/>
        <v>0</v>
      </c>
      <c r="AX110" s="178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0"/>
      <c r="AV111" s="1784">
        <f t="shared" si="11"/>
        <v>0</v>
      </c>
      <c r="AW111" s="1784">
        <f t="shared" si="12"/>
        <v>0</v>
      </c>
      <c r="AX111" s="178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0"/>
      <c r="AV112" s="1784">
        <f t="shared" si="11"/>
        <v>0</v>
      </c>
      <c r="AW112" s="1784">
        <f t="shared" si="12"/>
        <v>0</v>
      </c>
      <c r="AX112" s="178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5"/>
      <c r="AV113" s="1784">
        <f t="shared" ref="AV113:AV144" si="62">A113</f>
        <v>0</v>
      </c>
      <c r="AW113" s="1784">
        <f t="shared" ref="AW113:AW144" si="63">B113</f>
        <v>0</v>
      </c>
      <c r="AX113" s="178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5"/>
      <c r="AV114" s="1784">
        <f t="shared" si="62"/>
        <v>0</v>
      </c>
      <c r="AW114" s="1784">
        <f t="shared" si="63"/>
        <v>0</v>
      </c>
      <c r="AX114" s="178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5"/>
      <c r="AV115" s="1784">
        <f t="shared" si="62"/>
        <v>0</v>
      </c>
      <c r="AW115" s="1784">
        <f t="shared" si="63"/>
        <v>0</v>
      </c>
      <c r="AX115" s="178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5"/>
      <c r="AV116" s="1784">
        <f t="shared" si="62"/>
        <v>0</v>
      </c>
      <c r="AW116" s="1784">
        <f t="shared" si="63"/>
        <v>0</v>
      </c>
      <c r="AX116" s="178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5"/>
      <c r="AV117" s="1784">
        <f t="shared" si="62"/>
        <v>0</v>
      </c>
      <c r="AW117" s="1784">
        <f t="shared" si="63"/>
        <v>0</v>
      </c>
      <c r="AX117" s="178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5"/>
      <c r="AV118" s="1784">
        <f t="shared" si="62"/>
        <v>0</v>
      </c>
      <c r="AW118" s="1784">
        <f t="shared" si="63"/>
        <v>0</v>
      </c>
      <c r="AX118" s="178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5"/>
      <c r="AV119" s="1784">
        <f t="shared" si="62"/>
        <v>0</v>
      </c>
      <c r="AW119" s="1784">
        <f t="shared" si="63"/>
        <v>0</v>
      </c>
      <c r="AX119" s="178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5"/>
      <c r="AV120" s="1784">
        <f t="shared" si="62"/>
        <v>0</v>
      </c>
      <c r="AW120" s="1784">
        <f t="shared" si="63"/>
        <v>0</v>
      </c>
      <c r="AX120" s="178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5"/>
      <c r="AV121" s="1784">
        <f t="shared" si="62"/>
        <v>0</v>
      </c>
      <c r="AW121" s="1784">
        <f t="shared" si="63"/>
        <v>0</v>
      </c>
      <c r="AX121" s="178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5"/>
      <c r="AV122" s="1784">
        <f t="shared" si="62"/>
        <v>0</v>
      </c>
      <c r="AW122" s="1784">
        <f t="shared" si="63"/>
        <v>0</v>
      </c>
      <c r="AX122" s="178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5"/>
      <c r="AV123" s="1784">
        <f t="shared" si="62"/>
        <v>0</v>
      </c>
      <c r="AW123" s="1784">
        <f t="shared" si="63"/>
        <v>0</v>
      </c>
      <c r="AX123" s="178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5"/>
      <c r="AV124" s="1784">
        <f t="shared" si="62"/>
        <v>0</v>
      </c>
      <c r="AW124" s="1784">
        <f t="shared" si="63"/>
        <v>0</v>
      </c>
      <c r="AX124" s="178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5"/>
      <c r="AV125" s="1784">
        <f t="shared" si="62"/>
        <v>0</v>
      </c>
      <c r="AW125" s="1784">
        <f t="shared" si="63"/>
        <v>0</v>
      </c>
      <c r="AX125" s="178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5"/>
      <c r="AV126" s="1784">
        <f t="shared" si="62"/>
        <v>0</v>
      </c>
      <c r="AW126" s="1784">
        <f t="shared" si="63"/>
        <v>0</v>
      </c>
      <c r="AX126" s="178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5"/>
      <c r="AV127" s="1784">
        <f t="shared" si="62"/>
        <v>0</v>
      </c>
      <c r="AW127" s="1784">
        <f t="shared" si="63"/>
        <v>0</v>
      </c>
      <c r="AX127" s="178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5"/>
      <c r="AV128" s="1784">
        <f t="shared" si="62"/>
        <v>0</v>
      </c>
      <c r="AW128" s="1784">
        <f t="shared" si="63"/>
        <v>0</v>
      </c>
      <c r="AX128" s="178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5"/>
      <c r="AV129" s="1784">
        <f t="shared" si="62"/>
        <v>0</v>
      </c>
      <c r="AW129" s="1784">
        <f t="shared" si="63"/>
        <v>0</v>
      </c>
      <c r="AX129" s="178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5"/>
      <c r="AV130" s="1784">
        <f t="shared" si="62"/>
        <v>0</v>
      </c>
      <c r="AW130" s="1784">
        <f t="shared" si="63"/>
        <v>0</v>
      </c>
      <c r="AX130" s="178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5"/>
      <c r="AV131" s="1784">
        <f t="shared" si="62"/>
        <v>0</v>
      </c>
      <c r="AW131" s="1784">
        <f t="shared" si="63"/>
        <v>0</v>
      </c>
      <c r="AX131" s="178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5"/>
      <c r="AV132" s="1784">
        <f t="shared" si="62"/>
        <v>0</v>
      </c>
      <c r="AW132" s="1784">
        <f t="shared" si="63"/>
        <v>0</v>
      </c>
      <c r="AX132" s="178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5"/>
      <c r="AV133" s="1784">
        <f t="shared" si="62"/>
        <v>0</v>
      </c>
      <c r="AW133" s="1784">
        <f t="shared" si="63"/>
        <v>0</v>
      </c>
      <c r="AX133" s="178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5"/>
      <c r="AV134" s="1784">
        <f t="shared" si="62"/>
        <v>0</v>
      </c>
      <c r="AW134" s="1784">
        <f t="shared" si="63"/>
        <v>0</v>
      </c>
      <c r="AX134" s="178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5"/>
      <c r="AV135" s="1784">
        <f t="shared" si="62"/>
        <v>0</v>
      </c>
      <c r="AW135" s="1784">
        <f t="shared" si="63"/>
        <v>0</v>
      </c>
      <c r="AX135" s="178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5"/>
      <c r="AV136" s="1784">
        <f t="shared" si="62"/>
        <v>0</v>
      </c>
      <c r="AW136" s="1784">
        <f t="shared" si="63"/>
        <v>0</v>
      </c>
      <c r="AX136" s="178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5"/>
      <c r="AV137" s="1784">
        <f t="shared" si="62"/>
        <v>0</v>
      </c>
      <c r="AW137" s="1784">
        <f t="shared" si="63"/>
        <v>0</v>
      </c>
      <c r="AX137" s="178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5"/>
      <c r="AV138" s="1784">
        <f t="shared" si="62"/>
        <v>0</v>
      </c>
      <c r="AW138" s="1784">
        <f t="shared" si="63"/>
        <v>0</v>
      </c>
      <c r="AX138" s="178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5"/>
      <c r="AV139" s="1784">
        <f t="shared" si="62"/>
        <v>0</v>
      </c>
      <c r="AW139" s="1784">
        <f t="shared" si="63"/>
        <v>0</v>
      </c>
      <c r="AX139" s="178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5"/>
      <c r="AV140" s="1784">
        <f t="shared" si="62"/>
        <v>0</v>
      </c>
      <c r="AW140" s="1784">
        <f t="shared" si="63"/>
        <v>0</v>
      </c>
      <c r="AX140" s="178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5"/>
      <c r="AV141" s="1784">
        <f t="shared" si="62"/>
        <v>0</v>
      </c>
      <c r="AW141" s="1784">
        <f t="shared" si="63"/>
        <v>0</v>
      </c>
      <c r="AX141" s="178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5"/>
      <c r="AV142" s="1784">
        <f t="shared" si="62"/>
        <v>0</v>
      </c>
      <c r="AW142" s="1784">
        <f t="shared" si="63"/>
        <v>0</v>
      </c>
      <c r="AX142" s="178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5"/>
      <c r="AV143" s="1784">
        <f t="shared" si="62"/>
        <v>0</v>
      </c>
      <c r="AW143" s="1784">
        <f t="shared" si="63"/>
        <v>0</v>
      </c>
      <c r="AX143" s="178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5"/>
      <c r="AV144" s="1784">
        <f t="shared" si="62"/>
        <v>0</v>
      </c>
      <c r="AW144" s="1784">
        <f t="shared" si="63"/>
        <v>0</v>
      </c>
      <c r="AX144" s="178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5"/>
      <c r="AV145" s="1784">
        <f t="shared" ref="AV145:AV176" si="91">A145</f>
        <v>0</v>
      </c>
      <c r="AW145" s="1784">
        <f t="shared" ref="AW145:AW176" si="92">B145</f>
        <v>0</v>
      </c>
      <c r="AX145" s="178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5"/>
      <c r="AV146" s="1784">
        <f t="shared" si="91"/>
        <v>0</v>
      </c>
      <c r="AW146" s="1784">
        <f t="shared" si="92"/>
        <v>0</v>
      </c>
      <c r="AX146" s="178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5"/>
      <c r="AV147" s="1784">
        <f t="shared" si="91"/>
        <v>0</v>
      </c>
      <c r="AW147" s="1784">
        <f t="shared" si="92"/>
        <v>0</v>
      </c>
      <c r="AX147" s="178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5"/>
      <c r="AV148" s="1784">
        <f t="shared" si="91"/>
        <v>0</v>
      </c>
      <c r="AW148" s="1784">
        <f t="shared" si="92"/>
        <v>0</v>
      </c>
      <c r="AX148" s="178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5"/>
      <c r="AV149" s="1784">
        <f t="shared" si="91"/>
        <v>0</v>
      </c>
      <c r="AW149" s="1784">
        <f t="shared" si="92"/>
        <v>0</v>
      </c>
      <c r="AX149" s="178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5"/>
      <c r="AV150" s="1784">
        <f t="shared" si="91"/>
        <v>0</v>
      </c>
      <c r="AW150" s="1784">
        <f t="shared" si="92"/>
        <v>0</v>
      </c>
      <c r="AX150" s="178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5"/>
      <c r="AV151" s="1784">
        <f t="shared" si="91"/>
        <v>0</v>
      </c>
      <c r="AW151" s="1784">
        <f t="shared" si="92"/>
        <v>0</v>
      </c>
      <c r="AX151" s="178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5"/>
      <c r="AV152" s="1784">
        <f t="shared" si="91"/>
        <v>0</v>
      </c>
      <c r="AW152" s="1784">
        <f t="shared" si="92"/>
        <v>0</v>
      </c>
      <c r="AX152" s="178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5"/>
      <c r="AV153" s="1784">
        <f t="shared" si="91"/>
        <v>0</v>
      </c>
      <c r="AW153" s="1784">
        <f t="shared" si="92"/>
        <v>0</v>
      </c>
      <c r="AX153" s="178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5"/>
      <c r="AV154" s="1784">
        <f t="shared" si="91"/>
        <v>0</v>
      </c>
      <c r="AW154" s="1784">
        <f t="shared" si="92"/>
        <v>0</v>
      </c>
      <c r="AX154" s="178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5"/>
      <c r="AV155" s="1784">
        <f t="shared" si="91"/>
        <v>0</v>
      </c>
      <c r="AW155" s="1784">
        <f t="shared" si="92"/>
        <v>0</v>
      </c>
      <c r="AX155" s="178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5"/>
      <c r="AV156" s="1784">
        <f t="shared" si="91"/>
        <v>0</v>
      </c>
      <c r="AW156" s="1784">
        <f t="shared" si="92"/>
        <v>0</v>
      </c>
      <c r="AX156" s="178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5"/>
      <c r="AV157" s="1784">
        <f t="shared" si="91"/>
        <v>0</v>
      </c>
      <c r="AW157" s="1784">
        <f t="shared" si="92"/>
        <v>0</v>
      </c>
      <c r="AX157" s="178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5"/>
      <c r="AV158" s="1784">
        <f t="shared" si="91"/>
        <v>0</v>
      </c>
      <c r="AW158" s="1784">
        <f t="shared" si="92"/>
        <v>0</v>
      </c>
      <c r="AX158" s="178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5"/>
      <c r="AV159" s="1784">
        <f t="shared" si="91"/>
        <v>0</v>
      </c>
      <c r="AW159" s="1784">
        <f t="shared" si="92"/>
        <v>0</v>
      </c>
      <c r="AX159" s="178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5"/>
      <c r="AV160" s="1784">
        <f t="shared" si="91"/>
        <v>0</v>
      </c>
      <c r="AW160" s="1784">
        <f t="shared" si="92"/>
        <v>0</v>
      </c>
      <c r="AX160" s="178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5"/>
      <c r="AV161" s="1784">
        <f t="shared" si="91"/>
        <v>0</v>
      </c>
      <c r="AW161" s="1784">
        <f t="shared" si="92"/>
        <v>0</v>
      </c>
      <c r="AX161" s="178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5"/>
      <c r="AV162" s="1784">
        <f t="shared" si="91"/>
        <v>0</v>
      </c>
      <c r="AW162" s="1784">
        <f t="shared" si="92"/>
        <v>0</v>
      </c>
      <c r="AX162" s="178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5"/>
      <c r="AV163" s="1784">
        <f t="shared" si="91"/>
        <v>0</v>
      </c>
      <c r="AW163" s="1784">
        <f t="shared" si="92"/>
        <v>0</v>
      </c>
      <c r="AX163" s="178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5"/>
      <c r="AV164" s="1784">
        <f t="shared" si="91"/>
        <v>0</v>
      </c>
      <c r="AW164" s="1784">
        <f t="shared" si="92"/>
        <v>0</v>
      </c>
      <c r="AX164" s="178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5"/>
      <c r="AV165" s="1784">
        <f t="shared" si="91"/>
        <v>0</v>
      </c>
      <c r="AW165" s="1784">
        <f t="shared" si="92"/>
        <v>0</v>
      </c>
      <c r="AX165" s="178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5"/>
      <c r="AV166" s="1784">
        <f t="shared" si="91"/>
        <v>0</v>
      </c>
      <c r="AW166" s="1784">
        <f t="shared" si="92"/>
        <v>0</v>
      </c>
      <c r="AX166" s="178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5"/>
      <c r="AV167" s="1784">
        <f t="shared" si="91"/>
        <v>0</v>
      </c>
      <c r="AW167" s="1784">
        <f t="shared" si="92"/>
        <v>0</v>
      </c>
      <c r="AX167" s="178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5"/>
      <c r="AV168" s="1784">
        <f t="shared" si="91"/>
        <v>0</v>
      </c>
      <c r="AW168" s="1784">
        <f t="shared" si="92"/>
        <v>0</v>
      </c>
      <c r="AX168" s="178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5"/>
      <c r="AV169" s="1784">
        <f t="shared" si="91"/>
        <v>0</v>
      </c>
      <c r="AW169" s="1784">
        <f t="shared" si="92"/>
        <v>0</v>
      </c>
      <c r="AX169" s="178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5"/>
      <c r="AV170" s="1784">
        <f t="shared" si="91"/>
        <v>0</v>
      </c>
      <c r="AW170" s="1784">
        <f t="shared" si="92"/>
        <v>0</v>
      </c>
      <c r="AX170" s="178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5"/>
      <c r="AV171" s="1784">
        <f t="shared" si="91"/>
        <v>0</v>
      </c>
      <c r="AW171" s="1784">
        <f t="shared" si="92"/>
        <v>0</v>
      </c>
      <c r="AX171" s="178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5"/>
      <c r="AV172" s="1784">
        <f t="shared" si="91"/>
        <v>0</v>
      </c>
      <c r="AW172" s="1784">
        <f t="shared" si="92"/>
        <v>0</v>
      </c>
      <c r="AX172" s="178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5"/>
      <c r="AV173" s="1784">
        <f t="shared" si="91"/>
        <v>0</v>
      </c>
      <c r="AW173" s="1784">
        <f t="shared" si="92"/>
        <v>0</v>
      </c>
      <c r="AX173" s="178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5"/>
      <c r="AV174" s="1784">
        <f t="shared" si="91"/>
        <v>0</v>
      </c>
      <c r="AW174" s="1784">
        <f t="shared" si="92"/>
        <v>0</v>
      </c>
      <c r="AX174" s="178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5"/>
      <c r="AV175" s="1784">
        <f t="shared" si="91"/>
        <v>0</v>
      </c>
      <c r="AW175" s="1784">
        <f t="shared" si="92"/>
        <v>0</v>
      </c>
      <c r="AX175" s="178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5"/>
      <c r="AV176" s="1784">
        <f t="shared" si="91"/>
        <v>0</v>
      </c>
      <c r="AW176" s="1784">
        <f t="shared" si="92"/>
        <v>0</v>
      </c>
      <c r="AX176" s="178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5"/>
      <c r="AV177" s="1784">
        <f t="shared" ref="AV177:AV207" si="120">A177</f>
        <v>0</v>
      </c>
      <c r="AW177" s="1784">
        <f t="shared" ref="AW177:AW207" si="121">B177</f>
        <v>0</v>
      </c>
      <c r="AX177" s="178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5"/>
      <c r="AV178" s="1784">
        <f t="shared" si="120"/>
        <v>0</v>
      </c>
      <c r="AW178" s="1784">
        <f t="shared" si="121"/>
        <v>0</v>
      </c>
      <c r="AX178" s="178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5"/>
      <c r="AV179" s="1784">
        <f t="shared" si="120"/>
        <v>0</v>
      </c>
      <c r="AW179" s="1784">
        <f t="shared" si="121"/>
        <v>0</v>
      </c>
      <c r="AX179" s="178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5"/>
      <c r="AV180" s="1784">
        <f t="shared" si="120"/>
        <v>0</v>
      </c>
      <c r="AW180" s="1784">
        <f t="shared" si="121"/>
        <v>0</v>
      </c>
      <c r="AX180" s="178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5"/>
      <c r="AV181" s="1784">
        <f t="shared" si="120"/>
        <v>0</v>
      </c>
      <c r="AW181" s="1784">
        <f t="shared" si="121"/>
        <v>0</v>
      </c>
      <c r="AX181" s="178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5"/>
      <c r="AV182" s="1784">
        <f t="shared" si="120"/>
        <v>0</v>
      </c>
      <c r="AW182" s="1784">
        <f t="shared" si="121"/>
        <v>0</v>
      </c>
      <c r="AX182" s="178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5"/>
      <c r="AV183" s="1784">
        <f t="shared" si="120"/>
        <v>0</v>
      </c>
      <c r="AW183" s="1784">
        <f t="shared" si="121"/>
        <v>0</v>
      </c>
      <c r="AX183" s="178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5"/>
      <c r="AV184" s="1784">
        <f t="shared" si="120"/>
        <v>0</v>
      </c>
      <c r="AW184" s="1784">
        <f t="shared" si="121"/>
        <v>0</v>
      </c>
      <c r="AX184" s="178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5"/>
      <c r="AV185" s="1784">
        <f t="shared" si="120"/>
        <v>0</v>
      </c>
      <c r="AW185" s="1784">
        <f t="shared" si="121"/>
        <v>0</v>
      </c>
      <c r="AX185" s="178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5"/>
      <c r="AV186" s="1784">
        <f t="shared" si="120"/>
        <v>0</v>
      </c>
      <c r="AW186" s="1784">
        <f t="shared" si="121"/>
        <v>0</v>
      </c>
      <c r="AX186" s="178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5"/>
      <c r="AV187" s="1784">
        <f t="shared" si="120"/>
        <v>0</v>
      </c>
      <c r="AW187" s="1784">
        <f t="shared" si="121"/>
        <v>0</v>
      </c>
      <c r="AX187" s="178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5"/>
      <c r="AV188" s="1784">
        <f t="shared" si="120"/>
        <v>0</v>
      </c>
      <c r="AW188" s="1784">
        <f t="shared" si="121"/>
        <v>0</v>
      </c>
      <c r="AX188" s="178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5"/>
      <c r="AV189" s="1784">
        <f t="shared" si="120"/>
        <v>0</v>
      </c>
      <c r="AW189" s="1784">
        <f t="shared" si="121"/>
        <v>0</v>
      </c>
      <c r="AX189" s="178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5"/>
      <c r="AV190" s="1784">
        <f t="shared" si="120"/>
        <v>0</v>
      </c>
      <c r="AW190" s="1784">
        <f t="shared" si="121"/>
        <v>0</v>
      </c>
      <c r="AX190" s="178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5"/>
      <c r="AV191" s="1784">
        <f t="shared" si="120"/>
        <v>0</v>
      </c>
      <c r="AW191" s="1784">
        <f t="shared" si="121"/>
        <v>0</v>
      </c>
      <c r="AX191" s="178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5"/>
      <c r="AV192" s="1784">
        <f t="shared" si="120"/>
        <v>0</v>
      </c>
      <c r="AW192" s="1784">
        <f t="shared" si="121"/>
        <v>0</v>
      </c>
      <c r="AX192" s="178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5"/>
      <c r="AV193" s="1784">
        <f t="shared" si="120"/>
        <v>0</v>
      </c>
      <c r="AW193" s="1784">
        <f t="shared" si="121"/>
        <v>0</v>
      </c>
      <c r="AX193" s="178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5"/>
      <c r="AV194" s="1784">
        <f t="shared" si="120"/>
        <v>0</v>
      </c>
      <c r="AW194" s="1784">
        <f t="shared" si="121"/>
        <v>0</v>
      </c>
      <c r="AX194" s="178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5"/>
      <c r="AV195" s="1784">
        <f t="shared" si="120"/>
        <v>0</v>
      </c>
      <c r="AW195" s="1784">
        <f t="shared" si="121"/>
        <v>0</v>
      </c>
      <c r="AX195" s="178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5"/>
      <c r="AV196" s="1784">
        <f t="shared" si="120"/>
        <v>0</v>
      </c>
      <c r="AW196" s="1784">
        <f t="shared" si="121"/>
        <v>0</v>
      </c>
      <c r="AX196" s="178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5"/>
      <c r="AV197" s="1784">
        <f t="shared" si="120"/>
        <v>0</v>
      </c>
      <c r="AW197" s="1784">
        <f t="shared" si="121"/>
        <v>0</v>
      </c>
      <c r="AX197" s="178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5"/>
      <c r="AV198" s="1784">
        <f t="shared" si="120"/>
        <v>0</v>
      </c>
      <c r="AW198" s="1784">
        <f t="shared" si="121"/>
        <v>0</v>
      </c>
      <c r="AX198" s="178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5"/>
      <c r="AV199" s="1784">
        <f t="shared" si="120"/>
        <v>0</v>
      </c>
      <c r="AW199" s="1784">
        <f t="shared" si="121"/>
        <v>0</v>
      </c>
      <c r="AX199" s="178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5"/>
      <c r="AV200" s="1784">
        <f t="shared" si="120"/>
        <v>0</v>
      </c>
      <c r="AW200" s="1784">
        <f t="shared" si="121"/>
        <v>0</v>
      </c>
      <c r="AX200" s="178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5"/>
      <c r="AV201" s="1784">
        <f t="shared" si="120"/>
        <v>0</v>
      </c>
      <c r="AW201" s="1784">
        <f t="shared" si="121"/>
        <v>0</v>
      </c>
      <c r="AX201" s="178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5"/>
      <c r="AV202" s="1784">
        <f t="shared" si="120"/>
        <v>0</v>
      </c>
      <c r="AW202" s="1784">
        <f t="shared" si="121"/>
        <v>0</v>
      </c>
      <c r="AX202" s="178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5"/>
      <c r="AV203" s="1784">
        <f t="shared" si="120"/>
        <v>0</v>
      </c>
      <c r="AW203" s="1784">
        <f t="shared" si="121"/>
        <v>0</v>
      </c>
      <c r="AX203" s="178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5"/>
      <c r="AV204" s="1784">
        <f t="shared" si="120"/>
        <v>0</v>
      </c>
      <c r="AW204" s="1784">
        <f t="shared" si="121"/>
        <v>0</v>
      </c>
      <c r="AX204" s="178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0"/>
      <c r="AV205" s="1784">
        <f t="shared" si="120"/>
        <v>0</v>
      </c>
      <c r="AW205" s="1784">
        <f t="shared" si="121"/>
        <v>0</v>
      </c>
      <c r="AX205" s="178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0"/>
      <c r="AV206" s="1784">
        <f t="shared" si="120"/>
        <v>0</v>
      </c>
      <c r="AW206" s="1784">
        <f t="shared" si="121"/>
        <v>0</v>
      </c>
      <c r="AX206" s="178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0"/>
      <c r="AV207" s="1784">
        <f t="shared" si="120"/>
        <v>0</v>
      </c>
      <c r="AW207" s="1784">
        <f t="shared" si="121"/>
        <v>0</v>
      </c>
      <c r="AX207" s="178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5"/>
      <c r="AV208" s="1784">
        <f t="shared" ref="AV208:AV302" si="127">A208</f>
        <v>0</v>
      </c>
      <c r="AW208" s="1784">
        <f t="shared" ref="AW208:AW302" si="128">B208</f>
        <v>0</v>
      </c>
      <c r="AX208" s="178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5"/>
      <c r="AV209" s="1784">
        <f t="shared" si="127"/>
        <v>0</v>
      </c>
      <c r="AW209" s="1784">
        <f t="shared" si="128"/>
        <v>0</v>
      </c>
      <c r="AX209" s="178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5"/>
      <c r="AV210" s="1784">
        <f t="shared" si="127"/>
        <v>0</v>
      </c>
      <c r="AW210" s="1784">
        <f t="shared" si="128"/>
        <v>0</v>
      </c>
      <c r="AX210" s="178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5"/>
      <c r="AV211" s="1784">
        <f t="shared" si="127"/>
        <v>0</v>
      </c>
      <c r="AW211" s="1784">
        <f t="shared" si="128"/>
        <v>0</v>
      </c>
      <c r="AX211" s="178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5"/>
      <c r="AV212" s="1784">
        <f t="shared" si="127"/>
        <v>0</v>
      </c>
      <c r="AW212" s="1784">
        <f t="shared" si="128"/>
        <v>0</v>
      </c>
      <c r="AX212" s="178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5"/>
      <c r="AV213" s="1784">
        <f t="shared" si="127"/>
        <v>0</v>
      </c>
      <c r="AW213" s="1784">
        <f t="shared" si="128"/>
        <v>0</v>
      </c>
      <c r="AX213" s="178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5"/>
      <c r="AV214" s="1784">
        <f t="shared" si="127"/>
        <v>0</v>
      </c>
      <c r="AW214" s="1784">
        <f t="shared" si="128"/>
        <v>0</v>
      </c>
      <c r="AX214" s="178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5"/>
      <c r="AV215" s="1784">
        <f t="shared" si="127"/>
        <v>0</v>
      </c>
      <c r="AW215" s="1784">
        <f t="shared" si="128"/>
        <v>0</v>
      </c>
      <c r="AX215" s="178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5"/>
      <c r="AV216" s="1784">
        <f t="shared" si="127"/>
        <v>0</v>
      </c>
      <c r="AW216" s="1784">
        <f t="shared" si="128"/>
        <v>0</v>
      </c>
      <c r="AX216" s="178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5"/>
      <c r="AV217" s="1784">
        <f t="shared" si="127"/>
        <v>0</v>
      </c>
      <c r="AW217" s="1784">
        <f t="shared" si="128"/>
        <v>0</v>
      </c>
      <c r="AX217" s="178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5"/>
      <c r="AV218" s="1784">
        <f t="shared" si="127"/>
        <v>0</v>
      </c>
      <c r="AW218" s="1784">
        <f t="shared" si="128"/>
        <v>0</v>
      </c>
      <c r="AX218" s="178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5"/>
      <c r="AV219" s="1784">
        <f t="shared" si="127"/>
        <v>0</v>
      </c>
      <c r="AW219" s="1784">
        <f t="shared" si="128"/>
        <v>0</v>
      </c>
      <c r="AX219" s="178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5"/>
      <c r="AV220" s="1784">
        <f t="shared" si="127"/>
        <v>0</v>
      </c>
      <c r="AW220" s="1784">
        <f t="shared" si="128"/>
        <v>0</v>
      </c>
      <c r="AX220" s="178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5"/>
      <c r="AV221" s="1784">
        <f t="shared" si="127"/>
        <v>0</v>
      </c>
      <c r="AW221" s="1784">
        <f t="shared" si="128"/>
        <v>0</v>
      </c>
      <c r="AX221" s="178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5"/>
      <c r="AV222" s="1784">
        <f t="shared" si="127"/>
        <v>0</v>
      </c>
      <c r="AW222" s="1784">
        <f t="shared" si="128"/>
        <v>0</v>
      </c>
      <c r="AX222" s="178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5"/>
      <c r="AV223" s="1784">
        <f t="shared" si="127"/>
        <v>0</v>
      </c>
      <c r="AW223" s="1784">
        <f t="shared" si="128"/>
        <v>0</v>
      </c>
      <c r="AX223" s="178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5"/>
      <c r="AV224" s="1784">
        <f t="shared" si="127"/>
        <v>0</v>
      </c>
      <c r="AW224" s="1784">
        <f t="shared" si="128"/>
        <v>0</v>
      </c>
      <c r="AX224" s="178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5"/>
      <c r="AV225" s="1784">
        <f t="shared" si="127"/>
        <v>0</v>
      </c>
      <c r="AW225" s="1784">
        <f t="shared" si="128"/>
        <v>0</v>
      </c>
      <c r="AX225" s="178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5"/>
      <c r="AV226" s="1784">
        <f t="shared" si="127"/>
        <v>0</v>
      </c>
      <c r="AW226" s="1784">
        <f t="shared" si="128"/>
        <v>0</v>
      </c>
      <c r="AX226" s="178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5"/>
      <c r="AV227" s="1784">
        <f t="shared" si="127"/>
        <v>0</v>
      </c>
      <c r="AW227" s="1784">
        <f t="shared" si="128"/>
        <v>0</v>
      </c>
      <c r="AX227" s="178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5"/>
      <c r="AV228" s="1784">
        <f t="shared" si="127"/>
        <v>0</v>
      </c>
      <c r="AW228" s="1784">
        <f t="shared" si="128"/>
        <v>0</v>
      </c>
      <c r="AX228" s="178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5"/>
      <c r="AV229" s="1784">
        <f t="shared" si="127"/>
        <v>0</v>
      </c>
      <c r="AW229" s="1784">
        <f t="shared" si="128"/>
        <v>0</v>
      </c>
      <c r="AX229" s="178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5"/>
      <c r="AV230" s="1784">
        <f t="shared" si="127"/>
        <v>0</v>
      </c>
      <c r="AW230" s="1784">
        <f t="shared" si="128"/>
        <v>0</v>
      </c>
      <c r="AX230" s="178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5"/>
      <c r="AV231" s="1784">
        <f t="shared" si="127"/>
        <v>0</v>
      </c>
      <c r="AW231" s="1784">
        <f t="shared" si="128"/>
        <v>0</v>
      </c>
      <c r="AX231" s="178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5"/>
      <c r="AV232" s="1784">
        <f t="shared" si="127"/>
        <v>0</v>
      </c>
      <c r="AW232" s="1784">
        <f t="shared" si="128"/>
        <v>0</v>
      </c>
      <c r="AX232" s="178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5"/>
      <c r="AV233" s="1784">
        <f t="shared" si="127"/>
        <v>0</v>
      </c>
      <c r="AW233" s="1784">
        <f t="shared" si="128"/>
        <v>0</v>
      </c>
      <c r="AX233" s="178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5"/>
      <c r="AV234" s="1784">
        <f t="shared" si="127"/>
        <v>0</v>
      </c>
      <c r="AW234" s="1784">
        <f t="shared" si="128"/>
        <v>0</v>
      </c>
      <c r="AX234" s="178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5"/>
      <c r="AV235" s="1784">
        <f t="shared" si="127"/>
        <v>0</v>
      </c>
      <c r="AW235" s="1784">
        <f t="shared" si="128"/>
        <v>0</v>
      </c>
      <c r="AX235" s="178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5"/>
      <c r="AV236" s="1784">
        <f t="shared" si="127"/>
        <v>0</v>
      </c>
      <c r="AW236" s="1784">
        <f t="shared" si="128"/>
        <v>0</v>
      </c>
      <c r="AX236" s="178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5"/>
      <c r="AV237" s="1784">
        <f t="shared" si="127"/>
        <v>0</v>
      </c>
      <c r="AW237" s="1784">
        <f t="shared" si="128"/>
        <v>0</v>
      </c>
      <c r="AX237" s="178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5"/>
      <c r="AV238" s="1784">
        <f t="shared" si="127"/>
        <v>0</v>
      </c>
      <c r="AW238" s="1784">
        <f t="shared" si="128"/>
        <v>0</v>
      </c>
      <c r="AX238" s="178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5"/>
      <c r="AV239" s="1784">
        <f t="shared" si="127"/>
        <v>0</v>
      </c>
      <c r="AW239" s="1784">
        <f t="shared" si="128"/>
        <v>0</v>
      </c>
      <c r="AX239" s="178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5"/>
      <c r="AV240" s="1784">
        <f t="shared" si="127"/>
        <v>0</v>
      </c>
      <c r="AW240" s="1784">
        <f t="shared" si="128"/>
        <v>0</v>
      </c>
      <c r="AX240" s="178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5"/>
      <c r="AV241" s="1784">
        <f t="shared" si="127"/>
        <v>0</v>
      </c>
      <c r="AW241" s="1784">
        <f t="shared" si="128"/>
        <v>0</v>
      </c>
      <c r="AX241" s="178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5"/>
      <c r="AV242" s="1784">
        <f t="shared" si="127"/>
        <v>0</v>
      </c>
      <c r="AW242" s="1784">
        <f t="shared" si="128"/>
        <v>0</v>
      </c>
      <c r="AX242" s="178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5"/>
      <c r="AV243" s="1784">
        <f t="shared" si="127"/>
        <v>0</v>
      </c>
      <c r="AW243" s="1784">
        <f t="shared" si="128"/>
        <v>0</v>
      </c>
      <c r="AX243" s="178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5"/>
      <c r="AV244" s="1784">
        <f t="shared" si="127"/>
        <v>0</v>
      </c>
      <c r="AW244" s="1784">
        <f t="shared" si="128"/>
        <v>0</v>
      </c>
      <c r="AX244" s="178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5"/>
      <c r="AV245" s="1784">
        <f t="shared" si="127"/>
        <v>0</v>
      </c>
      <c r="AW245" s="1784">
        <f t="shared" si="128"/>
        <v>0</v>
      </c>
      <c r="AX245" s="178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5"/>
      <c r="AV246" s="1784">
        <f t="shared" si="127"/>
        <v>0</v>
      </c>
      <c r="AW246" s="1784">
        <f t="shared" si="128"/>
        <v>0</v>
      </c>
      <c r="AX246" s="178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5"/>
      <c r="AV247" s="1784">
        <f t="shared" si="127"/>
        <v>0</v>
      </c>
      <c r="AW247" s="1784">
        <f t="shared" si="128"/>
        <v>0</v>
      </c>
      <c r="AX247" s="178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5"/>
      <c r="AV248" s="1784">
        <f t="shared" si="127"/>
        <v>0</v>
      </c>
      <c r="AW248" s="1784">
        <f t="shared" si="128"/>
        <v>0</v>
      </c>
      <c r="AX248" s="178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5"/>
      <c r="AV249" s="1784">
        <f t="shared" si="127"/>
        <v>0</v>
      </c>
      <c r="AW249" s="1784">
        <f t="shared" si="128"/>
        <v>0</v>
      </c>
      <c r="AX249" s="178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5"/>
      <c r="AV250" s="1784">
        <f t="shared" si="127"/>
        <v>0</v>
      </c>
      <c r="AW250" s="1784">
        <f t="shared" si="128"/>
        <v>0</v>
      </c>
      <c r="AX250" s="178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5"/>
      <c r="AV251" s="1784">
        <f t="shared" si="127"/>
        <v>0</v>
      </c>
      <c r="AW251" s="1784">
        <f t="shared" si="128"/>
        <v>0</v>
      </c>
      <c r="AX251" s="178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5"/>
      <c r="AV252" s="1784">
        <f t="shared" si="127"/>
        <v>0</v>
      </c>
      <c r="AW252" s="1784">
        <f t="shared" si="128"/>
        <v>0</v>
      </c>
      <c r="AX252" s="178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5"/>
      <c r="AV253" s="1784">
        <f t="shared" si="127"/>
        <v>0</v>
      </c>
      <c r="AW253" s="1784">
        <f t="shared" si="128"/>
        <v>0</v>
      </c>
      <c r="AX253" s="178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5"/>
      <c r="AV254" s="1784">
        <f t="shared" si="127"/>
        <v>0</v>
      </c>
      <c r="AW254" s="1784">
        <f t="shared" si="128"/>
        <v>0</v>
      </c>
      <c r="AX254" s="178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5"/>
      <c r="AV255" s="1784">
        <f t="shared" si="127"/>
        <v>0</v>
      </c>
      <c r="AW255" s="1784">
        <f t="shared" si="128"/>
        <v>0</v>
      </c>
      <c r="AX255" s="178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5"/>
      <c r="AV256" s="1784">
        <f t="shared" si="127"/>
        <v>0</v>
      </c>
      <c r="AW256" s="1784">
        <f t="shared" si="128"/>
        <v>0</v>
      </c>
      <c r="AX256" s="178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5"/>
      <c r="AV257" s="1784">
        <f t="shared" si="127"/>
        <v>0</v>
      </c>
      <c r="AW257" s="1784">
        <f t="shared" si="128"/>
        <v>0</v>
      </c>
      <c r="AX257" s="178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5"/>
      <c r="AV258" s="1784">
        <f t="shared" si="127"/>
        <v>0</v>
      </c>
      <c r="AW258" s="1784">
        <f t="shared" si="128"/>
        <v>0</v>
      </c>
      <c r="AX258" s="178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5"/>
      <c r="AV259" s="1784">
        <f t="shared" si="127"/>
        <v>0</v>
      </c>
      <c r="AW259" s="1784">
        <f t="shared" si="128"/>
        <v>0</v>
      </c>
      <c r="AX259" s="178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5"/>
      <c r="AV260" s="1784">
        <f t="shared" si="127"/>
        <v>0</v>
      </c>
      <c r="AW260" s="1784">
        <f t="shared" si="128"/>
        <v>0</v>
      </c>
      <c r="AX260" s="178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5"/>
      <c r="AV261" s="1784">
        <f t="shared" si="127"/>
        <v>0</v>
      </c>
      <c r="AW261" s="1784">
        <f t="shared" si="128"/>
        <v>0</v>
      </c>
      <c r="AX261" s="178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5"/>
      <c r="AV262" s="1784">
        <f t="shared" si="127"/>
        <v>0</v>
      </c>
      <c r="AW262" s="1784">
        <f t="shared" si="128"/>
        <v>0</v>
      </c>
      <c r="AX262" s="178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5"/>
      <c r="AV263" s="1784">
        <f t="shared" si="127"/>
        <v>0</v>
      </c>
      <c r="AW263" s="1784">
        <f t="shared" si="128"/>
        <v>0</v>
      </c>
      <c r="AX263" s="178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5"/>
      <c r="AV264" s="1784">
        <f t="shared" si="127"/>
        <v>0</v>
      </c>
      <c r="AW264" s="1784">
        <f t="shared" si="128"/>
        <v>0</v>
      </c>
      <c r="AX264" s="178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5"/>
      <c r="AV265" s="1784">
        <f t="shared" si="127"/>
        <v>0</v>
      </c>
      <c r="AW265" s="1784">
        <f t="shared" si="128"/>
        <v>0</v>
      </c>
      <c r="AX265" s="178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5"/>
      <c r="AV266" s="1784">
        <f t="shared" si="127"/>
        <v>0</v>
      </c>
      <c r="AW266" s="1784">
        <f t="shared" si="128"/>
        <v>0</v>
      </c>
      <c r="AX266" s="178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5"/>
      <c r="AV267" s="1784">
        <f t="shared" si="127"/>
        <v>0</v>
      </c>
      <c r="AW267" s="1784">
        <f t="shared" si="128"/>
        <v>0</v>
      </c>
      <c r="AX267" s="178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5"/>
      <c r="AV268" s="1784">
        <f t="shared" si="127"/>
        <v>0</v>
      </c>
      <c r="AW268" s="1784">
        <f t="shared" si="128"/>
        <v>0</v>
      </c>
      <c r="AX268" s="178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5"/>
      <c r="AV269" s="1784">
        <f t="shared" si="127"/>
        <v>0</v>
      </c>
      <c r="AW269" s="1784">
        <f t="shared" si="128"/>
        <v>0</v>
      </c>
      <c r="AX269" s="178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5"/>
      <c r="AV270" s="1784">
        <f t="shared" si="127"/>
        <v>0</v>
      </c>
      <c r="AW270" s="1784">
        <f t="shared" si="128"/>
        <v>0</v>
      </c>
      <c r="AX270" s="178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5"/>
      <c r="AV271" s="1784">
        <f t="shared" si="127"/>
        <v>0</v>
      </c>
      <c r="AW271" s="1784">
        <f t="shared" si="128"/>
        <v>0</v>
      </c>
      <c r="AX271" s="178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5"/>
      <c r="AV272" s="1784">
        <f t="shared" si="127"/>
        <v>0</v>
      </c>
      <c r="AW272" s="1784">
        <f t="shared" si="128"/>
        <v>0</v>
      </c>
      <c r="AX272" s="178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5"/>
      <c r="AV273" s="1784">
        <f t="shared" si="127"/>
        <v>0</v>
      </c>
      <c r="AW273" s="1784">
        <f t="shared" si="128"/>
        <v>0</v>
      </c>
      <c r="AX273" s="178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5"/>
      <c r="AV274" s="1784">
        <f t="shared" si="127"/>
        <v>0</v>
      </c>
      <c r="AW274" s="1784">
        <f t="shared" si="128"/>
        <v>0</v>
      </c>
      <c r="AX274" s="178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5"/>
      <c r="AV275" s="1784">
        <f t="shared" si="127"/>
        <v>0</v>
      </c>
      <c r="AW275" s="1784">
        <f t="shared" si="128"/>
        <v>0</v>
      </c>
      <c r="AX275" s="178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5"/>
      <c r="AV276" s="1784">
        <f t="shared" si="127"/>
        <v>0</v>
      </c>
      <c r="AW276" s="1784">
        <f t="shared" si="128"/>
        <v>0</v>
      </c>
      <c r="AX276" s="178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5"/>
      <c r="AV277" s="1784">
        <f t="shared" si="127"/>
        <v>0</v>
      </c>
      <c r="AW277" s="1784">
        <f t="shared" si="128"/>
        <v>0</v>
      </c>
      <c r="AX277" s="178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5"/>
      <c r="AV278" s="1784">
        <f t="shared" si="127"/>
        <v>0</v>
      </c>
      <c r="AW278" s="1784">
        <f t="shared" si="128"/>
        <v>0</v>
      </c>
      <c r="AX278" s="178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5"/>
      <c r="AV279" s="1784">
        <f t="shared" si="127"/>
        <v>0</v>
      </c>
      <c r="AW279" s="1784">
        <f t="shared" si="128"/>
        <v>0</v>
      </c>
      <c r="AX279" s="178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5"/>
      <c r="AV280" s="1784">
        <f t="shared" si="127"/>
        <v>0</v>
      </c>
      <c r="AW280" s="1784">
        <f t="shared" si="128"/>
        <v>0</v>
      </c>
      <c r="AX280" s="178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5"/>
      <c r="AV281" s="1784">
        <f t="shared" si="127"/>
        <v>0</v>
      </c>
      <c r="AW281" s="1784">
        <f t="shared" si="128"/>
        <v>0</v>
      </c>
      <c r="AX281" s="178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5"/>
      <c r="AV282" s="1784">
        <f t="shared" si="127"/>
        <v>0</v>
      </c>
      <c r="AW282" s="1784">
        <f t="shared" si="128"/>
        <v>0</v>
      </c>
      <c r="AX282" s="178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5"/>
      <c r="AV283" s="1784">
        <f t="shared" si="127"/>
        <v>0</v>
      </c>
      <c r="AW283" s="1784">
        <f t="shared" si="128"/>
        <v>0</v>
      </c>
      <c r="AX283" s="178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5"/>
      <c r="AV284" s="1784">
        <f t="shared" si="127"/>
        <v>0</v>
      </c>
      <c r="AW284" s="1784">
        <f t="shared" si="128"/>
        <v>0</v>
      </c>
      <c r="AX284" s="178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5"/>
      <c r="AV285" s="1784">
        <f t="shared" si="127"/>
        <v>0</v>
      </c>
      <c r="AW285" s="1784">
        <f t="shared" si="128"/>
        <v>0</v>
      </c>
      <c r="AX285" s="178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5"/>
      <c r="AV286" s="1784">
        <f t="shared" si="127"/>
        <v>0</v>
      </c>
      <c r="AW286" s="1784">
        <f t="shared" si="128"/>
        <v>0</v>
      </c>
      <c r="AX286" s="178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5"/>
      <c r="AV287" s="1784">
        <f t="shared" si="127"/>
        <v>0</v>
      </c>
      <c r="AW287" s="1784">
        <f t="shared" si="128"/>
        <v>0</v>
      </c>
      <c r="AX287" s="178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5"/>
      <c r="AV288" s="1784">
        <f t="shared" si="127"/>
        <v>0</v>
      </c>
      <c r="AW288" s="1784">
        <f t="shared" si="128"/>
        <v>0</v>
      </c>
      <c r="AX288" s="178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5"/>
      <c r="AV289" s="1784">
        <f t="shared" si="127"/>
        <v>0</v>
      </c>
      <c r="AW289" s="1784">
        <f t="shared" si="128"/>
        <v>0</v>
      </c>
      <c r="AX289" s="178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5"/>
      <c r="AV290" s="1784">
        <f t="shared" si="127"/>
        <v>0</v>
      </c>
      <c r="AW290" s="1784">
        <f t="shared" si="128"/>
        <v>0</v>
      </c>
      <c r="AX290" s="178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5"/>
      <c r="AV291" s="1784">
        <f t="shared" si="127"/>
        <v>0</v>
      </c>
      <c r="AW291" s="1784">
        <f t="shared" si="128"/>
        <v>0</v>
      </c>
      <c r="AX291" s="178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5"/>
      <c r="AV292" s="1784">
        <f t="shared" si="127"/>
        <v>0</v>
      </c>
      <c r="AW292" s="1784">
        <f t="shared" si="128"/>
        <v>0</v>
      </c>
      <c r="AX292" s="178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5"/>
      <c r="AV293" s="1784">
        <f t="shared" si="127"/>
        <v>0</v>
      </c>
      <c r="AW293" s="1784">
        <f t="shared" si="128"/>
        <v>0</v>
      </c>
      <c r="AX293" s="178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5"/>
      <c r="AV294" s="1784">
        <f t="shared" si="127"/>
        <v>0</v>
      </c>
      <c r="AW294" s="1784">
        <f t="shared" si="128"/>
        <v>0</v>
      </c>
      <c r="AX294" s="178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5"/>
      <c r="AV295" s="1784">
        <f t="shared" si="127"/>
        <v>0</v>
      </c>
      <c r="AW295" s="1784">
        <f t="shared" si="128"/>
        <v>0</v>
      </c>
      <c r="AX295" s="178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5"/>
      <c r="AV296" s="1784">
        <f t="shared" si="127"/>
        <v>0</v>
      </c>
      <c r="AW296" s="1784">
        <f t="shared" si="128"/>
        <v>0</v>
      </c>
      <c r="AX296" s="178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5"/>
      <c r="AV297" s="1784">
        <f t="shared" si="127"/>
        <v>0</v>
      </c>
      <c r="AW297" s="1784">
        <f t="shared" si="128"/>
        <v>0</v>
      </c>
      <c r="AX297" s="178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5"/>
      <c r="AV298" s="1784">
        <f t="shared" si="127"/>
        <v>0</v>
      </c>
      <c r="AW298" s="1784">
        <f t="shared" si="128"/>
        <v>0</v>
      </c>
      <c r="AX298" s="178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5"/>
      <c r="AV299" s="1784">
        <f t="shared" si="127"/>
        <v>0</v>
      </c>
      <c r="AW299" s="1784">
        <f t="shared" si="128"/>
        <v>0</v>
      </c>
      <c r="AX299" s="178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0"/>
      <c r="AV300" s="1784">
        <f t="shared" si="127"/>
        <v>0</v>
      </c>
      <c r="AW300" s="1784">
        <f t="shared" si="128"/>
        <v>0</v>
      </c>
      <c r="AX300" s="178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0"/>
      <c r="AV301" s="1784">
        <f t="shared" si="127"/>
        <v>0</v>
      </c>
      <c r="AW301" s="1784">
        <f t="shared" si="128"/>
        <v>0</v>
      </c>
      <c r="AX301" s="178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0"/>
      <c r="AV302" s="1784">
        <f t="shared" si="127"/>
        <v>0</v>
      </c>
      <c r="AW302" s="1784">
        <f t="shared" si="128"/>
        <v>0</v>
      </c>
      <c r="AX302" s="178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5"/>
      <c r="AV303" s="1784">
        <f t="shared" ref="AV303:AV334" si="178">A303</f>
        <v>0</v>
      </c>
      <c r="AW303" s="1784">
        <f t="shared" ref="AW303:AW334" si="179">B303</f>
        <v>0</v>
      </c>
      <c r="AX303" s="178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5"/>
      <c r="AV304" s="1784">
        <f t="shared" si="178"/>
        <v>0</v>
      </c>
      <c r="AW304" s="1784">
        <f t="shared" si="179"/>
        <v>0</v>
      </c>
      <c r="AX304" s="178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5"/>
      <c r="AV305" s="1784">
        <f t="shared" si="178"/>
        <v>0</v>
      </c>
      <c r="AW305" s="1784">
        <f t="shared" si="179"/>
        <v>0</v>
      </c>
      <c r="AX305" s="178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5"/>
      <c r="AV306" s="1784">
        <f t="shared" si="178"/>
        <v>0</v>
      </c>
      <c r="AW306" s="1784">
        <f t="shared" si="179"/>
        <v>0</v>
      </c>
      <c r="AX306" s="178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5"/>
      <c r="AV307" s="1784">
        <f t="shared" si="178"/>
        <v>0</v>
      </c>
      <c r="AW307" s="1784">
        <f t="shared" si="179"/>
        <v>0</v>
      </c>
      <c r="AX307" s="178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5"/>
      <c r="AV308" s="1784">
        <f t="shared" si="178"/>
        <v>0</v>
      </c>
      <c r="AW308" s="1784">
        <f t="shared" si="179"/>
        <v>0</v>
      </c>
      <c r="AX308" s="178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5"/>
      <c r="AV309" s="1784">
        <f t="shared" si="178"/>
        <v>0</v>
      </c>
      <c r="AW309" s="1784">
        <f t="shared" si="179"/>
        <v>0</v>
      </c>
      <c r="AX309" s="178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5"/>
      <c r="AV310" s="1784">
        <f t="shared" si="178"/>
        <v>0</v>
      </c>
      <c r="AW310" s="1784">
        <f t="shared" si="179"/>
        <v>0</v>
      </c>
      <c r="AX310" s="178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5"/>
      <c r="AV311" s="1784">
        <f t="shared" si="178"/>
        <v>0</v>
      </c>
      <c r="AW311" s="1784">
        <f t="shared" si="179"/>
        <v>0</v>
      </c>
      <c r="AX311" s="178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5"/>
      <c r="AV312" s="1784">
        <f t="shared" si="178"/>
        <v>0</v>
      </c>
      <c r="AW312" s="1784">
        <f t="shared" si="179"/>
        <v>0</v>
      </c>
      <c r="AX312" s="178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5"/>
      <c r="AV313" s="1784">
        <f t="shared" si="178"/>
        <v>0</v>
      </c>
      <c r="AW313" s="1784">
        <f t="shared" si="179"/>
        <v>0</v>
      </c>
      <c r="AX313" s="178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5"/>
      <c r="AV314" s="1784">
        <f t="shared" si="178"/>
        <v>0</v>
      </c>
      <c r="AW314" s="1784">
        <f t="shared" si="179"/>
        <v>0</v>
      </c>
      <c r="AX314" s="178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5"/>
      <c r="AV315" s="1784">
        <f t="shared" si="178"/>
        <v>0</v>
      </c>
      <c r="AW315" s="1784">
        <f t="shared" si="179"/>
        <v>0</v>
      </c>
      <c r="AX315" s="178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5"/>
      <c r="AV316" s="1784">
        <f t="shared" si="178"/>
        <v>0</v>
      </c>
      <c r="AW316" s="1784">
        <f t="shared" si="179"/>
        <v>0</v>
      </c>
      <c r="AX316" s="178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5"/>
      <c r="AV317" s="1784">
        <f t="shared" si="178"/>
        <v>0</v>
      </c>
      <c r="AW317" s="1784">
        <f t="shared" si="179"/>
        <v>0</v>
      </c>
      <c r="AX317" s="178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5"/>
      <c r="AV318" s="1784">
        <f t="shared" si="178"/>
        <v>0</v>
      </c>
      <c r="AW318" s="1784">
        <f t="shared" si="179"/>
        <v>0</v>
      </c>
      <c r="AX318" s="178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5"/>
      <c r="AV319" s="1784">
        <f t="shared" si="178"/>
        <v>0</v>
      </c>
      <c r="AW319" s="1784">
        <f t="shared" si="179"/>
        <v>0</v>
      </c>
      <c r="AX319" s="178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5"/>
      <c r="AV320" s="1784">
        <f t="shared" si="178"/>
        <v>0</v>
      </c>
      <c r="AW320" s="1784">
        <f t="shared" si="179"/>
        <v>0</v>
      </c>
      <c r="AX320" s="178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5"/>
      <c r="AV321" s="1784">
        <f t="shared" si="178"/>
        <v>0</v>
      </c>
      <c r="AW321" s="1784">
        <f t="shared" si="179"/>
        <v>0</v>
      </c>
      <c r="AX321" s="178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5"/>
      <c r="AV322" s="1784">
        <f t="shared" si="178"/>
        <v>0</v>
      </c>
      <c r="AW322" s="1784">
        <f t="shared" si="179"/>
        <v>0</v>
      </c>
      <c r="AX322" s="178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5"/>
      <c r="AV323" s="1784">
        <f t="shared" si="178"/>
        <v>0</v>
      </c>
      <c r="AW323" s="1784">
        <f t="shared" si="179"/>
        <v>0</v>
      </c>
      <c r="AX323" s="178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5"/>
      <c r="AV324" s="1784">
        <f t="shared" si="178"/>
        <v>0</v>
      </c>
      <c r="AW324" s="1784">
        <f t="shared" si="179"/>
        <v>0</v>
      </c>
      <c r="AX324" s="178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5"/>
      <c r="AV325" s="1784">
        <f t="shared" si="178"/>
        <v>0</v>
      </c>
      <c r="AW325" s="1784">
        <f t="shared" si="179"/>
        <v>0</v>
      </c>
      <c r="AX325" s="178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5"/>
      <c r="AV326" s="1784">
        <f t="shared" si="178"/>
        <v>0</v>
      </c>
      <c r="AW326" s="1784">
        <f t="shared" si="179"/>
        <v>0</v>
      </c>
      <c r="AX326" s="178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5"/>
      <c r="AV327" s="1784">
        <f t="shared" si="178"/>
        <v>0</v>
      </c>
      <c r="AW327" s="1784">
        <f t="shared" si="179"/>
        <v>0</v>
      </c>
      <c r="AX327" s="178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5"/>
      <c r="AV328" s="1784">
        <f t="shared" si="178"/>
        <v>0</v>
      </c>
      <c r="AW328" s="1784">
        <f t="shared" si="179"/>
        <v>0</v>
      </c>
      <c r="AX328" s="178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5"/>
      <c r="AV329" s="1784">
        <f t="shared" si="178"/>
        <v>0</v>
      </c>
      <c r="AW329" s="1784">
        <f t="shared" si="179"/>
        <v>0</v>
      </c>
      <c r="AX329" s="178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5"/>
      <c r="AV330" s="1784">
        <f t="shared" si="178"/>
        <v>0</v>
      </c>
      <c r="AW330" s="1784">
        <f t="shared" si="179"/>
        <v>0</v>
      </c>
      <c r="AX330" s="178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5"/>
      <c r="AV331" s="1784">
        <f t="shared" si="178"/>
        <v>0</v>
      </c>
      <c r="AW331" s="1784">
        <f t="shared" si="179"/>
        <v>0</v>
      </c>
      <c r="AX331" s="178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5"/>
      <c r="AV332" s="1784">
        <f t="shared" si="178"/>
        <v>0</v>
      </c>
      <c r="AW332" s="1784">
        <f t="shared" si="179"/>
        <v>0</v>
      </c>
      <c r="AX332" s="178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5"/>
      <c r="AV333" s="1784">
        <f t="shared" si="178"/>
        <v>0</v>
      </c>
      <c r="AW333" s="1784">
        <f t="shared" si="179"/>
        <v>0</v>
      </c>
      <c r="AX333" s="178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5"/>
      <c r="AV334" s="1784">
        <f t="shared" si="178"/>
        <v>0</v>
      </c>
      <c r="AW334" s="1784">
        <f t="shared" si="179"/>
        <v>0</v>
      </c>
      <c r="AX334" s="178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5"/>
      <c r="AV335" s="1784">
        <f t="shared" ref="AV335:AV366" si="207">A335</f>
        <v>0</v>
      </c>
      <c r="AW335" s="1784">
        <f t="shared" ref="AW335:AW366" si="208">B335</f>
        <v>0</v>
      </c>
      <c r="AX335" s="178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5"/>
      <c r="AV336" s="1784">
        <f t="shared" si="207"/>
        <v>0</v>
      </c>
      <c r="AW336" s="1784">
        <f t="shared" si="208"/>
        <v>0</v>
      </c>
      <c r="AX336" s="178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5"/>
      <c r="AV337" s="1784">
        <f t="shared" si="207"/>
        <v>0</v>
      </c>
      <c r="AW337" s="1784">
        <f t="shared" si="208"/>
        <v>0</v>
      </c>
      <c r="AX337" s="178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5"/>
      <c r="AV338" s="1784">
        <f t="shared" si="207"/>
        <v>0</v>
      </c>
      <c r="AW338" s="1784">
        <f t="shared" si="208"/>
        <v>0</v>
      </c>
      <c r="AX338" s="178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5"/>
      <c r="AV339" s="1784">
        <f t="shared" si="207"/>
        <v>0</v>
      </c>
      <c r="AW339" s="1784">
        <f t="shared" si="208"/>
        <v>0</v>
      </c>
      <c r="AX339" s="178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5"/>
      <c r="AV340" s="1784">
        <f t="shared" si="207"/>
        <v>0</v>
      </c>
      <c r="AW340" s="1784">
        <f t="shared" si="208"/>
        <v>0</v>
      </c>
      <c r="AX340" s="178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5"/>
      <c r="AV341" s="1784">
        <f t="shared" si="207"/>
        <v>0</v>
      </c>
      <c r="AW341" s="1784">
        <f t="shared" si="208"/>
        <v>0</v>
      </c>
      <c r="AX341" s="178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5"/>
      <c r="AV342" s="1784">
        <f t="shared" si="207"/>
        <v>0</v>
      </c>
      <c r="AW342" s="1784">
        <f t="shared" si="208"/>
        <v>0</v>
      </c>
      <c r="AX342" s="178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5"/>
      <c r="AV343" s="1784">
        <f t="shared" si="207"/>
        <v>0</v>
      </c>
      <c r="AW343" s="1784">
        <f t="shared" si="208"/>
        <v>0</v>
      </c>
      <c r="AX343" s="178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5"/>
      <c r="AV344" s="1784">
        <f t="shared" si="207"/>
        <v>0</v>
      </c>
      <c r="AW344" s="1784">
        <f t="shared" si="208"/>
        <v>0</v>
      </c>
      <c r="AX344" s="178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5"/>
      <c r="AV345" s="1784">
        <f t="shared" si="207"/>
        <v>0</v>
      </c>
      <c r="AW345" s="1784">
        <f t="shared" si="208"/>
        <v>0</v>
      </c>
      <c r="AX345" s="178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5"/>
      <c r="AV346" s="1784">
        <f t="shared" si="207"/>
        <v>0</v>
      </c>
      <c r="AW346" s="1784">
        <f t="shared" si="208"/>
        <v>0</v>
      </c>
      <c r="AX346" s="178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5"/>
      <c r="AV347" s="1784">
        <f t="shared" si="207"/>
        <v>0</v>
      </c>
      <c r="AW347" s="1784">
        <f t="shared" si="208"/>
        <v>0</v>
      </c>
      <c r="AX347" s="178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5"/>
      <c r="AV348" s="1784">
        <f t="shared" si="207"/>
        <v>0</v>
      </c>
      <c r="AW348" s="1784">
        <f t="shared" si="208"/>
        <v>0</v>
      </c>
      <c r="AX348" s="178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5"/>
      <c r="AV349" s="1784">
        <f t="shared" si="207"/>
        <v>0</v>
      </c>
      <c r="AW349" s="1784">
        <f t="shared" si="208"/>
        <v>0</v>
      </c>
      <c r="AX349" s="178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5"/>
      <c r="AV350" s="1784">
        <f t="shared" si="207"/>
        <v>0</v>
      </c>
      <c r="AW350" s="1784">
        <f t="shared" si="208"/>
        <v>0</v>
      </c>
      <c r="AX350" s="178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5"/>
      <c r="AV351" s="1784">
        <f t="shared" si="207"/>
        <v>0</v>
      </c>
      <c r="AW351" s="1784">
        <f t="shared" si="208"/>
        <v>0</v>
      </c>
      <c r="AX351" s="178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5"/>
      <c r="AV352" s="1784">
        <f t="shared" si="207"/>
        <v>0</v>
      </c>
      <c r="AW352" s="1784">
        <f t="shared" si="208"/>
        <v>0</v>
      </c>
      <c r="AX352" s="178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5"/>
      <c r="AV353" s="1784">
        <f t="shared" si="207"/>
        <v>0</v>
      </c>
      <c r="AW353" s="1784">
        <f t="shared" si="208"/>
        <v>0</v>
      </c>
      <c r="AX353" s="178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5"/>
      <c r="AV354" s="1784">
        <f t="shared" si="207"/>
        <v>0</v>
      </c>
      <c r="AW354" s="1784">
        <f t="shared" si="208"/>
        <v>0</v>
      </c>
      <c r="AX354" s="178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5"/>
      <c r="AV355" s="1784">
        <f t="shared" si="207"/>
        <v>0</v>
      </c>
      <c r="AW355" s="1784">
        <f t="shared" si="208"/>
        <v>0</v>
      </c>
      <c r="AX355" s="178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5"/>
      <c r="AV356" s="1784">
        <f t="shared" si="207"/>
        <v>0</v>
      </c>
      <c r="AW356" s="1784">
        <f t="shared" si="208"/>
        <v>0</v>
      </c>
      <c r="AX356" s="178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5"/>
      <c r="AV357" s="1784">
        <f t="shared" si="207"/>
        <v>0</v>
      </c>
      <c r="AW357" s="1784">
        <f t="shared" si="208"/>
        <v>0</v>
      </c>
      <c r="AX357" s="178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5"/>
      <c r="AV358" s="1784">
        <f t="shared" si="207"/>
        <v>0</v>
      </c>
      <c r="AW358" s="1784">
        <f t="shared" si="208"/>
        <v>0</v>
      </c>
      <c r="AX358" s="178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5"/>
      <c r="AV359" s="1784">
        <f t="shared" si="207"/>
        <v>0</v>
      </c>
      <c r="AW359" s="1784">
        <f t="shared" si="208"/>
        <v>0</v>
      </c>
      <c r="AX359" s="178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5"/>
      <c r="AV360" s="1784">
        <f t="shared" si="207"/>
        <v>0</v>
      </c>
      <c r="AW360" s="1784">
        <f t="shared" si="208"/>
        <v>0</v>
      </c>
      <c r="AX360" s="178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5"/>
      <c r="AV361" s="1784">
        <f t="shared" si="207"/>
        <v>0</v>
      </c>
      <c r="AW361" s="1784">
        <f t="shared" si="208"/>
        <v>0</v>
      </c>
      <c r="AX361" s="178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5"/>
      <c r="AV362" s="1784">
        <f t="shared" si="207"/>
        <v>0</v>
      </c>
      <c r="AW362" s="1784">
        <f t="shared" si="208"/>
        <v>0</v>
      </c>
      <c r="AX362" s="178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5"/>
      <c r="AV363" s="1784">
        <f t="shared" si="207"/>
        <v>0</v>
      </c>
      <c r="AW363" s="1784">
        <f t="shared" si="208"/>
        <v>0</v>
      </c>
      <c r="AX363" s="178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5"/>
      <c r="AV364" s="1784">
        <f t="shared" si="207"/>
        <v>0</v>
      </c>
      <c r="AW364" s="1784">
        <f t="shared" si="208"/>
        <v>0</v>
      </c>
      <c r="AX364" s="178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5"/>
      <c r="AV365" s="1784">
        <f t="shared" si="207"/>
        <v>0</v>
      </c>
      <c r="AW365" s="1784">
        <f t="shared" si="208"/>
        <v>0</v>
      </c>
      <c r="AX365" s="178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5"/>
      <c r="AV366" s="1784">
        <f t="shared" si="207"/>
        <v>0</v>
      </c>
      <c r="AW366" s="1784">
        <f t="shared" si="208"/>
        <v>0</v>
      </c>
      <c r="AX366" s="178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5"/>
      <c r="AV367" s="1784">
        <f t="shared" ref="AV367:AV397" si="236">A367</f>
        <v>0</v>
      </c>
      <c r="AW367" s="1784">
        <f t="shared" ref="AW367:AW397" si="237">B367</f>
        <v>0</v>
      </c>
      <c r="AX367" s="178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5"/>
      <c r="AV368" s="1784">
        <f t="shared" si="236"/>
        <v>0</v>
      </c>
      <c r="AW368" s="1784">
        <f t="shared" si="237"/>
        <v>0</v>
      </c>
      <c r="AX368" s="178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5"/>
      <c r="AV369" s="1784">
        <f t="shared" si="236"/>
        <v>0</v>
      </c>
      <c r="AW369" s="1784">
        <f t="shared" si="237"/>
        <v>0</v>
      </c>
      <c r="AX369" s="178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5"/>
      <c r="AV370" s="1784">
        <f t="shared" si="236"/>
        <v>0</v>
      </c>
      <c r="AW370" s="1784">
        <f t="shared" si="237"/>
        <v>0</v>
      </c>
      <c r="AX370" s="178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5"/>
      <c r="AV371" s="1784">
        <f t="shared" si="236"/>
        <v>0</v>
      </c>
      <c r="AW371" s="1784">
        <f t="shared" si="237"/>
        <v>0</v>
      </c>
      <c r="AX371" s="178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5"/>
      <c r="AV372" s="1784">
        <f t="shared" si="236"/>
        <v>0</v>
      </c>
      <c r="AW372" s="1784">
        <f t="shared" si="237"/>
        <v>0</v>
      </c>
      <c r="AX372" s="178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5"/>
      <c r="AV373" s="1784">
        <f t="shared" si="236"/>
        <v>0</v>
      </c>
      <c r="AW373" s="1784">
        <f t="shared" si="237"/>
        <v>0</v>
      </c>
      <c r="AX373" s="178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5"/>
      <c r="AV374" s="1784">
        <f t="shared" si="236"/>
        <v>0</v>
      </c>
      <c r="AW374" s="1784">
        <f t="shared" si="237"/>
        <v>0</v>
      </c>
      <c r="AX374" s="178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5"/>
      <c r="AV375" s="1784">
        <f t="shared" si="236"/>
        <v>0</v>
      </c>
      <c r="AW375" s="1784">
        <f t="shared" si="237"/>
        <v>0</v>
      </c>
      <c r="AX375" s="178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5"/>
      <c r="AV376" s="1784">
        <f t="shared" si="236"/>
        <v>0</v>
      </c>
      <c r="AW376" s="1784">
        <f t="shared" si="237"/>
        <v>0</v>
      </c>
      <c r="AX376" s="178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5"/>
      <c r="AV377" s="1784">
        <f t="shared" si="236"/>
        <v>0</v>
      </c>
      <c r="AW377" s="1784">
        <f t="shared" si="237"/>
        <v>0</v>
      </c>
      <c r="AX377" s="178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5"/>
      <c r="AV378" s="1784">
        <f t="shared" si="236"/>
        <v>0</v>
      </c>
      <c r="AW378" s="1784">
        <f t="shared" si="237"/>
        <v>0</v>
      </c>
      <c r="AX378" s="178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5"/>
      <c r="AV379" s="1784">
        <f t="shared" si="236"/>
        <v>0</v>
      </c>
      <c r="AW379" s="1784">
        <f t="shared" si="237"/>
        <v>0</v>
      </c>
      <c r="AX379" s="178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5"/>
      <c r="AV380" s="1784">
        <f t="shared" si="236"/>
        <v>0</v>
      </c>
      <c r="AW380" s="1784">
        <f t="shared" si="237"/>
        <v>0</v>
      </c>
      <c r="AX380" s="178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5"/>
      <c r="AV381" s="1784">
        <f t="shared" si="236"/>
        <v>0</v>
      </c>
      <c r="AW381" s="1784">
        <f t="shared" si="237"/>
        <v>0</v>
      </c>
      <c r="AX381" s="178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5"/>
      <c r="AV382" s="1784">
        <f t="shared" si="236"/>
        <v>0</v>
      </c>
      <c r="AW382" s="1784">
        <f t="shared" si="237"/>
        <v>0</v>
      </c>
      <c r="AX382" s="178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5"/>
      <c r="AV383" s="1784">
        <f t="shared" si="236"/>
        <v>0</v>
      </c>
      <c r="AW383" s="1784">
        <f t="shared" si="237"/>
        <v>0</v>
      </c>
      <c r="AX383" s="178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5"/>
      <c r="AV384" s="1784">
        <f t="shared" si="236"/>
        <v>0</v>
      </c>
      <c r="AW384" s="1784">
        <f t="shared" si="237"/>
        <v>0</v>
      </c>
      <c r="AX384" s="178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5"/>
      <c r="AV385" s="1784">
        <f t="shared" si="236"/>
        <v>0</v>
      </c>
      <c r="AW385" s="1784">
        <f t="shared" si="237"/>
        <v>0</v>
      </c>
      <c r="AX385" s="178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5"/>
      <c r="AV386" s="1784">
        <f t="shared" si="236"/>
        <v>0</v>
      </c>
      <c r="AW386" s="1784">
        <f t="shared" si="237"/>
        <v>0</v>
      </c>
      <c r="AX386" s="178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5"/>
      <c r="AV387" s="1784">
        <f t="shared" si="236"/>
        <v>0</v>
      </c>
      <c r="AW387" s="1784">
        <f t="shared" si="237"/>
        <v>0</v>
      </c>
      <c r="AX387" s="178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5"/>
      <c r="AV388" s="1784">
        <f t="shared" si="236"/>
        <v>0</v>
      </c>
      <c r="AW388" s="1784">
        <f t="shared" si="237"/>
        <v>0</v>
      </c>
      <c r="AX388" s="178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5"/>
      <c r="AV389" s="1784">
        <f t="shared" si="236"/>
        <v>0</v>
      </c>
      <c r="AW389" s="1784">
        <f t="shared" si="237"/>
        <v>0</v>
      </c>
      <c r="AX389" s="178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5"/>
      <c r="AV390" s="1784">
        <f t="shared" si="236"/>
        <v>0</v>
      </c>
      <c r="AW390" s="1784">
        <f t="shared" si="237"/>
        <v>0</v>
      </c>
      <c r="AX390" s="178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5"/>
      <c r="AV391" s="1784">
        <f t="shared" si="236"/>
        <v>0</v>
      </c>
      <c r="AW391" s="1784">
        <f t="shared" si="237"/>
        <v>0</v>
      </c>
      <c r="AX391" s="178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5"/>
      <c r="AV392" s="1784">
        <f t="shared" si="236"/>
        <v>0</v>
      </c>
      <c r="AW392" s="1784">
        <f t="shared" si="237"/>
        <v>0</v>
      </c>
      <c r="AX392" s="178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5"/>
      <c r="AV393" s="1784">
        <f t="shared" si="236"/>
        <v>0</v>
      </c>
      <c r="AW393" s="1784">
        <f t="shared" si="237"/>
        <v>0</v>
      </c>
      <c r="AX393" s="178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5"/>
      <c r="AV394" s="1784">
        <f t="shared" si="236"/>
        <v>0</v>
      </c>
      <c r="AW394" s="1784">
        <f t="shared" si="237"/>
        <v>0</v>
      </c>
      <c r="AX394" s="178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0"/>
      <c r="AV395" s="1784">
        <f t="shared" si="236"/>
        <v>0</v>
      </c>
      <c r="AW395" s="1784">
        <f t="shared" si="237"/>
        <v>0</v>
      </c>
      <c r="AX395" s="178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0"/>
      <c r="AV396" s="1784">
        <f t="shared" si="236"/>
        <v>0</v>
      </c>
      <c r="AW396" s="1784">
        <f t="shared" si="237"/>
        <v>0</v>
      </c>
      <c r="AX396" s="178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0"/>
      <c r="AV397" s="1784">
        <f t="shared" si="236"/>
        <v>0</v>
      </c>
      <c r="AW397" s="1784">
        <f t="shared" si="237"/>
        <v>0</v>
      </c>
      <c r="AX397" s="178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5"/>
      <c r="AV398" s="1784">
        <f t="shared" ref="AV398:AV492" si="243">A398</f>
        <v>0</v>
      </c>
      <c r="AW398" s="1784">
        <f t="shared" ref="AW398:AW492" si="244">B398</f>
        <v>0</v>
      </c>
      <c r="AX398" s="178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5"/>
      <c r="AV399" s="1784">
        <f t="shared" si="243"/>
        <v>0</v>
      </c>
      <c r="AW399" s="1784">
        <f t="shared" si="244"/>
        <v>0</v>
      </c>
      <c r="AX399" s="178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5"/>
      <c r="AV400" s="1784">
        <f t="shared" si="243"/>
        <v>0</v>
      </c>
      <c r="AW400" s="1784">
        <f t="shared" si="244"/>
        <v>0</v>
      </c>
      <c r="AX400" s="178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5"/>
      <c r="AV401" s="1784">
        <f t="shared" si="243"/>
        <v>0</v>
      </c>
      <c r="AW401" s="1784">
        <f t="shared" si="244"/>
        <v>0</v>
      </c>
      <c r="AX401" s="178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5"/>
      <c r="AV402" s="1784">
        <f t="shared" si="243"/>
        <v>0</v>
      </c>
      <c r="AW402" s="1784">
        <f t="shared" si="244"/>
        <v>0</v>
      </c>
      <c r="AX402" s="178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5"/>
      <c r="AV403" s="1784">
        <f t="shared" si="243"/>
        <v>0</v>
      </c>
      <c r="AW403" s="1784">
        <f t="shared" si="244"/>
        <v>0</v>
      </c>
      <c r="AX403" s="178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5"/>
      <c r="AV404" s="1784">
        <f t="shared" si="243"/>
        <v>0</v>
      </c>
      <c r="AW404" s="1784">
        <f t="shared" si="244"/>
        <v>0</v>
      </c>
      <c r="AX404" s="178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5"/>
      <c r="AV405" s="1784">
        <f t="shared" si="243"/>
        <v>0</v>
      </c>
      <c r="AW405" s="1784">
        <f t="shared" si="244"/>
        <v>0</v>
      </c>
      <c r="AX405" s="178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5"/>
      <c r="AV406" s="1784">
        <f t="shared" si="243"/>
        <v>0</v>
      </c>
      <c r="AW406" s="1784">
        <f t="shared" si="244"/>
        <v>0</v>
      </c>
      <c r="AX406" s="178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5"/>
      <c r="AV407" s="1784">
        <f t="shared" si="243"/>
        <v>0</v>
      </c>
      <c r="AW407" s="1784">
        <f t="shared" si="244"/>
        <v>0</v>
      </c>
      <c r="AX407" s="178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5"/>
      <c r="AV408" s="1784">
        <f t="shared" si="243"/>
        <v>0</v>
      </c>
      <c r="AW408" s="1784">
        <f t="shared" si="244"/>
        <v>0</v>
      </c>
      <c r="AX408" s="178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5"/>
      <c r="AV409" s="1784">
        <f t="shared" si="243"/>
        <v>0</v>
      </c>
      <c r="AW409" s="1784">
        <f t="shared" si="244"/>
        <v>0</v>
      </c>
      <c r="AX409" s="178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5"/>
      <c r="AV410" s="1784">
        <f t="shared" si="243"/>
        <v>0</v>
      </c>
      <c r="AW410" s="1784">
        <f t="shared" si="244"/>
        <v>0</v>
      </c>
      <c r="AX410" s="178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5"/>
      <c r="AV411" s="1784">
        <f t="shared" si="243"/>
        <v>0</v>
      </c>
      <c r="AW411" s="1784">
        <f t="shared" si="244"/>
        <v>0</v>
      </c>
      <c r="AX411" s="178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5"/>
      <c r="AV412" s="1784">
        <f t="shared" si="243"/>
        <v>0</v>
      </c>
      <c r="AW412" s="1784">
        <f t="shared" si="244"/>
        <v>0</v>
      </c>
      <c r="AX412" s="178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5"/>
      <c r="AV413" s="1784">
        <f t="shared" si="243"/>
        <v>0</v>
      </c>
      <c r="AW413" s="1784">
        <f t="shared" si="244"/>
        <v>0</v>
      </c>
      <c r="AX413" s="178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5"/>
      <c r="AV414" s="1784">
        <f t="shared" si="243"/>
        <v>0</v>
      </c>
      <c r="AW414" s="1784">
        <f t="shared" si="244"/>
        <v>0</v>
      </c>
      <c r="AX414" s="178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5"/>
      <c r="AV415" s="1784">
        <f t="shared" si="243"/>
        <v>0</v>
      </c>
      <c r="AW415" s="1784">
        <f t="shared" si="244"/>
        <v>0</v>
      </c>
      <c r="AX415" s="178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5"/>
      <c r="AV416" s="1784">
        <f t="shared" si="243"/>
        <v>0</v>
      </c>
      <c r="AW416" s="1784">
        <f t="shared" si="244"/>
        <v>0</v>
      </c>
      <c r="AX416" s="178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5"/>
      <c r="AV417" s="1784">
        <f t="shared" si="243"/>
        <v>0</v>
      </c>
      <c r="AW417" s="1784">
        <f t="shared" si="244"/>
        <v>0</v>
      </c>
      <c r="AX417" s="178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5"/>
      <c r="AV418" s="1784">
        <f t="shared" si="243"/>
        <v>0</v>
      </c>
      <c r="AW418" s="1784">
        <f t="shared" si="244"/>
        <v>0</v>
      </c>
      <c r="AX418" s="178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5"/>
      <c r="AV419" s="1784">
        <f t="shared" si="243"/>
        <v>0</v>
      </c>
      <c r="AW419" s="1784">
        <f t="shared" si="244"/>
        <v>0</v>
      </c>
      <c r="AX419" s="178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5"/>
      <c r="AV420" s="1784">
        <f t="shared" si="243"/>
        <v>0</v>
      </c>
      <c r="AW420" s="1784">
        <f t="shared" si="244"/>
        <v>0</v>
      </c>
      <c r="AX420" s="178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5"/>
      <c r="AV421" s="1784">
        <f t="shared" si="243"/>
        <v>0</v>
      </c>
      <c r="AW421" s="1784">
        <f t="shared" si="244"/>
        <v>0</v>
      </c>
      <c r="AX421" s="178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5"/>
      <c r="AV422" s="1784">
        <f t="shared" si="243"/>
        <v>0</v>
      </c>
      <c r="AW422" s="1784">
        <f t="shared" si="244"/>
        <v>0</v>
      </c>
      <c r="AX422" s="178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5"/>
      <c r="AV423" s="1784">
        <f t="shared" si="243"/>
        <v>0</v>
      </c>
      <c r="AW423" s="1784">
        <f t="shared" si="244"/>
        <v>0</v>
      </c>
      <c r="AX423" s="178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5"/>
      <c r="AV424" s="1784">
        <f t="shared" si="243"/>
        <v>0</v>
      </c>
      <c r="AW424" s="1784">
        <f t="shared" si="244"/>
        <v>0</v>
      </c>
      <c r="AX424" s="178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5"/>
      <c r="AV425" s="1784">
        <f t="shared" si="243"/>
        <v>0</v>
      </c>
      <c r="AW425" s="1784">
        <f t="shared" si="244"/>
        <v>0</v>
      </c>
      <c r="AX425" s="178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5"/>
      <c r="AV426" s="1784">
        <f t="shared" si="243"/>
        <v>0</v>
      </c>
      <c r="AW426" s="1784">
        <f t="shared" si="244"/>
        <v>0</v>
      </c>
      <c r="AX426" s="178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5"/>
      <c r="AV427" s="1784">
        <f t="shared" si="243"/>
        <v>0</v>
      </c>
      <c r="AW427" s="1784">
        <f t="shared" si="244"/>
        <v>0</v>
      </c>
      <c r="AX427" s="178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5"/>
      <c r="AV428" s="1784">
        <f t="shared" si="243"/>
        <v>0</v>
      </c>
      <c r="AW428" s="1784">
        <f t="shared" si="244"/>
        <v>0</v>
      </c>
      <c r="AX428" s="178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5"/>
      <c r="AV429" s="1784">
        <f t="shared" si="243"/>
        <v>0</v>
      </c>
      <c r="AW429" s="1784">
        <f t="shared" si="244"/>
        <v>0</v>
      </c>
      <c r="AX429" s="178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5"/>
      <c r="AV430" s="1784">
        <f t="shared" si="243"/>
        <v>0</v>
      </c>
      <c r="AW430" s="1784">
        <f t="shared" si="244"/>
        <v>0</v>
      </c>
      <c r="AX430" s="178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5"/>
      <c r="AV431" s="1784">
        <f t="shared" si="243"/>
        <v>0</v>
      </c>
      <c r="AW431" s="1784">
        <f t="shared" si="244"/>
        <v>0</v>
      </c>
      <c r="AX431" s="178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5"/>
      <c r="AV432" s="1784">
        <f t="shared" si="243"/>
        <v>0</v>
      </c>
      <c r="AW432" s="1784">
        <f t="shared" si="244"/>
        <v>0</v>
      </c>
      <c r="AX432" s="178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5"/>
      <c r="AV433" s="1784">
        <f t="shared" si="243"/>
        <v>0</v>
      </c>
      <c r="AW433" s="1784">
        <f t="shared" si="244"/>
        <v>0</v>
      </c>
      <c r="AX433" s="178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5"/>
      <c r="AV434" s="1784">
        <f t="shared" si="243"/>
        <v>0</v>
      </c>
      <c r="AW434" s="1784">
        <f t="shared" si="244"/>
        <v>0</v>
      </c>
      <c r="AX434" s="178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5"/>
      <c r="AV435" s="1784">
        <f t="shared" si="243"/>
        <v>0</v>
      </c>
      <c r="AW435" s="1784">
        <f t="shared" si="244"/>
        <v>0</v>
      </c>
      <c r="AX435" s="178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5"/>
      <c r="AV436" s="1784">
        <f t="shared" si="243"/>
        <v>0</v>
      </c>
      <c r="AW436" s="1784">
        <f t="shared" si="244"/>
        <v>0</v>
      </c>
      <c r="AX436" s="178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5"/>
      <c r="AV437" s="1784">
        <f t="shared" si="243"/>
        <v>0</v>
      </c>
      <c r="AW437" s="1784">
        <f t="shared" si="244"/>
        <v>0</v>
      </c>
      <c r="AX437" s="178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5"/>
      <c r="AV438" s="1784">
        <f t="shared" si="243"/>
        <v>0</v>
      </c>
      <c r="AW438" s="1784">
        <f t="shared" si="244"/>
        <v>0</v>
      </c>
      <c r="AX438" s="178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5"/>
      <c r="AV439" s="1784">
        <f t="shared" si="243"/>
        <v>0</v>
      </c>
      <c r="AW439" s="1784">
        <f t="shared" si="244"/>
        <v>0</v>
      </c>
      <c r="AX439" s="178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5"/>
      <c r="AV440" s="1784">
        <f t="shared" si="243"/>
        <v>0</v>
      </c>
      <c r="AW440" s="1784">
        <f t="shared" si="244"/>
        <v>0</v>
      </c>
      <c r="AX440" s="178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5"/>
      <c r="AV441" s="1784">
        <f t="shared" si="243"/>
        <v>0</v>
      </c>
      <c r="AW441" s="1784">
        <f t="shared" si="244"/>
        <v>0</v>
      </c>
      <c r="AX441" s="178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5"/>
      <c r="AV442" s="1784">
        <f t="shared" si="243"/>
        <v>0</v>
      </c>
      <c r="AW442" s="1784">
        <f t="shared" si="244"/>
        <v>0</v>
      </c>
      <c r="AX442" s="178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5"/>
      <c r="AV443" s="1784">
        <f t="shared" si="243"/>
        <v>0</v>
      </c>
      <c r="AW443" s="1784">
        <f t="shared" si="244"/>
        <v>0</v>
      </c>
      <c r="AX443" s="178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5"/>
      <c r="AV444" s="1784">
        <f t="shared" si="243"/>
        <v>0</v>
      </c>
      <c r="AW444" s="1784">
        <f t="shared" si="244"/>
        <v>0</v>
      </c>
      <c r="AX444" s="178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5"/>
      <c r="AV445" s="1784">
        <f t="shared" si="243"/>
        <v>0</v>
      </c>
      <c r="AW445" s="1784">
        <f t="shared" si="244"/>
        <v>0</v>
      </c>
      <c r="AX445" s="178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5"/>
      <c r="AV446" s="1784">
        <f t="shared" si="243"/>
        <v>0</v>
      </c>
      <c r="AW446" s="1784">
        <f t="shared" si="244"/>
        <v>0</v>
      </c>
      <c r="AX446" s="178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5"/>
      <c r="AV447" s="1784">
        <f t="shared" si="243"/>
        <v>0</v>
      </c>
      <c r="AW447" s="1784">
        <f t="shared" si="244"/>
        <v>0</v>
      </c>
      <c r="AX447" s="178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5"/>
      <c r="AV448" s="1784">
        <f t="shared" si="243"/>
        <v>0</v>
      </c>
      <c r="AW448" s="1784">
        <f t="shared" si="244"/>
        <v>0</v>
      </c>
      <c r="AX448" s="178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5"/>
      <c r="AV449" s="1784">
        <f t="shared" si="243"/>
        <v>0</v>
      </c>
      <c r="AW449" s="1784">
        <f t="shared" si="244"/>
        <v>0</v>
      </c>
      <c r="AX449" s="178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5"/>
      <c r="AV450" s="1784">
        <f t="shared" si="243"/>
        <v>0</v>
      </c>
      <c r="AW450" s="1784">
        <f t="shared" si="244"/>
        <v>0</v>
      </c>
      <c r="AX450" s="178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5"/>
      <c r="AV451" s="1784">
        <f t="shared" si="243"/>
        <v>0</v>
      </c>
      <c r="AW451" s="1784">
        <f t="shared" si="244"/>
        <v>0</v>
      </c>
      <c r="AX451" s="178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5"/>
      <c r="AV452" s="1784">
        <f t="shared" si="243"/>
        <v>0</v>
      </c>
      <c r="AW452" s="1784">
        <f t="shared" si="244"/>
        <v>0</v>
      </c>
      <c r="AX452" s="178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5"/>
      <c r="AV453" s="1784">
        <f t="shared" si="243"/>
        <v>0</v>
      </c>
      <c r="AW453" s="1784">
        <f t="shared" si="244"/>
        <v>0</v>
      </c>
      <c r="AX453" s="178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5"/>
      <c r="AV454" s="1784">
        <f t="shared" si="243"/>
        <v>0</v>
      </c>
      <c r="AW454" s="1784">
        <f t="shared" si="244"/>
        <v>0</v>
      </c>
      <c r="AX454" s="178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5"/>
      <c r="AV455" s="1784">
        <f t="shared" si="243"/>
        <v>0</v>
      </c>
      <c r="AW455" s="1784">
        <f t="shared" si="244"/>
        <v>0</v>
      </c>
      <c r="AX455" s="178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5"/>
      <c r="AV456" s="1784">
        <f t="shared" si="243"/>
        <v>0</v>
      </c>
      <c r="AW456" s="1784">
        <f t="shared" si="244"/>
        <v>0</v>
      </c>
      <c r="AX456" s="178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5"/>
      <c r="AV457" s="1784">
        <f t="shared" si="243"/>
        <v>0</v>
      </c>
      <c r="AW457" s="1784">
        <f t="shared" si="244"/>
        <v>0</v>
      </c>
      <c r="AX457" s="178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5"/>
      <c r="AV458" s="1784">
        <f t="shared" si="243"/>
        <v>0</v>
      </c>
      <c r="AW458" s="1784">
        <f t="shared" si="244"/>
        <v>0</v>
      </c>
      <c r="AX458" s="178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5"/>
      <c r="AV459" s="1784">
        <f t="shared" si="243"/>
        <v>0</v>
      </c>
      <c r="AW459" s="1784">
        <f t="shared" si="244"/>
        <v>0</v>
      </c>
      <c r="AX459" s="178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5"/>
      <c r="AV460" s="1784">
        <f t="shared" si="243"/>
        <v>0</v>
      </c>
      <c r="AW460" s="1784">
        <f t="shared" si="244"/>
        <v>0</v>
      </c>
      <c r="AX460" s="178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5"/>
      <c r="AV461" s="1784">
        <f t="shared" si="243"/>
        <v>0</v>
      </c>
      <c r="AW461" s="1784">
        <f t="shared" si="244"/>
        <v>0</v>
      </c>
      <c r="AX461" s="178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5"/>
      <c r="AV462" s="1784">
        <f t="shared" si="243"/>
        <v>0</v>
      </c>
      <c r="AW462" s="1784">
        <f t="shared" si="244"/>
        <v>0</v>
      </c>
      <c r="AX462" s="178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5"/>
      <c r="AV463" s="1784">
        <f t="shared" si="243"/>
        <v>0</v>
      </c>
      <c r="AW463" s="1784">
        <f t="shared" si="244"/>
        <v>0</v>
      </c>
      <c r="AX463" s="178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5"/>
      <c r="AV464" s="1784">
        <f t="shared" si="243"/>
        <v>0</v>
      </c>
      <c r="AW464" s="1784">
        <f t="shared" si="244"/>
        <v>0</v>
      </c>
      <c r="AX464" s="178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5"/>
      <c r="AV465" s="1784">
        <f t="shared" si="243"/>
        <v>0</v>
      </c>
      <c r="AW465" s="1784">
        <f t="shared" si="244"/>
        <v>0</v>
      </c>
      <c r="AX465" s="178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5"/>
      <c r="AV466" s="1784">
        <f t="shared" si="243"/>
        <v>0</v>
      </c>
      <c r="AW466" s="1784">
        <f t="shared" si="244"/>
        <v>0</v>
      </c>
      <c r="AX466" s="178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5"/>
      <c r="AV467" s="1784">
        <f t="shared" si="243"/>
        <v>0</v>
      </c>
      <c r="AW467" s="1784">
        <f t="shared" si="244"/>
        <v>0</v>
      </c>
      <c r="AX467" s="178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5"/>
      <c r="AV468" s="1784">
        <f t="shared" si="243"/>
        <v>0</v>
      </c>
      <c r="AW468" s="1784">
        <f t="shared" si="244"/>
        <v>0</v>
      </c>
      <c r="AX468" s="178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5"/>
      <c r="AV469" s="1784">
        <f t="shared" si="243"/>
        <v>0</v>
      </c>
      <c r="AW469" s="1784">
        <f t="shared" si="244"/>
        <v>0</v>
      </c>
      <c r="AX469" s="178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5"/>
      <c r="AV470" s="1784">
        <f t="shared" si="243"/>
        <v>0</v>
      </c>
      <c r="AW470" s="1784">
        <f t="shared" si="244"/>
        <v>0</v>
      </c>
      <c r="AX470" s="178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5"/>
      <c r="AV471" s="1784">
        <f t="shared" si="243"/>
        <v>0</v>
      </c>
      <c r="AW471" s="1784">
        <f t="shared" si="244"/>
        <v>0</v>
      </c>
      <c r="AX471" s="178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5"/>
      <c r="AV472" s="1784">
        <f t="shared" si="243"/>
        <v>0</v>
      </c>
      <c r="AW472" s="1784">
        <f t="shared" si="244"/>
        <v>0</v>
      </c>
      <c r="AX472" s="178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5"/>
      <c r="AV473" s="1784">
        <f t="shared" si="243"/>
        <v>0</v>
      </c>
      <c r="AW473" s="1784">
        <f t="shared" si="244"/>
        <v>0</v>
      </c>
      <c r="AX473" s="178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5"/>
      <c r="AV474" s="1784">
        <f t="shared" si="243"/>
        <v>0</v>
      </c>
      <c r="AW474" s="1784">
        <f t="shared" si="244"/>
        <v>0</v>
      </c>
      <c r="AX474" s="178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5"/>
      <c r="AV475" s="1784">
        <f t="shared" si="243"/>
        <v>0</v>
      </c>
      <c r="AW475" s="1784">
        <f t="shared" si="244"/>
        <v>0</v>
      </c>
      <c r="AX475" s="178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5"/>
      <c r="AV476" s="1784">
        <f t="shared" si="243"/>
        <v>0</v>
      </c>
      <c r="AW476" s="1784">
        <f t="shared" si="244"/>
        <v>0</v>
      </c>
      <c r="AX476" s="178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5"/>
      <c r="AV477" s="1784">
        <f t="shared" si="243"/>
        <v>0</v>
      </c>
      <c r="AW477" s="1784">
        <f t="shared" si="244"/>
        <v>0</v>
      </c>
      <c r="AX477" s="178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5"/>
      <c r="AV478" s="1784">
        <f t="shared" si="243"/>
        <v>0</v>
      </c>
      <c r="AW478" s="1784">
        <f t="shared" si="244"/>
        <v>0</v>
      </c>
      <c r="AX478" s="178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5"/>
      <c r="AV479" s="1784">
        <f t="shared" si="243"/>
        <v>0</v>
      </c>
      <c r="AW479" s="1784">
        <f t="shared" si="244"/>
        <v>0</v>
      </c>
      <c r="AX479" s="178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5"/>
      <c r="AV480" s="1784">
        <f t="shared" si="243"/>
        <v>0</v>
      </c>
      <c r="AW480" s="1784">
        <f t="shared" si="244"/>
        <v>0</v>
      </c>
      <c r="AX480" s="178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5"/>
      <c r="AV481" s="1784">
        <f t="shared" si="243"/>
        <v>0</v>
      </c>
      <c r="AW481" s="1784">
        <f t="shared" si="244"/>
        <v>0</v>
      </c>
      <c r="AX481" s="178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5"/>
      <c r="AV482" s="1784">
        <f t="shared" si="243"/>
        <v>0</v>
      </c>
      <c r="AW482" s="1784">
        <f t="shared" si="244"/>
        <v>0</v>
      </c>
      <c r="AX482" s="178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5"/>
      <c r="AV483" s="1784">
        <f t="shared" si="243"/>
        <v>0</v>
      </c>
      <c r="AW483" s="1784">
        <f t="shared" si="244"/>
        <v>0</v>
      </c>
      <c r="AX483" s="178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5"/>
      <c r="AV484" s="1784">
        <f t="shared" si="243"/>
        <v>0</v>
      </c>
      <c r="AW484" s="1784">
        <f t="shared" si="244"/>
        <v>0</v>
      </c>
      <c r="AX484" s="178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5"/>
      <c r="AV485" s="1784">
        <f t="shared" si="243"/>
        <v>0</v>
      </c>
      <c r="AW485" s="1784">
        <f t="shared" si="244"/>
        <v>0</v>
      </c>
      <c r="AX485" s="178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5"/>
      <c r="AV486" s="1784">
        <f t="shared" si="243"/>
        <v>0</v>
      </c>
      <c r="AW486" s="1784">
        <f t="shared" si="244"/>
        <v>0</v>
      </c>
      <c r="AX486" s="178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5"/>
      <c r="AV487" s="1784">
        <f t="shared" si="243"/>
        <v>0</v>
      </c>
      <c r="AW487" s="1784">
        <f t="shared" si="244"/>
        <v>0</v>
      </c>
      <c r="AX487" s="178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5"/>
      <c r="AV488" s="1784">
        <f t="shared" si="243"/>
        <v>0</v>
      </c>
      <c r="AW488" s="1784">
        <f t="shared" si="244"/>
        <v>0</v>
      </c>
      <c r="AX488" s="178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5"/>
      <c r="AV489" s="1784">
        <f t="shared" si="243"/>
        <v>0</v>
      </c>
      <c r="AW489" s="1784">
        <f t="shared" si="244"/>
        <v>0</v>
      </c>
      <c r="AX489" s="178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0"/>
      <c r="AV490" s="1784">
        <f t="shared" si="243"/>
        <v>0</v>
      </c>
      <c r="AW490" s="1784">
        <f t="shared" si="244"/>
        <v>0</v>
      </c>
      <c r="AX490" s="178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0"/>
      <c r="AV491" s="1784">
        <f t="shared" si="243"/>
        <v>0</v>
      </c>
      <c r="AW491" s="1784">
        <f t="shared" si="244"/>
        <v>0</v>
      </c>
      <c r="AX491" s="178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0"/>
      <c r="AV492" s="1784">
        <f t="shared" si="243"/>
        <v>0</v>
      </c>
      <c r="AW492" s="1784">
        <f t="shared" si="244"/>
        <v>0</v>
      </c>
      <c r="AX492" s="178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5"/>
      <c r="AV493" s="1784">
        <f t="shared" ref="AV493:AV520" si="294">A493</f>
        <v>0</v>
      </c>
      <c r="AW493" s="1784">
        <f t="shared" ref="AW493:AW520" si="295">B493</f>
        <v>0</v>
      </c>
      <c r="AX493" s="178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5"/>
      <c r="AV494" s="1784">
        <f t="shared" si="294"/>
        <v>0</v>
      </c>
      <c r="AW494" s="1784">
        <f t="shared" si="295"/>
        <v>0</v>
      </c>
      <c r="AX494" s="178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5"/>
      <c r="AV495" s="1784">
        <f t="shared" si="294"/>
        <v>0</v>
      </c>
      <c r="AW495" s="1784">
        <f t="shared" si="295"/>
        <v>0</v>
      </c>
      <c r="AX495" s="178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5"/>
      <c r="AV496" s="1784">
        <f t="shared" si="294"/>
        <v>0</v>
      </c>
      <c r="AW496" s="1784">
        <f t="shared" si="295"/>
        <v>0</v>
      </c>
      <c r="AX496" s="178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5"/>
      <c r="AV497" s="1784">
        <f t="shared" si="294"/>
        <v>0</v>
      </c>
      <c r="AW497" s="1784">
        <f t="shared" si="295"/>
        <v>0</v>
      </c>
      <c r="AX497" s="178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5"/>
      <c r="AV498" s="1784">
        <f t="shared" si="294"/>
        <v>0</v>
      </c>
      <c r="AW498" s="1784">
        <f t="shared" si="295"/>
        <v>0</v>
      </c>
      <c r="AX498" s="178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5"/>
      <c r="AV499" s="1784">
        <f t="shared" si="294"/>
        <v>0</v>
      </c>
      <c r="AW499" s="1784">
        <f t="shared" si="295"/>
        <v>0</v>
      </c>
      <c r="AX499" s="178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5"/>
      <c r="AV500" s="1784">
        <f t="shared" si="294"/>
        <v>0</v>
      </c>
      <c r="AW500" s="1784">
        <f t="shared" si="295"/>
        <v>0</v>
      </c>
      <c r="AX500" s="178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5"/>
      <c r="AV501" s="1784">
        <f t="shared" si="294"/>
        <v>0</v>
      </c>
      <c r="AW501" s="1784">
        <f t="shared" si="295"/>
        <v>0</v>
      </c>
      <c r="AX501" s="178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5"/>
      <c r="AV502" s="1784">
        <f t="shared" si="294"/>
        <v>0</v>
      </c>
      <c r="AW502" s="1784">
        <f t="shared" si="295"/>
        <v>0</v>
      </c>
      <c r="AX502" s="178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5"/>
      <c r="AV503" s="1784">
        <f t="shared" si="294"/>
        <v>0</v>
      </c>
      <c r="AW503" s="1784">
        <f t="shared" si="295"/>
        <v>0</v>
      </c>
      <c r="AX503" s="178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5"/>
      <c r="AV504" s="1784">
        <f t="shared" si="294"/>
        <v>0</v>
      </c>
      <c r="AW504" s="1784">
        <f t="shared" si="295"/>
        <v>0</v>
      </c>
      <c r="AX504" s="178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5"/>
      <c r="AV505" s="1784">
        <f t="shared" si="294"/>
        <v>0</v>
      </c>
      <c r="AW505" s="1784">
        <f t="shared" si="295"/>
        <v>0</v>
      </c>
      <c r="AX505" s="178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5"/>
      <c r="AV506" s="1784">
        <f t="shared" si="294"/>
        <v>0</v>
      </c>
      <c r="AW506" s="1784">
        <f t="shared" si="295"/>
        <v>0</v>
      </c>
      <c r="AX506" s="178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5"/>
      <c r="AV507" s="1784">
        <f t="shared" si="294"/>
        <v>0</v>
      </c>
      <c r="AW507" s="1784">
        <f t="shared" si="295"/>
        <v>0</v>
      </c>
      <c r="AX507" s="178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5"/>
      <c r="AV508" s="1784">
        <f t="shared" si="294"/>
        <v>0</v>
      </c>
      <c r="AW508" s="1784">
        <f t="shared" si="295"/>
        <v>0</v>
      </c>
      <c r="AX508" s="178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5"/>
      <c r="AV509" s="1784">
        <f t="shared" si="294"/>
        <v>0</v>
      </c>
      <c r="AW509" s="1784">
        <f t="shared" si="295"/>
        <v>0</v>
      </c>
      <c r="AX509" s="178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5"/>
      <c r="AV510" s="1784">
        <f t="shared" si="294"/>
        <v>0</v>
      </c>
      <c r="AW510" s="1784">
        <f t="shared" si="295"/>
        <v>0</v>
      </c>
      <c r="AX510" s="178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5"/>
      <c r="AV511" s="1784">
        <f t="shared" si="294"/>
        <v>0</v>
      </c>
      <c r="AW511" s="1784">
        <f t="shared" si="295"/>
        <v>0</v>
      </c>
      <c r="AX511" s="178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5"/>
      <c r="AV512" s="1784">
        <f t="shared" si="294"/>
        <v>0</v>
      </c>
      <c r="AW512" s="1784">
        <f t="shared" si="295"/>
        <v>0</v>
      </c>
      <c r="AX512" s="178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5"/>
      <c r="AV513" s="1784">
        <f t="shared" si="294"/>
        <v>0</v>
      </c>
      <c r="AW513" s="1784">
        <f t="shared" si="295"/>
        <v>0</v>
      </c>
      <c r="AX513" s="178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5"/>
      <c r="AV514" s="1784">
        <f t="shared" si="294"/>
        <v>0</v>
      </c>
      <c r="AW514" s="1784">
        <f t="shared" si="295"/>
        <v>0</v>
      </c>
      <c r="AX514" s="178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5"/>
      <c r="AV515" s="1784">
        <f t="shared" si="294"/>
        <v>0</v>
      </c>
      <c r="AW515" s="1784">
        <f t="shared" si="295"/>
        <v>0</v>
      </c>
      <c r="AX515" s="178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5"/>
      <c r="AV516" s="1784">
        <f t="shared" si="294"/>
        <v>0</v>
      </c>
      <c r="AW516" s="1784">
        <f t="shared" si="295"/>
        <v>0</v>
      </c>
      <c r="AX516" s="178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5"/>
      <c r="AV517" s="1784">
        <f t="shared" si="294"/>
        <v>0</v>
      </c>
      <c r="AW517" s="1784">
        <f t="shared" si="295"/>
        <v>0</v>
      </c>
      <c r="AX517" s="178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5"/>
      <c r="AV518" s="1784">
        <f t="shared" si="294"/>
        <v>0</v>
      </c>
      <c r="AW518" s="1784">
        <f t="shared" si="295"/>
        <v>0</v>
      </c>
      <c r="AX518" s="178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5"/>
      <c r="AV519" s="1784">
        <f t="shared" si="294"/>
        <v>0</v>
      </c>
      <c r="AW519" s="1784">
        <f t="shared" si="295"/>
        <v>0</v>
      </c>
      <c r="AX519" s="178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5"/>
      <c r="AV520" s="1784">
        <f t="shared" si="294"/>
        <v>0</v>
      </c>
      <c r="AW520" s="1784">
        <f t="shared" si="295"/>
        <v>0</v>
      </c>
      <c r="AX520" s="178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5"/>
      <c r="AV521" s="1784">
        <f t="shared" ref="AV521:AV552" si="298">A521</f>
        <v>0</v>
      </c>
      <c r="AW521" s="1784">
        <f t="shared" ref="AW521:AW552" si="299">B521</f>
        <v>0</v>
      </c>
      <c r="AX521" s="178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5"/>
      <c r="AV522" s="1784">
        <f t="shared" si="298"/>
        <v>0</v>
      </c>
      <c r="AW522" s="1784">
        <f t="shared" si="299"/>
        <v>0</v>
      </c>
      <c r="AX522" s="178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5"/>
      <c r="AV523" s="1784">
        <f t="shared" si="298"/>
        <v>0</v>
      </c>
      <c r="AW523" s="1784">
        <f t="shared" si="299"/>
        <v>0</v>
      </c>
      <c r="AX523" s="178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5"/>
      <c r="AV524" s="1784">
        <f t="shared" si="298"/>
        <v>0</v>
      </c>
      <c r="AW524" s="1784">
        <f t="shared" si="299"/>
        <v>0</v>
      </c>
      <c r="AX524" s="178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5"/>
      <c r="AV525" s="1784">
        <f t="shared" si="298"/>
        <v>0</v>
      </c>
      <c r="AW525" s="1784">
        <f t="shared" si="299"/>
        <v>0</v>
      </c>
      <c r="AX525" s="178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5"/>
      <c r="AV526" s="1784">
        <f t="shared" si="298"/>
        <v>0</v>
      </c>
      <c r="AW526" s="1784">
        <f t="shared" si="299"/>
        <v>0</v>
      </c>
      <c r="AX526" s="178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5"/>
      <c r="AV527" s="1784">
        <f t="shared" si="298"/>
        <v>0</v>
      </c>
      <c r="AW527" s="1784">
        <f t="shared" si="299"/>
        <v>0</v>
      </c>
      <c r="AX527" s="178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5"/>
      <c r="AV528" s="1784">
        <f t="shared" si="298"/>
        <v>0</v>
      </c>
      <c r="AW528" s="1784">
        <f t="shared" si="299"/>
        <v>0</v>
      </c>
      <c r="AX528" s="178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5"/>
      <c r="AV529" s="1784">
        <f t="shared" si="298"/>
        <v>0</v>
      </c>
      <c r="AW529" s="1784">
        <f t="shared" si="299"/>
        <v>0</v>
      </c>
      <c r="AX529" s="178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5"/>
      <c r="AV530" s="1784">
        <f t="shared" si="298"/>
        <v>0</v>
      </c>
      <c r="AW530" s="1784">
        <f t="shared" si="299"/>
        <v>0</v>
      </c>
      <c r="AX530" s="178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5"/>
      <c r="AV531" s="1784">
        <f t="shared" si="298"/>
        <v>0</v>
      </c>
      <c r="AW531" s="1784">
        <f t="shared" si="299"/>
        <v>0</v>
      </c>
      <c r="AX531" s="178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5"/>
      <c r="AV532" s="1784">
        <f t="shared" si="298"/>
        <v>0</v>
      </c>
      <c r="AW532" s="1784">
        <f t="shared" si="299"/>
        <v>0</v>
      </c>
      <c r="AX532" s="178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5"/>
      <c r="AV533" s="1784">
        <f t="shared" si="298"/>
        <v>0</v>
      </c>
      <c r="AW533" s="1784">
        <f t="shared" si="299"/>
        <v>0</v>
      </c>
      <c r="AX533" s="178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5"/>
      <c r="AV534" s="1784">
        <f t="shared" si="298"/>
        <v>0</v>
      </c>
      <c r="AW534" s="1784">
        <f t="shared" si="299"/>
        <v>0</v>
      </c>
      <c r="AX534" s="178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5"/>
      <c r="AV535" s="1784">
        <f t="shared" si="298"/>
        <v>0</v>
      </c>
      <c r="AW535" s="1784">
        <f t="shared" si="299"/>
        <v>0</v>
      </c>
      <c r="AX535" s="178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5"/>
      <c r="AV536" s="1784">
        <f t="shared" si="298"/>
        <v>0</v>
      </c>
      <c r="AW536" s="1784">
        <f t="shared" si="299"/>
        <v>0</v>
      </c>
      <c r="AX536" s="178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5"/>
      <c r="AV537" s="1784">
        <f t="shared" si="298"/>
        <v>0</v>
      </c>
      <c r="AW537" s="1784">
        <f t="shared" si="299"/>
        <v>0</v>
      </c>
      <c r="AX537" s="178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5"/>
      <c r="AV538" s="1784">
        <f t="shared" si="298"/>
        <v>0</v>
      </c>
      <c r="AW538" s="1784">
        <f t="shared" si="299"/>
        <v>0</v>
      </c>
      <c r="AX538" s="178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5"/>
      <c r="AV539" s="1784">
        <f t="shared" si="298"/>
        <v>0</v>
      </c>
      <c r="AW539" s="1784">
        <f t="shared" si="299"/>
        <v>0</v>
      </c>
      <c r="AX539" s="178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5"/>
      <c r="AV540" s="1784">
        <f t="shared" si="298"/>
        <v>0</v>
      </c>
      <c r="AW540" s="1784">
        <f t="shared" si="299"/>
        <v>0</v>
      </c>
      <c r="AX540" s="178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5"/>
      <c r="AV541" s="1784">
        <f t="shared" si="298"/>
        <v>0</v>
      </c>
      <c r="AW541" s="1784">
        <f t="shared" si="299"/>
        <v>0</v>
      </c>
      <c r="AX541" s="178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5"/>
      <c r="AV542" s="1784">
        <f t="shared" si="298"/>
        <v>0</v>
      </c>
      <c r="AW542" s="1784">
        <f t="shared" si="299"/>
        <v>0</v>
      </c>
      <c r="AX542" s="178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5"/>
      <c r="AV543" s="1784">
        <f t="shared" si="298"/>
        <v>0</v>
      </c>
      <c r="AW543" s="1784">
        <f t="shared" si="299"/>
        <v>0</v>
      </c>
      <c r="AX543" s="178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5"/>
      <c r="AV544" s="1784">
        <f t="shared" si="298"/>
        <v>0</v>
      </c>
      <c r="AW544" s="1784">
        <f t="shared" si="299"/>
        <v>0</v>
      </c>
      <c r="AX544" s="178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5"/>
      <c r="AV545" s="1784">
        <f t="shared" si="298"/>
        <v>0</v>
      </c>
      <c r="AW545" s="1784">
        <f t="shared" si="299"/>
        <v>0</v>
      </c>
      <c r="AX545" s="178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5"/>
      <c r="AV546" s="1784">
        <f t="shared" si="298"/>
        <v>0</v>
      </c>
      <c r="AW546" s="1784">
        <f t="shared" si="299"/>
        <v>0</v>
      </c>
      <c r="AX546" s="178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5"/>
      <c r="AV547" s="1784">
        <f t="shared" si="298"/>
        <v>0</v>
      </c>
      <c r="AW547" s="1784">
        <f t="shared" si="299"/>
        <v>0</v>
      </c>
      <c r="AX547" s="178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5"/>
      <c r="AV548" s="1784">
        <f t="shared" si="298"/>
        <v>0</v>
      </c>
      <c r="AW548" s="1784">
        <f t="shared" si="299"/>
        <v>0</v>
      </c>
      <c r="AX548" s="178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5"/>
      <c r="AV549" s="1784">
        <f t="shared" si="298"/>
        <v>0</v>
      </c>
      <c r="AW549" s="1784">
        <f t="shared" si="299"/>
        <v>0</v>
      </c>
      <c r="AX549" s="178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5"/>
      <c r="AV550" s="1784">
        <f t="shared" si="298"/>
        <v>0</v>
      </c>
      <c r="AW550" s="1784">
        <f t="shared" si="299"/>
        <v>0</v>
      </c>
      <c r="AX550" s="178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5"/>
      <c r="AV551" s="1784">
        <f t="shared" si="298"/>
        <v>0</v>
      </c>
      <c r="AW551" s="1784">
        <f t="shared" si="299"/>
        <v>0</v>
      </c>
      <c r="AX551" s="178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5"/>
      <c r="AV552" s="1784">
        <f t="shared" si="298"/>
        <v>0</v>
      </c>
      <c r="AW552" s="1784">
        <f t="shared" si="299"/>
        <v>0</v>
      </c>
      <c r="AX552" s="178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5"/>
      <c r="AV553" s="1784">
        <f t="shared" ref="AV553:AV587" si="330">A553</f>
        <v>0</v>
      </c>
      <c r="AW553" s="1784">
        <f t="shared" ref="AW553:AW587" si="331">B553</f>
        <v>0</v>
      </c>
      <c r="AX553" s="178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5"/>
      <c r="AV554" s="1784">
        <f t="shared" si="330"/>
        <v>0</v>
      </c>
      <c r="AW554" s="1784">
        <f t="shared" si="331"/>
        <v>0</v>
      </c>
      <c r="AX554" s="178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5"/>
      <c r="AV555" s="1784">
        <f t="shared" si="330"/>
        <v>0</v>
      </c>
      <c r="AW555" s="1784">
        <f t="shared" si="331"/>
        <v>0</v>
      </c>
      <c r="AX555" s="178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5"/>
      <c r="AV556" s="1784">
        <f t="shared" si="330"/>
        <v>0</v>
      </c>
      <c r="AW556" s="1784">
        <f t="shared" si="331"/>
        <v>0</v>
      </c>
      <c r="AX556" s="178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5"/>
      <c r="AV557" s="1784">
        <f t="shared" si="330"/>
        <v>0</v>
      </c>
      <c r="AW557" s="1784">
        <f t="shared" si="331"/>
        <v>0</v>
      </c>
      <c r="AX557" s="178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5"/>
      <c r="AV558" s="1784">
        <f t="shared" si="330"/>
        <v>0</v>
      </c>
      <c r="AW558" s="1784">
        <f t="shared" si="331"/>
        <v>0</v>
      </c>
      <c r="AX558" s="178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5"/>
      <c r="AV559" s="1784">
        <f t="shared" si="330"/>
        <v>0</v>
      </c>
      <c r="AW559" s="1784">
        <f t="shared" si="331"/>
        <v>0</v>
      </c>
      <c r="AX559" s="178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5"/>
      <c r="AV560" s="1784">
        <f t="shared" si="330"/>
        <v>0</v>
      </c>
      <c r="AW560" s="1784">
        <f t="shared" si="331"/>
        <v>0</v>
      </c>
      <c r="AX560" s="178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5"/>
      <c r="AV561" s="1784">
        <f t="shared" si="330"/>
        <v>0</v>
      </c>
      <c r="AW561" s="1784">
        <f t="shared" si="331"/>
        <v>0</v>
      </c>
      <c r="AX561" s="178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5"/>
      <c r="AV562" s="1784">
        <f t="shared" si="330"/>
        <v>0</v>
      </c>
      <c r="AW562" s="1784">
        <f t="shared" si="331"/>
        <v>0</v>
      </c>
      <c r="AX562" s="178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5"/>
      <c r="AV563" s="1784">
        <f t="shared" si="330"/>
        <v>0</v>
      </c>
      <c r="AW563" s="1784">
        <f t="shared" si="331"/>
        <v>0</v>
      </c>
      <c r="AX563" s="178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5"/>
      <c r="AV564" s="1784">
        <f t="shared" si="330"/>
        <v>0</v>
      </c>
      <c r="AW564" s="1784">
        <f t="shared" si="331"/>
        <v>0</v>
      </c>
      <c r="AX564" s="178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5"/>
      <c r="AV565" s="1784">
        <f t="shared" si="330"/>
        <v>0</v>
      </c>
      <c r="AW565" s="1784">
        <f t="shared" si="331"/>
        <v>0</v>
      </c>
      <c r="AX565" s="178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5"/>
      <c r="AV566" s="1784">
        <f t="shared" si="330"/>
        <v>0</v>
      </c>
      <c r="AW566" s="1784">
        <f t="shared" si="331"/>
        <v>0</v>
      </c>
      <c r="AX566" s="178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5"/>
      <c r="AV567" s="1784">
        <f t="shared" si="330"/>
        <v>0</v>
      </c>
      <c r="AW567" s="1784">
        <f t="shared" si="331"/>
        <v>0</v>
      </c>
      <c r="AX567" s="178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5"/>
      <c r="AV568" s="1784">
        <f t="shared" si="330"/>
        <v>0</v>
      </c>
      <c r="AW568" s="1784">
        <f t="shared" si="331"/>
        <v>0</v>
      </c>
      <c r="AX568" s="178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5"/>
      <c r="AV569" s="1784">
        <f t="shared" si="330"/>
        <v>0</v>
      </c>
      <c r="AW569" s="1784">
        <f t="shared" si="331"/>
        <v>0</v>
      </c>
      <c r="AX569" s="178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5"/>
      <c r="AV570" s="1784">
        <f t="shared" si="330"/>
        <v>0</v>
      </c>
      <c r="AW570" s="1784">
        <f t="shared" si="331"/>
        <v>0</v>
      </c>
      <c r="AX570" s="178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5"/>
      <c r="AV571" s="1784">
        <f t="shared" si="330"/>
        <v>0</v>
      </c>
      <c r="AW571" s="1784">
        <f t="shared" si="331"/>
        <v>0</v>
      </c>
      <c r="AX571" s="178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5"/>
      <c r="AV572" s="1784">
        <f t="shared" si="330"/>
        <v>0</v>
      </c>
      <c r="AW572" s="1784">
        <f t="shared" si="331"/>
        <v>0</v>
      </c>
      <c r="AX572" s="178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5"/>
      <c r="AV573" s="1784">
        <f t="shared" si="330"/>
        <v>0</v>
      </c>
      <c r="AW573" s="1784">
        <f t="shared" si="331"/>
        <v>0</v>
      </c>
      <c r="AX573" s="178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5"/>
      <c r="AV574" s="1784">
        <f t="shared" si="330"/>
        <v>0</v>
      </c>
      <c r="AW574" s="1784">
        <f t="shared" si="331"/>
        <v>0</v>
      </c>
      <c r="AX574" s="178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5"/>
      <c r="AV575" s="1784">
        <f t="shared" si="330"/>
        <v>0</v>
      </c>
      <c r="AW575" s="1784">
        <f t="shared" si="331"/>
        <v>0</v>
      </c>
      <c r="AX575" s="178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5"/>
      <c r="AV576" s="1784">
        <f t="shared" si="330"/>
        <v>0</v>
      </c>
      <c r="AW576" s="1784">
        <f t="shared" si="331"/>
        <v>0</v>
      </c>
      <c r="AX576" s="178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5"/>
      <c r="AV577" s="1784">
        <f t="shared" si="330"/>
        <v>0</v>
      </c>
      <c r="AW577" s="1784">
        <f t="shared" si="331"/>
        <v>0</v>
      </c>
      <c r="AX577" s="178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5"/>
      <c r="AV578" s="1784">
        <f t="shared" si="330"/>
        <v>0</v>
      </c>
      <c r="AW578" s="1784">
        <f t="shared" si="331"/>
        <v>0</v>
      </c>
      <c r="AX578" s="178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5"/>
      <c r="AV579" s="1784">
        <f t="shared" si="330"/>
        <v>0</v>
      </c>
      <c r="AW579" s="1784">
        <f t="shared" si="331"/>
        <v>0</v>
      </c>
      <c r="AX579" s="178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5"/>
      <c r="AV580" s="1784">
        <f t="shared" si="330"/>
        <v>0</v>
      </c>
      <c r="AW580" s="1784">
        <f t="shared" si="331"/>
        <v>0</v>
      </c>
      <c r="AX580" s="178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5"/>
      <c r="AV581" s="1784">
        <f t="shared" si="330"/>
        <v>0</v>
      </c>
      <c r="AW581" s="1784">
        <f t="shared" si="331"/>
        <v>0</v>
      </c>
      <c r="AX581" s="178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5"/>
      <c r="AV582" s="1784">
        <f t="shared" si="330"/>
        <v>0</v>
      </c>
      <c r="AW582" s="1784">
        <f t="shared" si="331"/>
        <v>0</v>
      </c>
      <c r="AX582" s="178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5"/>
      <c r="AV583" s="1784">
        <f t="shared" si="330"/>
        <v>0</v>
      </c>
      <c r="AW583" s="1784">
        <f t="shared" si="331"/>
        <v>0</v>
      </c>
      <c r="AX583" s="178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5"/>
      <c r="AV584" s="1784">
        <f t="shared" si="330"/>
        <v>0</v>
      </c>
      <c r="AW584" s="1784">
        <f t="shared" si="331"/>
        <v>0</v>
      </c>
      <c r="AX584" s="178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0"/>
      <c r="AV585" s="1784">
        <f t="shared" si="330"/>
        <v>0</v>
      </c>
      <c r="AW585" s="1784">
        <f t="shared" si="331"/>
        <v>0</v>
      </c>
      <c r="AX585" s="178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0"/>
      <c r="AV586" s="1784">
        <f t="shared" si="330"/>
        <v>0</v>
      </c>
      <c r="AW586" s="1784">
        <f t="shared" si="331"/>
        <v>0</v>
      </c>
      <c r="AX586" s="178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0"/>
      <c r="AV587" s="1784">
        <f t="shared" si="330"/>
        <v>0</v>
      </c>
      <c r="AW587" s="1784">
        <f t="shared" si="331"/>
        <v>0</v>
      </c>
      <c r="AX587" s="178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8" customFormat="1">
      <c r="A588" s="2206"/>
      <c r="B588" s="2206"/>
      <c r="C588" s="2206"/>
      <c r="D588" s="2206"/>
      <c r="E588" s="2207"/>
      <c r="F588" s="2207"/>
      <c r="G588" s="2206"/>
      <c r="H588" s="2207"/>
      <c r="I588" s="2207"/>
      <c r="J588" s="2207"/>
      <c r="K588" s="2207"/>
      <c r="L588" s="2207"/>
      <c r="M588" s="2207"/>
      <c r="N588" s="2207"/>
      <c r="O588" s="2207"/>
      <c r="P588" s="2207"/>
      <c r="Q588" s="2207"/>
      <c r="R588" s="2207"/>
      <c r="S588" s="2207"/>
      <c r="T588" s="2207"/>
      <c r="U588" s="2207"/>
      <c r="V588" s="2207"/>
      <c r="W588" s="2207"/>
      <c r="X588" s="2207"/>
      <c r="Y588" s="2207"/>
      <c r="Z588" s="2207"/>
      <c r="AA588" s="2207"/>
      <c r="AB588" s="2207"/>
      <c r="AC588" s="2207"/>
      <c r="AD588" s="2207"/>
      <c r="AE588" s="2207"/>
      <c r="AF588" s="2207"/>
      <c r="AG588" s="2207"/>
      <c r="AH588" s="2207"/>
      <c r="AI588" s="2207"/>
      <c r="AJ588" s="2207"/>
      <c r="AK588" s="2207"/>
      <c r="AL588" s="2207"/>
      <c r="AM588" s="2207"/>
      <c r="AN588" s="2207"/>
      <c r="AO588" s="2207"/>
      <c r="AP588" s="2207"/>
      <c r="AQ588" s="2207"/>
      <c r="AR588" s="2207"/>
      <c r="AS588" s="2207"/>
      <c r="AT588" s="2207"/>
      <c r="AU588" s="2206"/>
      <c r="AV588" s="2206"/>
      <c r="AW588" s="2206"/>
      <c r="AX588" s="2206"/>
    </row>
    <row r="589" spans="1:72" s="2209" customFormat="1">
      <c r="C589" s="2210"/>
      <c r="D589" s="2210"/>
    </row>
    <row r="590" spans="1:72" s="2209" customFormat="1">
      <c r="C590" s="2210"/>
      <c r="D590" s="2210"/>
    </row>
    <row r="593" spans="2:2">
      <c r="B593" s="221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3" t="s">
        <v>0</v>
      </c>
      <c r="B1" s="3063" t="s">
        <v>4</v>
      </c>
      <c r="C1" s="3063" t="s">
        <v>5</v>
      </c>
      <c r="D1" s="3064" t="s">
        <v>53</v>
      </c>
      <c r="E1" s="3064" t="s">
        <v>54</v>
      </c>
      <c r="F1" s="3064"/>
      <c r="G1" s="3064"/>
      <c r="H1" s="3064"/>
      <c r="I1" s="3064"/>
      <c r="J1" s="3064"/>
      <c r="K1" s="3064"/>
      <c r="L1" s="3064"/>
      <c r="M1" s="3064"/>
    </row>
    <row r="2" spans="1:13" ht="27" customHeight="1">
      <c r="A2" s="3063"/>
      <c r="B2" s="3063"/>
      <c r="C2" s="3063"/>
      <c r="D2" s="3064"/>
      <c r="E2" s="3064" t="s">
        <v>37</v>
      </c>
      <c r="F2" s="3064" t="s">
        <v>38</v>
      </c>
      <c r="G2" s="3064"/>
      <c r="H2" s="3064"/>
      <c r="I2" s="3064"/>
      <c r="J2" s="3064" t="s">
        <v>39</v>
      </c>
      <c r="K2" s="3064"/>
      <c r="L2" s="3064"/>
      <c r="M2" s="3064"/>
    </row>
    <row r="3" spans="1:13" ht="28.5">
      <c r="A3" s="3063"/>
      <c r="B3" s="3063"/>
      <c r="C3" s="3063"/>
      <c r="D3" s="3064"/>
      <c r="E3" s="306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4" t="s">
        <v>55</v>
      </c>
      <c r="B9" s="3064"/>
      <c r="C9" s="306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95"/>
  <sheetViews>
    <sheetView topLeftCell="A49" workbookViewId="0">
      <selection activeCell="I63" sqref="I63"/>
    </sheetView>
  </sheetViews>
  <sheetFormatPr defaultRowHeight="13.5"/>
  <cols>
    <col min="2" max="2" width="9.5" bestFit="1" customWidth="1"/>
    <col min="3" max="3" width="14.75" customWidth="1"/>
    <col min="5" max="5" width="9.5" bestFit="1" customWidth="1"/>
    <col min="6" max="6" width="11.125" customWidth="1"/>
  </cols>
  <sheetData>
    <row r="1" spans="1:5">
      <c r="E1" s="2968"/>
    </row>
    <row r="2" spans="1:5">
      <c r="A2" s="2968"/>
      <c r="B2" s="2968"/>
      <c r="E2" s="2968"/>
    </row>
    <row r="3" spans="1:5">
      <c r="E3" s="2968"/>
    </row>
    <row r="4" spans="1:5">
      <c r="E4" s="2968"/>
    </row>
    <row r="5" spans="1:5">
      <c r="E5" s="2968"/>
    </row>
    <row r="6" spans="1:5">
      <c r="E6" s="2968"/>
    </row>
    <row r="7" spans="1:5">
      <c r="E7" s="2968"/>
    </row>
    <row r="8" spans="1:5">
      <c r="B8" s="2968"/>
      <c r="E8" s="2968"/>
    </row>
    <row r="9" spans="1:5">
      <c r="E9" s="2968"/>
    </row>
    <row r="10" spans="1:5">
      <c r="E10" s="2968"/>
    </row>
    <row r="11" spans="1:5">
      <c r="E11" s="2968"/>
    </row>
    <row r="12" spans="1:5">
      <c r="E12" s="2968"/>
    </row>
    <row r="13" spans="1:5">
      <c r="E13" s="2968"/>
    </row>
    <row r="14" spans="1:5">
      <c r="B14" s="2968"/>
      <c r="E14" s="2968"/>
    </row>
    <row r="15" spans="1:5">
      <c r="E15" s="2968"/>
    </row>
    <row r="16" spans="1:5">
      <c r="E16" s="2968"/>
    </row>
    <row r="17" spans="1:7">
      <c r="E17" s="2968"/>
    </row>
    <row r="18" spans="1:7">
      <c r="E18" s="2968"/>
    </row>
    <row r="19" spans="1:7">
      <c r="E19" s="2968"/>
      <c r="G19" s="2968"/>
    </row>
    <row r="20" spans="1:7">
      <c r="A20" s="2968"/>
    </row>
    <row r="21" spans="1:7">
      <c r="A21" s="2968"/>
      <c r="E21" s="2968"/>
    </row>
    <row r="22" spans="1:7">
      <c r="E22" s="2968"/>
    </row>
    <row r="23" spans="1:7">
      <c r="E23" s="2968"/>
    </row>
    <row r="24" spans="1:7">
      <c r="E24" s="2968"/>
    </row>
    <row r="25" spans="1:7">
      <c r="E25" s="2968"/>
    </row>
    <row r="26" spans="1:7">
      <c r="E26" s="2968"/>
    </row>
    <row r="27" spans="1:7">
      <c r="A27" s="2968"/>
    </row>
    <row r="28" spans="1:7">
      <c r="A28" s="2968"/>
      <c r="E28" s="2968"/>
    </row>
    <row r="29" spans="1:7">
      <c r="E29" s="2968"/>
    </row>
    <row r="30" spans="1:7">
      <c r="E30" s="2968"/>
    </row>
    <row r="31" spans="1:7">
      <c r="E31" s="2968"/>
    </row>
    <row r="32" spans="1:7">
      <c r="E32" s="2968"/>
    </row>
    <row r="33" spans="1:7">
      <c r="E33" s="2968"/>
    </row>
    <row r="34" spans="1:7">
      <c r="E34" s="2968"/>
    </row>
    <row r="35" spans="1:7">
      <c r="E35" s="2968"/>
      <c r="G35" s="2968"/>
    </row>
    <row r="36" spans="1:7">
      <c r="A36" s="2968"/>
    </row>
    <row r="37" spans="1:7">
      <c r="A37" s="2968"/>
      <c r="B37" s="2968"/>
      <c r="E37" s="2968"/>
    </row>
    <row r="38" spans="1:7">
      <c r="E38" s="2968"/>
    </row>
    <row r="39" spans="1:7">
      <c r="E39" s="2968"/>
    </row>
    <row r="40" spans="1:7">
      <c r="B40" s="2968"/>
      <c r="E40" s="2968"/>
    </row>
    <row r="41" spans="1:7">
      <c r="E41" s="2968"/>
    </row>
    <row r="42" spans="1:7">
      <c r="E42" s="2968"/>
    </row>
    <row r="43" spans="1:7">
      <c r="E43" s="2968"/>
    </row>
    <row r="44" spans="1:7">
      <c r="B44" s="2968"/>
      <c r="E44" s="2968"/>
    </row>
    <row r="45" spans="1:7">
      <c r="E45" s="2968"/>
    </row>
    <row r="46" spans="1:7">
      <c r="E46" s="2968"/>
    </row>
    <row r="47" spans="1:7">
      <c r="E47" s="2968"/>
    </row>
    <row r="48" spans="1:7">
      <c r="B48" s="2968"/>
      <c r="E48" s="2968"/>
    </row>
    <row r="49" spans="1:7">
      <c r="E49" s="2968"/>
    </row>
    <row r="50" spans="1:7">
      <c r="E50" s="2968"/>
    </row>
    <row r="51" spans="1:7">
      <c r="E51" s="2968"/>
      <c r="G51" s="2968"/>
    </row>
    <row r="52" spans="1:7">
      <c r="A52" s="2968"/>
    </row>
    <row r="53" spans="1:7">
      <c r="A53" s="2968"/>
      <c r="E53" s="2968"/>
    </row>
    <row r="54" spans="1:7">
      <c r="E54" s="2968"/>
    </row>
    <row r="57" spans="1:7">
      <c r="F57" s="2968" t="s">
        <v>3325</v>
      </c>
    </row>
    <row r="58" spans="1:7">
      <c r="C58" s="2968" t="s">
        <v>3317</v>
      </c>
      <c r="E58" s="2968" t="s">
        <v>3321</v>
      </c>
      <c r="F58" s="2978" t="s">
        <v>3323</v>
      </c>
      <c r="G58" s="2978" t="s">
        <v>3324</v>
      </c>
    </row>
    <row r="59" spans="1:7">
      <c r="A59" s="2976" t="s">
        <v>3299</v>
      </c>
      <c r="B59">
        <v>1227.1300000000001</v>
      </c>
      <c r="C59" s="2968" t="s">
        <v>3318</v>
      </c>
      <c r="D59" s="2954" t="s">
        <v>3309</v>
      </c>
      <c r="E59" s="2968"/>
    </row>
    <row r="60" spans="1:7">
      <c r="A60" s="2976" t="s">
        <v>3271</v>
      </c>
      <c r="B60">
        <v>1405.46</v>
      </c>
      <c r="C60" s="2968" t="s">
        <v>3319</v>
      </c>
      <c r="D60" s="2954" t="s">
        <v>3309</v>
      </c>
      <c r="E60" s="2968"/>
      <c r="F60" s="2978" t="s">
        <v>3326</v>
      </c>
      <c r="G60" s="2978" t="s">
        <v>3326</v>
      </c>
    </row>
    <row r="61" spans="1:7">
      <c r="A61" s="2976" t="s">
        <v>3272</v>
      </c>
      <c r="B61">
        <v>2565.8000000000002</v>
      </c>
      <c r="C61" s="2968" t="s">
        <v>3319</v>
      </c>
      <c r="D61" s="2954" t="s">
        <v>3311</v>
      </c>
      <c r="E61" s="2968" t="s">
        <v>3320</v>
      </c>
      <c r="F61" s="2986">
        <f>B83+B84</f>
        <v>801.56999999999994</v>
      </c>
      <c r="G61">
        <f>ROUND(F61/B85*B79,2)</f>
        <v>313.08999999999997</v>
      </c>
    </row>
    <row r="62" spans="1:7">
      <c r="A62" s="2976" t="s">
        <v>3273</v>
      </c>
      <c r="B62" s="2968">
        <v>3341.7299999999996</v>
      </c>
      <c r="C62" s="2968" t="s">
        <v>3319</v>
      </c>
      <c r="D62" s="2954" t="s">
        <v>3311</v>
      </c>
      <c r="E62" s="2968" t="s">
        <v>3320</v>
      </c>
      <c r="F62" s="2986">
        <f>E83+E84</f>
        <v>932.72</v>
      </c>
      <c r="G62">
        <f>ROUND(F62/E85*(E79+E80),2)</f>
        <v>504.8</v>
      </c>
    </row>
    <row r="63" spans="1:7">
      <c r="A63" s="2976" t="s">
        <v>3274</v>
      </c>
      <c r="B63">
        <v>3344.8399999999997</v>
      </c>
      <c r="C63" s="2968" t="s">
        <v>3318</v>
      </c>
      <c r="D63" s="2954" t="s">
        <v>3311</v>
      </c>
      <c r="E63" s="2968"/>
    </row>
    <row r="64" spans="1:7">
      <c r="A64" s="2976" t="s">
        <v>3275</v>
      </c>
      <c r="B64" s="2968">
        <v>3417.3199999999997</v>
      </c>
      <c r="C64" s="2968" t="s">
        <v>3319</v>
      </c>
      <c r="D64" s="2954" t="s">
        <v>3311</v>
      </c>
      <c r="E64" s="2968" t="s">
        <v>3320</v>
      </c>
      <c r="F64" s="2986">
        <f>H83+H84</f>
        <v>1069.52</v>
      </c>
      <c r="G64">
        <f>ROUND(F64/H85*H79,2)</f>
        <v>415.29</v>
      </c>
    </row>
    <row r="65" spans="1:9">
      <c r="A65" s="2976" t="s">
        <v>3276</v>
      </c>
      <c r="B65">
        <v>3359.71</v>
      </c>
      <c r="C65" s="2968" t="s">
        <v>3318</v>
      </c>
      <c r="D65" s="2954" t="s">
        <v>3311</v>
      </c>
      <c r="E65" s="2968"/>
    </row>
    <row r="66" spans="1:9">
      <c r="A66" s="2976" t="s">
        <v>3277</v>
      </c>
      <c r="B66">
        <v>3791.74</v>
      </c>
      <c r="C66" s="2968" t="s">
        <v>3318</v>
      </c>
      <c r="D66" s="2954" t="s">
        <v>3311</v>
      </c>
      <c r="E66" s="2968"/>
    </row>
    <row r="67" spans="1:9">
      <c r="A67" s="2976" t="s">
        <v>3300</v>
      </c>
      <c r="B67" s="2968">
        <v>2638.83</v>
      </c>
      <c r="C67" s="2968" t="s">
        <v>3318</v>
      </c>
      <c r="D67" s="2954" t="s">
        <v>3311</v>
      </c>
      <c r="E67" s="2968"/>
    </row>
    <row r="68" spans="1:9">
      <c r="A68" s="2976" t="s">
        <v>3301</v>
      </c>
      <c r="B68">
        <v>3308.0099999999998</v>
      </c>
      <c r="C68" s="2968" t="s">
        <v>3319</v>
      </c>
      <c r="D68" s="2954" t="s">
        <v>3311</v>
      </c>
      <c r="E68" s="2968" t="s">
        <v>3322</v>
      </c>
      <c r="F68" s="2986">
        <f>B93+B94</f>
        <v>932.72</v>
      </c>
      <c r="G68">
        <f>ROUND(F68/B95*(B89+B90),2)</f>
        <v>490.52</v>
      </c>
    </row>
    <row r="69" spans="1:9">
      <c r="A69" s="2976" t="s">
        <v>3302</v>
      </c>
      <c r="B69">
        <v>3339.85</v>
      </c>
      <c r="C69" s="2968" t="s">
        <v>3319</v>
      </c>
      <c r="D69" s="2954" t="s">
        <v>3311</v>
      </c>
      <c r="E69" s="2968" t="s">
        <v>3320</v>
      </c>
      <c r="F69" s="2986">
        <f>E93+E94</f>
        <v>932.72</v>
      </c>
      <c r="G69">
        <f>ROUND(F69/E95*(E89+E90),2)</f>
        <v>504.21</v>
      </c>
    </row>
    <row r="70" spans="1:9">
      <c r="A70" s="2976" t="s">
        <v>3303</v>
      </c>
      <c r="B70">
        <v>2359.37</v>
      </c>
      <c r="C70" s="2968" t="s">
        <v>3318</v>
      </c>
      <c r="D70" s="2954" t="s">
        <v>3311</v>
      </c>
      <c r="E70" s="2968"/>
    </row>
    <row r="71" spans="1:9">
      <c r="A71" s="2976" t="s">
        <v>3304</v>
      </c>
      <c r="B71">
        <v>2441.2100000000005</v>
      </c>
      <c r="C71" s="2968" t="s">
        <v>3318</v>
      </c>
      <c r="D71" s="2954" t="s">
        <v>3311</v>
      </c>
      <c r="E71" s="2968"/>
    </row>
    <row r="72" spans="1:9">
      <c r="A72" s="2976" t="s">
        <v>3305</v>
      </c>
      <c r="B72">
        <v>1405.7600000000002</v>
      </c>
      <c r="C72" s="2968" t="s">
        <v>3318</v>
      </c>
      <c r="D72" s="2954" t="s">
        <v>3309</v>
      </c>
      <c r="E72" s="2968"/>
      <c r="G72" s="2968"/>
    </row>
    <row r="73" spans="1:9">
      <c r="A73" s="2976" t="s">
        <v>3306</v>
      </c>
      <c r="B73">
        <v>1048.5899999999999</v>
      </c>
      <c r="C73" s="2968" t="s">
        <v>3318</v>
      </c>
      <c r="D73" s="2954" t="s">
        <v>3309</v>
      </c>
      <c r="E73" s="2968"/>
    </row>
    <row r="74" spans="1:9">
      <c r="A74" s="2976" t="s">
        <v>3307</v>
      </c>
      <c r="B74">
        <v>7716.9699999999993</v>
      </c>
      <c r="E74" s="2968"/>
    </row>
    <row r="77" spans="1:9">
      <c r="A77" s="3065" t="s">
        <v>3327</v>
      </c>
      <c r="B77" s="3065"/>
      <c r="C77" s="3065"/>
      <c r="D77" s="3065" t="s">
        <v>3340</v>
      </c>
      <c r="E77" s="3065"/>
      <c r="F77" s="3065"/>
      <c r="G77" s="3065" t="s">
        <v>3343</v>
      </c>
      <c r="H77" s="3065"/>
      <c r="I77" s="3065"/>
    </row>
    <row r="78" spans="1:9">
      <c r="A78" s="2979" t="s">
        <v>3328</v>
      </c>
      <c r="B78" s="2980" t="s">
        <v>3329</v>
      </c>
      <c r="C78" s="2981" t="s">
        <v>3330</v>
      </c>
      <c r="D78" s="2979" t="s">
        <v>3328</v>
      </c>
      <c r="E78" s="2980" t="s">
        <v>3341</v>
      </c>
      <c r="F78" s="2981" t="s">
        <v>3342</v>
      </c>
      <c r="G78" s="2979" t="s">
        <v>3328</v>
      </c>
      <c r="H78" s="2980" t="s">
        <v>3341</v>
      </c>
      <c r="I78" s="2981" t="s">
        <v>3342</v>
      </c>
    </row>
    <row r="79" spans="1:9">
      <c r="A79" s="2979" t="s">
        <v>3331</v>
      </c>
      <c r="B79" s="2980">
        <v>720.69</v>
      </c>
      <c r="C79" s="2982" t="s">
        <v>3332</v>
      </c>
      <c r="D79" s="2979" t="s">
        <v>3331</v>
      </c>
      <c r="E79" s="2980">
        <v>662.37</v>
      </c>
      <c r="F79" s="2982" t="s">
        <v>3332</v>
      </c>
      <c r="G79" s="2979" t="s">
        <v>3331</v>
      </c>
      <c r="H79" s="2980">
        <v>955.8</v>
      </c>
      <c r="I79" s="2982" t="s">
        <v>3332</v>
      </c>
    </row>
    <row r="80" spans="1:9">
      <c r="A80" s="2979" t="s">
        <v>3333</v>
      </c>
      <c r="B80" s="2980"/>
      <c r="C80" s="2983" t="s">
        <v>3334</v>
      </c>
      <c r="D80" s="2979" t="s">
        <v>3333</v>
      </c>
      <c r="E80" s="2980">
        <v>511.12</v>
      </c>
      <c r="F80" s="2983" t="s">
        <v>3332</v>
      </c>
      <c r="G80" s="2979" t="s">
        <v>3333</v>
      </c>
      <c r="H80" s="2980"/>
      <c r="I80" s="2983" t="s">
        <v>3334</v>
      </c>
    </row>
    <row r="81" spans="1:9">
      <c r="A81" s="2979" t="s">
        <v>3335</v>
      </c>
      <c r="B81" s="2980">
        <v>521.77</v>
      </c>
      <c r="C81" s="2982" t="s">
        <v>3332</v>
      </c>
      <c r="D81" s="2979" t="s">
        <v>3335</v>
      </c>
      <c r="E81" s="2980">
        <v>618.79999999999995</v>
      </c>
      <c r="F81" s="2982" t="s">
        <v>3332</v>
      </c>
      <c r="G81" s="2979" t="s">
        <v>3335</v>
      </c>
      <c r="H81" s="2980">
        <v>696</v>
      </c>
      <c r="I81" s="2982" t="s">
        <v>3332</v>
      </c>
    </row>
    <row r="82" spans="1:9">
      <c r="A82" s="2979" t="s">
        <v>3336</v>
      </c>
      <c r="B82" s="2980">
        <v>521.77</v>
      </c>
      <c r="C82" s="2983" t="s">
        <v>3332</v>
      </c>
      <c r="D82" s="2979" t="s">
        <v>3336</v>
      </c>
      <c r="E82" s="2980">
        <v>616.72</v>
      </c>
      <c r="F82" s="2983" t="s">
        <v>3332</v>
      </c>
      <c r="G82" s="2979" t="s">
        <v>3336</v>
      </c>
      <c r="H82" s="2980">
        <v>696</v>
      </c>
      <c r="I82" s="2983" t="s">
        <v>3332</v>
      </c>
    </row>
    <row r="83" spans="1:9">
      <c r="A83" s="2979" t="s">
        <v>3337</v>
      </c>
      <c r="B83" s="2980">
        <v>448.14</v>
      </c>
      <c r="C83" s="2982" t="s">
        <v>3332</v>
      </c>
      <c r="D83" s="2979" t="s">
        <v>3337</v>
      </c>
      <c r="E83" s="2980">
        <v>523.79999999999995</v>
      </c>
      <c r="F83" s="2982" t="s">
        <v>3332</v>
      </c>
      <c r="G83" s="2979" t="s">
        <v>3337</v>
      </c>
      <c r="H83" s="2980">
        <v>597.79999999999995</v>
      </c>
      <c r="I83" s="2982" t="s">
        <v>3332</v>
      </c>
    </row>
    <row r="84" spans="1:9">
      <c r="A84" s="2979" t="s">
        <v>3338</v>
      </c>
      <c r="B84" s="2980">
        <v>353.43</v>
      </c>
      <c r="C84" s="2984"/>
      <c r="D84" s="2979" t="s">
        <v>3338</v>
      </c>
      <c r="E84" s="2980">
        <v>408.92</v>
      </c>
      <c r="F84" s="2984"/>
      <c r="G84" s="2979" t="s">
        <v>3338</v>
      </c>
      <c r="H84" s="2980">
        <v>471.72</v>
      </c>
      <c r="I84" s="2984"/>
    </row>
    <row r="85" spans="1:9">
      <c r="A85" s="2985" t="s">
        <v>3339</v>
      </c>
      <c r="B85" s="2986">
        <f>SUM(B81:B84)</f>
        <v>1845.11</v>
      </c>
      <c r="D85" s="2985" t="s">
        <v>3339</v>
      </c>
      <c r="E85" s="2986">
        <f>SUM(E81:E84)</f>
        <v>2168.2399999999998</v>
      </c>
      <c r="G85" s="2985" t="s">
        <v>3339</v>
      </c>
      <c r="H85" s="2986">
        <f>SUM(H81:H84)</f>
        <v>2461.52</v>
      </c>
    </row>
    <row r="87" spans="1:9">
      <c r="A87" s="3065" t="s">
        <v>3344</v>
      </c>
      <c r="B87" s="3065"/>
      <c r="C87" s="3065"/>
      <c r="D87" s="3065" t="s">
        <v>3345</v>
      </c>
      <c r="E87" s="3065"/>
      <c r="F87" s="3065"/>
    </row>
    <row r="88" spans="1:9">
      <c r="A88" s="2979" t="s">
        <v>3328</v>
      </c>
      <c r="B88" s="2980" t="s">
        <v>3341</v>
      </c>
      <c r="C88" s="2981" t="s">
        <v>3342</v>
      </c>
      <c r="D88" s="2979" t="s">
        <v>3328</v>
      </c>
      <c r="E88" s="2980" t="s">
        <v>3341</v>
      </c>
      <c r="F88" s="2981" t="s">
        <v>3342</v>
      </c>
    </row>
    <row r="89" spans="1:9">
      <c r="A89" s="2979" t="s">
        <v>3331</v>
      </c>
      <c r="B89" s="2980">
        <v>815.82</v>
      </c>
      <c r="C89" s="2982" t="s">
        <v>3332</v>
      </c>
      <c r="D89" s="2979" t="s">
        <v>3331</v>
      </c>
      <c r="E89" s="2980">
        <v>662.43</v>
      </c>
      <c r="F89" s="2982" t="s">
        <v>3332</v>
      </c>
    </row>
    <row r="90" spans="1:9">
      <c r="A90" s="2979" t="s">
        <v>3333</v>
      </c>
      <c r="B90" s="2980">
        <v>324.27999999999997</v>
      </c>
      <c r="C90" s="2983" t="s">
        <v>3332</v>
      </c>
      <c r="D90" s="2979" t="s">
        <v>3333</v>
      </c>
      <c r="E90" s="2980">
        <v>509.51</v>
      </c>
      <c r="F90" s="2983" t="s">
        <v>3332</v>
      </c>
    </row>
    <row r="91" spans="1:9">
      <c r="A91" s="2979" t="s">
        <v>3335</v>
      </c>
      <c r="B91" s="2980">
        <v>618.79999999999995</v>
      </c>
      <c r="C91" s="2982" t="s">
        <v>3332</v>
      </c>
      <c r="D91" s="2979" t="s">
        <v>3335</v>
      </c>
      <c r="E91" s="2980">
        <v>618.79999999999995</v>
      </c>
      <c r="F91" s="2982" t="s">
        <v>3332</v>
      </c>
    </row>
    <row r="92" spans="1:9">
      <c r="A92" s="2979" t="s">
        <v>3336</v>
      </c>
      <c r="B92" s="2980">
        <v>616.39</v>
      </c>
      <c r="C92" s="2983" t="s">
        <v>3332</v>
      </c>
      <c r="D92" s="2979" t="s">
        <v>3336</v>
      </c>
      <c r="E92" s="2980">
        <v>616.39</v>
      </c>
      <c r="F92" s="2983" t="s">
        <v>3332</v>
      </c>
    </row>
    <row r="93" spans="1:9">
      <c r="A93" s="2979" t="s">
        <v>3337</v>
      </c>
      <c r="B93" s="2980">
        <v>523.79999999999995</v>
      </c>
      <c r="C93" s="2982" t="s">
        <v>3332</v>
      </c>
      <c r="D93" s="2979" t="s">
        <v>3337</v>
      </c>
      <c r="E93" s="2980">
        <v>523.79999999999995</v>
      </c>
      <c r="F93" s="2982" t="s">
        <v>3332</v>
      </c>
    </row>
    <row r="94" spans="1:9">
      <c r="A94" s="2979" t="s">
        <v>3338</v>
      </c>
      <c r="B94" s="2980">
        <v>408.92</v>
      </c>
      <c r="C94" s="2984"/>
      <c r="D94" s="2979" t="s">
        <v>3338</v>
      </c>
      <c r="E94" s="2980">
        <v>408.92</v>
      </c>
      <c r="F94" s="2984"/>
    </row>
    <row r="95" spans="1:9">
      <c r="A95" s="2985" t="s">
        <v>3339</v>
      </c>
      <c r="B95" s="2986">
        <f>SUM(B91:B94)</f>
        <v>2167.91</v>
      </c>
      <c r="D95" s="2985" t="s">
        <v>3339</v>
      </c>
      <c r="E95" s="2986">
        <f>SUM(E91:E94)</f>
        <v>2167.91</v>
      </c>
    </row>
  </sheetData>
  <mergeCells count="5">
    <mergeCell ref="A77:C77"/>
    <mergeCell ref="D77:F77"/>
    <mergeCell ref="G77:I77"/>
    <mergeCell ref="A87:C87"/>
    <mergeCell ref="D87:F87"/>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6" sqref="E36"/>
    </sheetView>
  </sheetViews>
  <sheetFormatPr defaultColWidth="9.25" defaultRowHeight="14.25"/>
  <cols>
    <col min="1" max="1" width="12.125" style="2212" customWidth="1"/>
    <col min="2" max="2" width="10.25" style="2212" customWidth="1"/>
    <col min="3" max="3" width="18.5" style="2212" customWidth="1"/>
    <col min="4" max="4" width="11.625" style="2212" customWidth="1"/>
    <col min="5" max="5" width="13.375" style="2212" customWidth="1"/>
    <col min="6" max="8" width="11.5" style="2212" customWidth="1"/>
    <col min="9" max="9" width="11.125" style="2212" customWidth="1"/>
    <col min="10" max="10" width="3.125" style="2212" customWidth="1"/>
    <col min="11" max="16" width="10" style="2212" customWidth="1"/>
    <col min="17" max="17" width="2.625" style="2212" customWidth="1"/>
    <col min="18" max="18" width="9.375" style="2212" bestFit="1" customWidth="1"/>
    <col min="19" max="19" width="10.5" style="2212" bestFit="1" customWidth="1"/>
    <col min="20" max="16384" width="9.25" style="2212"/>
  </cols>
  <sheetData>
    <row r="1" spans="1:16" ht="18.75">
      <c r="A1" s="2211" t="s">
        <v>1930</v>
      </c>
      <c r="B1" s="1389"/>
      <c r="C1" s="1389"/>
      <c r="D1" s="1389"/>
      <c r="E1" s="1389"/>
      <c r="F1" s="1389"/>
      <c r="G1" s="1389"/>
      <c r="H1" s="1389"/>
      <c r="I1" s="1389"/>
      <c r="J1" s="1389"/>
      <c r="K1" s="1389"/>
      <c r="L1" s="1389"/>
      <c r="M1" s="1389"/>
      <c r="N1" s="1389"/>
      <c r="O1" s="1389"/>
      <c r="P1" s="1389"/>
    </row>
    <row r="2" spans="1:16" ht="15">
      <c r="A2" s="3075" t="s">
        <v>1931</v>
      </c>
      <c r="B2" s="3075"/>
      <c r="C2" s="3075"/>
      <c r="D2" s="966" t="s">
        <v>1907</v>
      </c>
      <c r="E2" s="2213" t="s">
        <v>1908</v>
      </c>
      <c r="F2" s="1389"/>
      <c r="G2" s="2214"/>
      <c r="H2" s="2215"/>
      <c r="I2" s="2216" t="s">
        <v>1932</v>
      </c>
      <c r="J2" s="1389"/>
      <c r="K2" s="1389"/>
      <c r="L2" s="1389"/>
      <c r="M2" s="1389"/>
      <c r="N2" s="1424"/>
      <c r="O2" s="1389"/>
      <c r="P2" s="1389"/>
    </row>
    <row r="3" spans="1:16" ht="15.75" thickBot="1">
      <c r="A3" s="3076" t="s">
        <v>1905</v>
      </c>
      <c r="B3" s="3076"/>
      <c r="C3" s="3076"/>
      <c r="D3" s="46">
        <f>'数据-基础表'!AY6</f>
        <v>22468.9</v>
      </c>
      <c r="E3" s="46">
        <f>'数据-基础表'!AZ5</f>
        <v>43490.38</v>
      </c>
      <c r="F3" s="1389"/>
      <c r="G3" s="1396"/>
      <c r="H3" s="1246" t="s">
        <v>1906</v>
      </c>
      <c r="I3" s="55">
        <f>ROUND('数据-基础表'!B3/'数据-基础表'!A3,2)</f>
        <v>1.93</v>
      </c>
      <c r="J3" s="1389"/>
      <c r="K3" s="1389"/>
      <c r="L3" s="1389"/>
      <c r="M3" s="1389"/>
      <c r="N3" s="1424"/>
      <c r="O3" s="1389"/>
      <c r="P3" s="1389"/>
    </row>
    <row r="4" spans="1:16" ht="15">
      <c r="A4" s="3077"/>
      <c r="B4" s="3078"/>
      <c r="C4" s="3079"/>
      <c r="D4" s="2217" t="s">
        <v>1907</v>
      </c>
      <c r="E4" s="2218" t="s">
        <v>1908</v>
      </c>
      <c r="F4" s="1389"/>
      <c r="G4" s="2219" t="s">
        <v>1933</v>
      </c>
      <c r="H4" s="1246" t="s">
        <v>1913</v>
      </c>
      <c r="I4" s="55">
        <f>ROUND(SUMIF('数据-基础表'!I9:AS9,"地上",'数据-基础表'!I5:AS5)/'数据-基础表'!A3,2)</f>
        <v>1.05</v>
      </c>
      <c r="J4" s="1389"/>
      <c r="K4" s="1389"/>
      <c r="L4" s="1389"/>
      <c r="M4" s="1389"/>
      <c r="N4" s="1424"/>
      <c r="O4" s="1389"/>
      <c r="P4" s="1389"/>
    </row>
    <row r="5" spans="1:16">
      <c r="A5" s="47" t="s">
        <v>1909</v>
      </c>
      <c r="B5" s="3080" t="s">
        <v>1910</v>
      </c>
      <c r="C5" s="3080"/>
      <c r="D5" s="48">
        <f>ROUND($D$3*E5/$E$3,2)</f>
        <v>13029.63</v>
      </c>
      <c r="E5" s="49">
        <f>SUMIF('数据-基础表'!$11:$11,"住宅",'数据-基础表'!$5:$5)</f>
        <v>25219.909999999996</v>
      </c>
      <c r="F5" s="1389"/>
      <c r="G5" s="1396"/>
      <c r="H5" s="1246" t="s">
        <v>1906</v>
      </c>
      <c r="I5" s="55">
        <f>ROUND(E31/D31,2)</f>
        <v>1.94</v>
      </c>
      <c r="J5" s="1389"/>
      <c r="K5" s="1389"/>
      <c r="L5" s="1389"/>
      <c r="M5" s="1389"/>
      <c r="N5" s="1389"/>
      <c r="O5" s="1389"/>
      <c r="P5" s="1389"/>
    </row>
    <row r="6" spans="1:16" ht="15" thickBot="1">
      <c r="A6" s="2220"/>
      <c r="B6" s="3080" t="s">
        <v>1911</v>
      </c>
      <c r="C6" s="3080"/>
      <c r="D6" s="48">
        <f>ROUND($D$3*E6/$E$3,2)</f>
        <v>9439.27</v>
      </c>
      <c r="E6" s="49">
        <f>E3-E5</f>
        <v>18270.47</v>
      </c>
      <c r="F6" s="1389"/>
      <c r="G6" s="2221" t="s">
        <v>1912</v>
      </c>
      <c r="H6" s="1396" t="s">
        <v>1913</v>
      </c>
      <c r="I6" s="938">
        <f>ROUND(F31/D31,2)</f>
        <v>1.1200000000000001</v>
      </c>
      <c r="J6" s="1389"/>
      <c r="K6" s="1389"/>
      <c r="L6" s="1389"/>
      <c r="M6" s="1389"/>
      <c r="N6" s="1389"/>
      <c r="O6" s="1389"/>
      <c r="P6" s="1389"/>
    </row>
    <row r="7" spans="1:16" ht="15">
      <c r="A7" s="3072"/>
      <c r="B7" s="3073"/>
      <c r="C7" s="3074"/>
      <c r="D7" s="2217" t="s">
        <v>1907</v>
      </c>
      <c r="E7" s="2222" t="s">
        <v>1914</v>
      </c>
      <c r="F7" s="1389"/>
      <c r="G7" s="2214" t="s">
        <v>1915</v>
      </c>
      <c r="H7" s="64"/>
      <c r="I7" s="419"/>
      <c r="J7" s="1389"/>
      <c r="K7" s="1389"/>
      <c r="L7" s="1389"/>
      <c r="M7" s="1389"/>
      <c r="N7" s="1389"/>
      <c r="O7" s="1389"/>
      <c r="P7" s="1389"/>
    </row>
    <row r="8" spans="1:16">
      <c r="A8" s="47" t="s">
        <v>1916</v>
      </c>
      <c r="B8" s="50" t="s">
        <v>1917</v>
      </c>
      <c r="C8" s="48" t="s">
        <v>1918</v>
      </c>
      <c r="D8" s="48">
        <f t="shared" ref="D8:D15" si="0">ROUND($D$3*E8/$E$3,2)</f>
        <v>13029.63</v>
      </c>
      <c r="E8" s="51">
        <f>SUMIF('数据-基础表'!BB10:BK10,"地上",'数据-基础表'!BB5:BK5)</f>
        <v>25219.909999999996</v>
      </c>
      <c r="F8" s="1389"/>
      <c r="G8" s="2223"/>
      <c r="H8" s="2223"/>
      <c r="I8" s="1389"/>
      <c r="J8" s="1389"/>
      <c r="K8" s="1389"/>
      <c r="L8" s="1389"/>
      <c r="M8" s="1389"/>
      <c r="N8" s="1389"/>
      <c r="O8" s="1389"/>
      <c r="P8" s="1389"/>
    </row>
    <row r="9" spans="1:16">
      <c r="A9" s="2224"/>
      <c r="B9" s="2225"/>
      <c r="C9" s="48" t="s">
        <v>1919</v>
      </c>
      <c r="D9" s="48">
        <f t="shared" si="0"/>
        <v>0</v>
      </c>
      <c r="E9" s="52">
        <v>0</v>
      </c>
      <c r="F9" s="1389"/>
      <c r="G9" s="2223"/>
      <c r="H9" s="2223"/>
      <c r="I9" s="1389"/>
      <c r="J9" s="1389"/>
      <c r="K9" s="1389"/>
      <c r="L9" s="1389"/>
      <c r="M9" s="1389"/>
      <c r="N9" s="1389"/>
      <c r="O9" s="1389"/>
      <c r="P9" s="1389"/>
    </row>
    <row r="10" spans="1:16">
      <c r="A10" s="2224"/>
      <c r="B10" s="2225"/>
      <c r="C10" s="48" t="s">
        <v>1928</v>
      </c>
      <c r="D10" s="48">
        <f t="shared" si="0"/>
        <v>0</v>
      </c>
      <c r="E10" s="51">
        <f>SUMPRODUCT(('数据-基础表'!BB10:BK10="地下")*('数据-基础表'!BB11:BK11="商业")*('数据-基础表'!BB5:BK5))</f>
        <v>0</v>
      </c>
      <c r="F10" s="1389"/>
      <c r="G10" s="2223"/>
      <c r="H10" s="2223"/>
      <c r="I10" s="1389"/>
      <c r="J10" s="1389"/>
      <c r="K10" s="1389"/>
      <c r="L10" s="1389"/>
      <c r="M10" s="1389"/>
      <c r="N10" s="1389"/>
      <c r="O10" s="1389"/>
      <c r="P10" s="1389"/>
    </row>
    <row r="11" spans="1:16">
      <c r="A11" s="2224"/>
      <c r="B11" s="2225"/>
      <c r="C11" s="48" t="s">
        <v>1920</v>
      </c>
      <c r="D11" s="48">
        <f t="shared" si="0"/>
        <v>0</v>
      </c>
      <c r="E11" s="51">
        <f>SUMPRODUCT(('数据-基础表'!BB10:BK10="地下")*('数据-基础表'!BB11:BK11="办公")*('数据-基础表'!BB5:BK5))+'数据-基础表'!BP5</f>
        <v>0</v>
      </c>
      <c r="F11" s="1389"/>
      <c r="G11" s="2223"/>
      <c r="H11" s="2223"/>
      <c r="I11" s="1389"/>
      <c r="J11" s="1389"/>
      <c r="K11" s="1389"/>
      <c r="L11" s="1389"/>
      <c r="M11" s="1389"/>
      <c r="N11" s="1389"/>
      <c r="O11" s="1389"/>
      <c r="P11" s="1389"/>
    </row>
    <row r="12" spans="1:16">
      <c r="A12" s="2224"/>
      <c r="B12" s="2225"/>
      <c r="C12" s="48" t="s">
        <v>1921</v>
      </c>
      <c r="D12" s="48">
        <f t="shared" si="0"/>
        <v>6981.78</v>
      </c>
      <c r="E12" s="51">
        <f>SUMPRODUCT(('数据-基础表'!BB10:BK10="地下")*('数据-基础表'!BB11:BK11="仓储")*('数据-基础表'!BB5:BK5))</f>
        <v>13513.800000000003</v>
      </c>
      <c r="F12" s="1389"/>
      <c r="G12" s="2223"/>
      <c r="H12" s="2223"/>
      <c r="I12" s="1389"/>
      <c r="J12" s="1389"/>
      <c r="K12" s="1389"/>
      <c r="L12" s="1389"/>
      <c r="M12" s="1389"/>
      <c r="N12" s="1389"/>
      <c r="O12" s="1389"/>
      <c r="P12" s="1389"/>
    </row>
    <row r="13" spans="1:16">
      <c r="A13" s="2224"/>
      <c r="B13" s="2225"/>
      <c r="C13" s="48" t="s">
        <v>1922</v>
      </c>
      <c r="D13" s="48">
        <f t="shared" si="0"/>
        <v>2457.4899999999998</v>
      </c>
      <c r="E13" s="51">
        <f>SUMPRODUCT(('数据-基础表'!BB10:BK10="地下")*('数据-基础表'!BB11:BK11="车库")*('数据-基础表'!BB5:BK5))</f>
        <v>4756.67</v>
      </c>
      <c r="F13" s="1389"/>
      <c r="G13" s="2223"/>
      <c r="H13" s="2223"/>
      <c r="I13" s="1389"/>
      <c r="J13" s="1389"/>
      <c r="K13" s="1389"/>
      <c r="L13" s="1389"/>
      <c r="M13" s="1389"/>
      <c r="N13" s="1389"/>
      <c r="O13" s="1389"/>
      <c r="P13" s="1389"/>
    </row>
    <row r="14" spans="1:16">
      <c r="A14" s="2224"/>
      <c r="B14" s="2225"/>
      <c r="C14" s="48" t="s">
        <v>1934</v>
      </c>
      <c r="D14" s="48">
        <f t="shared" si="0"/>
        <v>0</v>
      </c>
      <c r="E14" s="51">
        <f>SUMPRODUCT(('数据-基础表'!BB10:BK10="地下")*('数据-基础表'!BB11:BK11="车库—商业")*('数据-基础表'!BB5:BK5))</f>
        <v>0</v>
      </c>
      <c r="F14" s="1389"/>
      <c r="G14" s="2223"/>
      <c r="H14" s="2223"/>
      <c r="I14" s="1389"/>
      <c r="J14" s="1389"/>
      <c r="K14" s="1389"/>
      <c r="L14" s="1389"/>
      <c r="M14" s="1389"/>
      <c r="N14" s="1389"/>
      <c r="O14" s="1389"/>
      <c r="P14" s="1389"/>
    </row>
    <row r="15" spans="1:16" ht="15" thickBot="1">
      <c r="A15" s="2224"/>
      <c r="B15" s="2225"/>
      <c r="C15" s="48" t="s">
        <v>1929</v>
      </c>
      <c r="D15" s="48">
        <f t="shared" si="0"/>
        <v>0</v>
      </c>
      <c r="E15" s="51">
        <f>SUMPRODUCT(('数据-基础表'!BB10:BK10="地下")*('数据-基础表'!BB11:BK11="车库—办公")*('数据-基础表'!BB5:BK5))</f>
        <v>0</v>
      </c>
      <c r="F15" s="1389"/>
      <c r="G15" s="2223"/>
      <c r="H15" s="2223"/>
      <c r="I15" s="1389"/>
      <c r="J15" s="1389"/>
      <c r="K15" s="1389"/>
      <c r="L15" s="1389"/>
      <c r="M15" s="1389"/>
      <c r="N15" s="1389"/>
      <c r="O15" s="1389"/>
      <c r="P15" s="1389"/>
    </row>
    <row r="16" spans="1:16" ht="15.75" thickBot="1">
      <c r="A16" s="2220"/>
      <c r="B16" s="2225"/>
      <c r="C16" s="50" t="s">
        <v>1923</v>
      </c>
      <c r="D16" s="50">
        <f>SUM(D8:D15)</f>
        <v>22468.9</v>
      </c>
      <c r="E16" s="53">
        <f>SUM(E8:E15)</f>
        <v>43490.38</v>
      </c>
      <c r="F16" s="1389"/>
      <c r="G16" s="2223"/>
      <c r="H16" s="2226" t="s">
        <v>1935</v>
      </c>
      <c r="I16" s="2227"/>
      <c r="J16" s="1389"/>
      <c r="K16" s="3069" t="s">
        <v>1935</v>
      </c>
      <c r="L16" s="3070"/>
      <c r="M16" s="3070"/>
      <c r="N16" s="3070"/>
      <c r="O16" s="3070"/>
      <c r="P16" s="3071"/>
    </row>
    <row r="17" spans="1:19" ht="15">
      <c r="A17" s="2228" t="s">
        <v>1936</v>
      </c>
      <c r="B17" s="2229" t="s">
        <v>1937</v>
      </c>
      <c r="C17" s="2230" t="s">
        <v>1938</v>
      </c>
      <c r="D17" s="2231" t="s">
        <v>1926</v>
      </c>
      <c r="E17" s="2232" t="s">
        <v>1927</v>
      </c>
      <c r="F17" s="2233"/>
      <c r="G17" s="2234"/>
      <c r="H17" s="2235" t="s">
        <v>1939</v>
      </c>
      <c r="I17" s="2236" t="s">
        <v>1924</v>
      </c>
      <c r="J17" s="1389"/>
      <c r="K17" s="3066" t="s">
        <v>1940</v>
      </c>
      <c r="L17" s="3067"/>
      <c r="M17" s="3068"/>
      <c r="N17" s="3066" t="s">
        <v>1941</v>
      </c>
      <c r="O17" s="3067"/>
      <c r="P17" s="3068"/>
      <c r="R17" s="2214" t="s">
        <v>1942</v>
      </c>
      <c r="S17" s="64"/>
    </row>
    <row r="18" spans="1:19" ht="15">
      <c r="A18" s="2224"/>
      <c r="B18" s="2237"/>
      <c r="C18" s="2238"/>
      <c r="D18" s="2239"/>
      <c r="E18" s="2240" t="s">
        <v>1943</v>
      </c>
      <c r="F18" s="2241" t="s">
        <v>1944</v>
      </c>
      <c r="G18" s="2242" t="s">
        <v>1945</v>
      </c>
      <c r="H18" s="1261" t="s">
        <v>1946</v>
      </c>
      <c r="I18" s="2243" t="s">
        <v>1947</v>
      </c>
      <c r="J18" s="1389"/>
      <c r="K18" s="1261" t="s">
        <v>1948</v>
      </c>
      <c r="L18" s="2244" t="s">
        <v>1949</v>
      </c>
      <c r="M18" s="1045" t="s">
        <v>1950</v>
      </c>
      <c r="N18" s="1261" t="s">
        <v>1948</v>
      </c>
      <c r="O18" s="2244" t="s">
        <v>1949</v>
      </c>
      <c r="P18" s="1045" t="s">
        <v>1950</v>
      </c>
      <c r="R18" s="1246" t="s">
        <v>1951</v>
      </c>
      <c r="S18" s="1246" t="s">
        <v>1952</v>
      </c>
    </row>
    <row r="19" spans="1:19">
      <c r="A19" s="2245"/>
      <c r="B19" s="50" t="s">
        <v>1925</v>
      </c>
      <c r="C19" s="2955" t="s">
        <v>3346</v>
      </c>
      <c r="D19" s="48">
        <f>ROUND($D$3*E19/$E$3,2)</f>
        <v>1368.57</v>
      </c>
      <c r="E19" s="56">
        <f t="shared" ref="E19:E26" si="1">SUM(F19:G19)</f>
        <v>2648.98</v>
      </c>
      <c r="F19" s="57">
        <f>'数据-基础表'!I5</f>
        <v>2648.98</v>
      </c>
      <c r="G19" s="58"/>
      <c r="H19" s="722">
        <f>ROUND($D$3*I19/$E$3,2)</f>
        <v>0</v>
      </c>
      <c r="I19" s="51">
        <f t="shared" ref="I19:I26" si="2">IF($I$17="自定义",P19,M19)</f>
        <v>0</v>
      </c>
      <c r="J19" s="1389"/>
      <c r="K19" s="1388">
        <f t="shared" ref="K19:K26" si="3">ROUND(E$28*E19/E$27,2)</f>
        <v>0</v>
      </c>
      <c r="L19" s="1246">
        <f t="shared" ref="L19:L26" si="4">ROUND(IF(COUNTIF(C19,"*住宅*")&gt;0,E$29*E19/E$32,0),2)</f>
        <v>0</v>
      </c>
      <c r="M19" s="1400">
        <f>K19+L19</f>
        <v>0</v>
      </c>
      <c r="N19" s="2246"/>
      <c r="O19" s="2247"/>
      <c r="P19" s="1400">
        <f>N19+O19</f>
        <v>0</v>
      </c>
      <c r="R19" s="1246">
        <f t="shared" ref="R19:S26" si="5">D19+H19</f>
        <v>1368.57</v>
      </c>
      <c r="S19" s="1247">
        <f t="shared" si="5"/>
        <v>2648.98</v>
      </c>
    </row>
    <row r="20" spans="1:19">
      <c r="A20" s="2248"/>
      <c r="B20" s="50" t="s">
        <v>1953</v>
      </c>
      <c r="C20" s="2955" t="s">
        <v>3347</v>
      </c>
      <c r="D20" s="48">
        <f t="shared" ref="D20:D26" si="6">ROUND($D$3*E20/$E$3,2)</f>
        <v>11661.06</v>
      </c>
      <c r="E20" s="56">
        <f t="shared" si="1"/>
        <v>22570.929999999997</v>
      </c>
      <c r="F20" s="57">
        <f>'数据-基础表'!K5</f>
        <v>22570.929999999997</v>
      </c>
      <c r="G20" s="58"/>
      <c r="H20" s="722">
        <f t="shared" ref="H20:H26" si="7">ROUND($D$3*I20/$E$3,2)</f>
        <v>0</v>
      </c>
      <c r="I20" s="51">
        <f t="shared" si="2"/>
        <v>0</v>
      </c>
      <c r="J20" s="1389"/>
      <c r="K20" s="1388">
        <f t="shared" si="3"/>
        <v>0</v>
      </c>
      <c r="L20" s="1246">
        <f t="shared" si="4"/>
        <v>0</v>
      </c>
      <c r="M20" s="1400">
        <f t="shared" ref="M20:M26" si="8">K20+L20</f>
        <v>0</v>
      </c>
      <c r="N20" s="2246"/>
      <c r="O20" s="2247"/>
      <c r="P20" s="1400">
        <f t="shared" ref="P20:P26" si="9">N20+O20</f>
        <v>0</v>
      </c>
      <c r="R20" s="1246">
        <f t="shared" si="5"/>
        <v>11661.06</v>
      </c>
      <c r="S20" s="1247">
        <f t="shared" si="5"/>
        <v>22570.929999999997</v>
      </c>
    </row>
    <row r="21" spans="1:19">
      <c r="A21" s="2248"/>
      <c r="B21" s="50" t="s">
        <v>1953</v>
      </c>
      <c r="C21" s="2955" t="s">
        <v>3348</v>
      </c>
      <c r="D21" s="48">
        <f t="shared" si="6"/>
        <v>6981.78</v>
      </c>
      <c r="E21" s="56">
        <f t="shared" si="1"/>
        <v>13513.800000000003</v>
      </c>
      <c r="F21" s="57"/>
      <c r="G21" s="58">
        <f>'数据-基础表'!M5</f>
        <v>13513.800000000003</v>
      </c>
      <c r="H21" s="722">
        <f t="shared" si="7"/>
        <v>0</v>
      </c>
      <c r="I21" s="51">
        <f t="shared" si="2"/>
        <v>0</v>
      </c>
      <c r="J21" s="1389"/>
      <c r="K21" s="1388">
        <f t="shared" si="3"/>
        <v>0</v>
      </c>
      <c r="L21" s="1246">
        <f t="shared" si="4"/>
        <v>0</v>
      </c>
      <c r="M21" s="1400">
        <f t="shared" si="8"/>
        <v>0</v>
      </c>
      <c r="N21" s="2246"/>
      <c r="O21" s="2247"/>
      <c r="P21" s="1400">
        <f t="shared" si="9"/>
        <v>0</v>
      </c>
      <c r="R21" s="1246">
        <f t="shared" si="5"/>
        <v>6981.78</v>
      </c>
      <c r="S21" s="1247">
        <f t="shared" si="5"/>
        <v>13513.800000000003</v>
      </c>
    </row>
    <row r="22" spans="1:19">
      <c r="A22" s="2248"/>
      <c r="B22" s="50" t="s">
        <v>1953</v>
      </c>
      <c r="C22" s="2987" t="s">
        <v>3350</v>
      </c>
      <c r="D22" s="48">
        <f t="shared" si="6"/>
        <v>2457.4899999999998</v>
      </c>
      <c r="E22" s="56">
        <f t="shared" si="1"/>
        <v>4756.67</v>
      </c>
      <c r="F22" s="61"/>
      <c r="G22" s="62">
        <f>'数据-基础表'!O5-'数据-基础表'!P5</f>
        <v>4756.67</v>
      </c>
      <c r="H22" s="722">
        <f t="shared" si="7"/>
        <v>0</v>
      </c>
      <c r="I22" s="51">
        <f t="shared" si="2"/>
        <v>0</v>
      </c>
      <c r="J22" s="1389"/>
      <c r="K22" s="1388">
        <f t="shared" si="3"/>
        <v>0</v>
      </c>
      <c r="L22" s="1246">
        <f t="shared" si="4"/>
        <v>0</v>
      </c>
      <c r="M22" s="1400">
        <f t="shared" si="8"/>
        <v>0</v>
      </c>
      <c r="N22" s="2246"/>
      <c r="O22" s="2247"/>
      <c r="P22" s="1400">
        <f t="shared" si="9"/>
        <v>0</v>
      </c>
      <c r="R22" s="1246">
        <f t="shared" si="5"/>
        <v>2457.4899999999998</v>
      </c>
      <c r="S22" s="1247">
        <f t="shared" si="5"/>
        <v>4756.67</v>
      </c>
    </row>
    <row r="23" spans="1:19">
      <c r="A23" s="2248"/>
      <c r="B23" s="50" t="s">
        <v>1953</v>
      </c>
      <c r="C23" s="60"/>
      <c r="D23" s="48">
        <f>ROUND($D$3*E23/$E$3,2)</f>
        <v>0</v>
      </c>
      <c r="E23" s="56">
        <f>SUM(F23:G23)</f>
        <v>0</v>
      </c>
      <c r="F23" s="61"/>
      <c r="G23" s="62"/>
      <c r="H23" s="722">
        <f>ROUND($D$3*I23/$E$3,2)</f>
        <v>0</v>
      </c>
      <c r="I23" s="51">
        <f t="shared" si="2"/>
        <v>0</v>
      </c>
      <c r="J23" s="1389"/>
      <c r="K23" s="1388">
        <f t="shared" si="3"/>
        <v>0</v>
      </c>
      <c r="L23" s="1246">
        <f t="shared" si="4"/>
        <v>0</v>
      </c>
      <c r="M23" s="1400">
        <f t="shared" si="8"/>
        <v>0</v>
      </c>
      <c r="N23" s="2246"/>
      <c r="O23" s="2247"/>
      <c r="P23" s="1400">
        <f t="shared" si="9"/>
        <v>0</v>
      </c>
      <c r="R23" s="1246">
        <f t="shared" si="5"/>
        <v>0</v>
      </c>
      <c r="S23" s="1247">
        <f t="shared" si="5"/>
        <v>0</v>
      </c>
    </row>
    <row r="24" spans="1:19">
      <c r="A24" s="2248"/>
      <c r="B24" s="50" t="s">
        <v>1953</v>
      </c>
      <c r="C24" s="60"/>
      <c r="D24" s="48">
        <f>ROUND($D$3*E24/$E$3,2)</f>
        <v>0</v>
      </c>
      <c r="E24" s="56">
        <f>SUM(F24:G24)</f>
        <v>0</v>
      </c>
      <c r="F24" s="61"/>
      <c r="G24" s="62"/>
      <c r="H24" s="722">
        <f>ROUND($D$3*I24/$E$3,2)</f>
        <v>0</v>
      </c>
      <c r="I24" s="51">
        <f t="shared" si="2"/>
        <v>0</v>
      </c>
      <c r="J24" s="1389"/>
      <c r="K24" s="1388">
        <f t="shared" si="3"/>
        <v>0</v>
      </c>
      <c r="L24" s="1246">
        <f t="shared" si="4"/>
        <v>0</v>
      </c>
      <c r="M24" s="1400">
        <f t="shared" si="8"/>
        <v>0</v>
      </c>
      <c r="N24" s="2246"/>
      <c r="O24" s="2247"/>
      <c r="P24" s="1400">
        <f t="shared" si="9"/>
        <v>0</v>
      </c>
      <c r="R24" s="1246">
        <f t="shared" si="5"/>
        <v>0</v>
      </c>
      <c r="S24" s="1247">
        <f t="shared" si="5"/>
        <v>0</v>
      </c>
    </row>
    <row r="25" spans="1:19">
      <c r="A25" s="2248"/>
      <c r="B25" s="50" t="s">
        <v>1953</v>
      </c>
      <c r="C25" s="60"/>
      <c r="D25" s="48">
        <f t="shared" si="6"/>
        <v>0</v>
      </c>
      <c r="E25" s="56">
        <f t="shared" si="1"/>
        <v>0</v>
      </c>
      <c r="F25" s="61"/>
      <c r="G25" s="62"/>
      <c r="H25" s="47">
        <f t="shared" si="7"/>
        <v>0</v>
      </c>
      <c r="I25" s="51">
        <f t="shared" si="2"/>
        <v>0</v>
      </c>
      <c r="J25" s="1389"/>
      <c r="K25" s="1388">
        <f t="shared" si="3"/>
        <v>0</v>
      </c>
      <c r="L25" s="1246">
        <f t="shared" si="4"/>
        <v>0</v>
      </c>
      <c r="M25" s="1400">
        <f t="shared" si="8"/>
        <v>0</v>
      </c>
      <c r="N25" s="2246"/>
      <c r="O25" s="2247"/>
      <c r="P25" s="1400">
        <f t="shared" si="9"/>
        <v>0</v>
      </c>
      <c r="R25" s="1246">
        <f t="shared" si="5"/>
        <v>0</v>
      </c>
      <c r="S25" s="1247">
        <f t="shared" si="5"/>
        <v>0</v>
      </c>
    </row>
    <row r="26" spans="1:19">
      <c r="A26" s="2248"/>
      <c r="B26" s="50" t="s">
        <v>1953</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49"/>
      <c r="O26" s="2250"/>
      <c r="P26" s="67">
        <f t="shared" si="9"/>
        <v>0</v>
      </c>
      <c r="R26" s="1246">
        <f t="shared" si="5"/>
        <v>0</v>
      </c>
      <c r="S26" s="1247">
        <f t="shared" si="5"/>
        <v>0</v>
      </c>
    </row>
    <row r="27" spans="1:19" ht="15.75" thickBot="1">
      <c r="A27" s="2248"/>
      <c r="B27" s="48"/>
      <c r="C27" s="2251" t="s">
        <v>1954</v>
      </c>
      <c r="D27" s="1390">
        <f>SUM(D19:D26)</f>
        <v>22468.9</v>
      </c>
      <c r="E27" s="1391">
        <f>IF(SUM(E19:E26)='数据-基础表'!BA5,SUM(E19:E26),IF(F27="地上面积有误","面积有误","地下面积有误"))</f>
        <v>43490.38</v>
      </c>
      <c r="F27" s="1390">
        <f>IF(SUM(F19:F26)=E8,SUM(F19:F26),"地上面积有误")</f>
        <v>25219.909999999996</v>
      </c>
      <c r="G27" s="1392">
        <f>SUM(G19:G26)</f>
        <v>18270.47</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8">
        <f>IF(SUM(R19:R26)=$D$3,SUM(R19:R26),SUM(R19:R26)&amp;"误差"&amp;ROUND(SUM(R19:R26)-$D$3,2))</f>
        <v>22468.9</v>
      </c>
      <c r="S27" s="1246">
        <f>IF(SUM(S19:S26)=$E$3,SUM(S19:S26),SUM(S19:S26)&amp;"误差"&amp;ROUND(SUM(S19:S26)-E3,2))</f>
        <v>43490.38</v>
      </c>
    </row>
    <row r="28" spans="1:19">
      <c r="A28" s="2248"/>
      <c r="B28" s="50" t="s">
        <v>1955</v>
      </c>
      <c r="C28" s="1258" t="s">
        <v>1956</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48"/>
      <c r="B29" s="50" t="s">
        <v>1955</v>
      </c>
      <c r="C29" s="2252" t="s">
        <v>1957</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48"/>
      <c r="B30" s="50"/>
      <c r="C30" s="2253" t="s">
        <v>1954</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54"/>
      <c r="B31" s="2255"/>
      <c r="C31" s="1006" t="s">
        <v>1958</v>
      </c>
      <c r="D31" s="728">
        <f>D27+D30</f>
        <v>22468.9</v>
      </c>
      <c r="E31" s="728">
        <f>E27+E30</f>
        <v>43490.38</v>
      </c>
      <c r="F31" s="729">
        <f>F27+F30</f>
        <v>25219.909999999996</v>
      </c>
      <c r="G31" s="730">
        <f>G27+G30</f>
        <v>18270.47</v>
      </c>
      <c r="H31" s="1389"/>
      <c r="I31" s="1389"/>
      <c r="J31" s="1389"/>
      <c r="K31" s="1389"/>
      <c r="L31" s="1389"/>
      <c r="M31" s="1389"/>
      <c r="N31" s="1389"/>
      <c r="O31" s="1389"/>
      <c r="P31" s="1389"/>
    </row>
    <row r="32" spans="1:19">
      <c r="A32" s="2219"/>
      <c r="B32" s="2219" t="s">
        <v>1959</v>
      </c>
      <c r="C32" s="2219"/>
      <c r="D32" s="2219"/>
      <c r="E32" s="1273">
        <f>SUMIF(C19:C26,"*住宅*",E19:E26)</f>
        <v>0</v>
      </c>
      <c r="F32" s="2219"/>
      <c r="G32" s="2219"/>
      <c r="H32" s="1389"/>
      <c r="I32" s="1389"/>
      <c r="J32" s="1389"/>
      <c r="K32" s="1389"/>
      <c r="L32" s="1389"/>
      <c r="M32" s="1389"/>
      <c r="N32" s="1389"/>
      <c r="O32" s="1389"/>
      <c r="P32" s="1389"/>
    </row>
    <row r="33" spans="4:4">
      <c r="D33" s="225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AH9" sqref="AH9:AM9"/>
    </sheetView>
  </sheetViews>
  <sheetFormatPr defaultColWidth="13.75" defaultRowHeight="12.75"/>
  <cols>
    <col min="1" max="1" width="20.875" style="2330" customWidth="1"/>
    <col min="2" max="2" width="12" style="2260" customWidth="1"/>
    <col min="3" max="3" width="10.75" style="2260" customWidth="1"/>
    <col min="4" max="4" width="9.125" style="2331" customWidth="1"/>
    <col min="5" max="5" width="15" style="2260" bestFit="1" customWidth="1"/>
    <col min="6" max="10" width="8.875" style="2260" customWidth="1"/>
    <col min="11" max="12" width="12.375" style="2175" customWidth="1"/>
    <col min="13" max="13" width="8.625" style="2260" customWidth="1"/>
    <col min="14" max="14" width="11.875" style="2260" customWidth="1"/>
    <col min="15" max="15" width="8.5" style="2260" customWidth="1"/>
    <col min="16" max="17" width="10.875" style="2260" customWidth="1"/>
    <col min="18" max="19" width="12.5" style="2260" customWidth="1"/>
    <col min="20" max="20" width="12.125" style="2260" customWidth="1"/>
    <col min="21" max="21" width="7.5" style="2260" customWidth="1"/>
    <col min="22" max="22" width="6.375" style="2260" customWidth="1"/>
    <col min="23" max="30" width="6.75" style="2260" customWidth="1"/>
    <col min="31" max="31" width="8" style="2260" customWidth="1"/>
    <col min="32" max="34" width="7.25" style="2260" customWidth="1"/>
    <col min="35" max="39" width="8" style="2260" customWidth="1"/>
    <col min="40" max="40" width="13.75" style="2259"/>
    <col min="41" max="41" width="11.625" style="2259" customWidth="1"/>
    <col min="42" max="42" width="9.75" style="2259" customWidth="1"/>
    <col min="43" max="67" width="13.75" style="2259"/>
    <col min="68" max="16384" width="13.75" style="2260"/>
  </cols>
  <sheetData>
    <row r="1" spans="1:67" ht="19.5" thickBot="1">
      <c r="A1" s="2257" t="s">
        <v>1960</v>
      </c>
      <c r="B1" s="731"/>
      <c r="C1" s="1578"/>
      <c r="D1" s="2258"/>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19" customFormat="1" ht="15.75" thickBot="1">
      <c r="A2" s="2261" t="s">
        <v>1961</v>
      </c>
      <c r="B2" s="1265">
        <f>项目基本情况!D3</f>
        <v>43962</v>
      </c>
      <c r="C2" s="2262"/>
      <c r="D2" s="2263"/>
      <c r="E2" s="2262"/>
      <c r="F2" s="2262"/>
      <c r="G2" s="2262"/>
      <c r="H2" s="2262"/>
      <c r="I2" s="2262"/>
      <c r="J2" s="2262"/>
      <c r="K2" s="1424"/>
      <c r="L2" s="1424"/>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4"/>
      <c r="AO2" s="2264"/>
      <c r="AP2" s="2264"/>
      <c r="AQ2" s="2264"/>
      <c r="AR2" s="2264"/>
      <c r="AS2" s="2264"/>
      <c r="AT2" s="2264"/>
      <c r="AU2" s="2264"/>
      <c r="AV2" s="2264"/>
      <c r="AW2" s="2264"/>
      <c r="AX2" s="2264"/>
      <c r="AY2" s="2264"/>
      <c r="AZ2" s="2264"/>
      <c r="BA2" s="2264"/>
      <c r="BB2" s="2264"/>
      <c r="BC2" s="2264"/>
      <c r="BD2" s="2264"/>
      <c r="BE2" s="2264"/>
      <c r="BF2" s="2264"/>
      <c r="BG2" s="2264"/>
      <c r="BH2" s="2264"/>
      <c r="BI2" s="2264"/>
      <c r="BJ2" s="2264"/>
      <c r="BK2" s="2264"/>
      <c r="BL2" s="2264"/>
      <c r="BM2" s="2264"/>
      <c r="BN2" s="2264"/>
      <c r="BO2" s="2264"/>
    </row>
    <row r="3" spans="1:67" s="2019" customFormat="1" ht="15" thickBot="1">
      <c r="A3" s="2017"/>
      <c r="B3" s="2265"/>
      <c r="C3" s="2262"/>
      <c r="D3" s="2263"/>
      <c r="E3" s="2262"/>
      <c r="F3" s="2262"/>
      <c r="G3" s="2262"/>
      <c r="H3" s="2262"/>
      <c r="I3" s="2262"/>
      <c r="J3" s="2262"/>
      <c r="K3" s="1424"/>
      <c r="L3" s="1424"/>
      <c r="M3" s="2262"/>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4"/>
      <c r="AO3" s="2264"/>
      <c r="AP3" s="2264"/>
      <c r="AQ3" s="2264"/>
      <c r="AR3" s="2264"/>
      <c r="AS3" s="2264"/>
      <c r="AT3" s="2264"/>
      <c r="AU3" s="2264"/>
      <c r="AV3" s="2264"/>
      <c r="AW3" s="2264"/>
      <c r="AX3" s="2264"/>
      <c r="AY3" s="2264"/>
      <c r="AZ3" s="2264"/>
      <c r="BA3" s="2264"/>
      <c r="BB3" s="2264"/>
      <c r="BC3" s="2264"/>
      <c r="BD3" s="2264"/>
      <c r="BE3" s="2264"/>
      <c r="BF3" s="2264"/>
      <c r="BG3" s="2264"/>
      <c r="BH3" s="2264"/>
      <c r="BI3" s="2264"/>
      <c r="BJ3" s="2264"/>
      <c r="BK3" s="2264"/>
      <c r="BL3" s="2264"/>
      <c r="BM3" s="2264"/>
      <c r="BN3" s="2264"/>
      <c r="BO3" s="2264"/>
    </row>
    <row r="4" spans="1:67" s="2019" customFormat="1" ht="15" thickBot="1">
      <c r="A4" s="68" t="s">
        <v>1962</v>
      </c>
      <c r="B4" s="2266"/>
      <c r="C4" s="2267"/>
      <c r="D4" s="2268"/>
      <c r="E4" s="2267" t="s">
        <v>1963</v>
      </c>
      <c r="F4" s="2267"/>
      <c r="G4" s="2267"/>
      <c r="H4" s="2267"/>
      <c r="I4" s="2267"/>
      <c r="J4" s="2269"/>
      <c r="K4" s="2270"/>
      <c r="L4" s="2271"/>
      <c r="M4" s="2267"/>
      <c r="N4" s="2267" t="s">
        <v>1964</v>
      </c>
      <c r="O4" s="2267"/>
      <c r="P4" s="2267"/>
      <c r="Q4" s="2267"/>
      <c r="R4" s="2267"/>
      <c r="S4" s="2269"/>
      <c r="T4" s="2272" t="str">
        <f>'数据-汇总表'!I17</f>
        <v>按面积比例</v>
      </c>
      <c r="U4" s="2266" t="s">
        <v>1965</v>
      </c>
      <c r="V4" s="2267"/>
      <c r="W4" s="2267"/>
      <c r="X4" s="2267"/>
      <c r="Y4" s="2269"/>
      <c r="Z4" s="2230" t="s">
        <v>1966</v>
      </c>
      <c r="AA4" s="2230"/>
      <c r="AB4" s="2230"/>
      <c r="AC4" s="2230"/>
      <c r="AD4" s="2230"/>
      <c r="AE4" s="2228" t="s">
        <v>1967</v>
      </c>
      <c r="AF4" s="2230"/>
      <c r="AG4" s="2273"/>
      <c r="AH4" s="2266"/>
      <c r="AI4" s="2267"/>
      <c r="AJ4" s="2267"/>
      <c r="AK4" s="2267"/>
      <c r="AL4" s="2267"/>
      <c r="AM4" s="2269"/>
      <c r="AN4" s="2264"/>
      <c r="AO4" s="2264"/>
      <c r="AP4" s="2264"/>
      <c r="AQ4" s="2264"/>
      <c r="AR4" s="2264"/>
      <c r="AS4" s="2264"/>
      <c r="AT4" s="2264"/>
      <c r="AU4" s="2264"/>
      <c r="AV4" s="2264"/>
      <c r="AW4" s="2264"/>
      <c r="AX4" s="2264"/>
      <c r="AY4" s="2264"/>
      <c r="AZ4" s="2264"/>
      <c r="BA4" s="2264"/>
      <c r="BB4" s="2264"/>
      <c r="BC4" s="2264"/>
      <c r="BD4" s="2264"/>
      <c r="BE4" s="2264"/>
      <c r="BF4" s="2264"/>
      <c r="BG4" s="2264"/>
      <c r="BH4" s="2264"/>
      <c r="BI4" s="2264"/>
      <c r="BJ4" s="2264"/>
      <c r="BK4" s="2264"/>
      <c r="BL4" s="2264"/>
      <c r="BM4" s="2264"/>
      <c r="BN4" s="2264"/>
      <c r="BO4" s="2264"/>
    </row>
    <row r="5" spans="1:67" s="2020" customFormat="1" ht="42">
      <c r="A5" s="2274" t="s">
        <v>1968</v>
      </c>
      <c r="B5" s="2275" t="s">
        <v>1969</v>
      </c>
      <c r="C5" s="2276" t="s">
        <v>1970</v>
      </c>
      <c r="D5" s="2277" t="s">
        <v>1971</v>
      </c>
      <c r="E5" s="1267" t="s">
        <v>1972</v>
      </c>
      <c r="F5" s="2278" t="s">
        <v>1973</v>
      </c>
      <c r="G5" s="1267" t="s">
        <v>1974</v>
      </c>
      <c r="H5" s="1267" t="s">
        <v>1975</v>
      </c>
      <c r="I5" s="1267" t="s">
        <v>1976</v>
      </c>
      <c r="J5" s="2279" t="s">
        <v>1977</v>
      </c>
      <c r="K5" s="2280" t="s">
        <v>1978</v>
      </c>
      <c r="L5" s="2281" t="s">
        <v>1979</v>
      </c>
      <c r="M5" s="2282" t="s">
        <v>1980</v>
      </c>
      <c r="N5" s="2283" t="s">
        <v>1981</v>
      </c>
      <c r="O5" s="2281" t="s">
        <v>1982</v>
      </c>
      <c r="P5" s="2284" t="s">
        <v>1983</v>
      </c>
      <c r="Q5" s="69" t="s">
        <v>1984</v>
      </c>
      <c r="R5" s="2285" t="s">
        <v>1985</v>
      </c>
      <c r="S5" s="2286" t="s">
        <v>1986</v>
      </c>
      <c r="T5" s="2287" t="s">
        <v>1987</v>
      </c>
      <c r="U5" s="1266" t="s">
        <v>1988</v>
      </c>
      <c r="V5" s="1267" t="s">
        <v>1989</v>
      </c>
      <c r="W5" s="1267" t="s">
        <v>1990</v>
      </c>
      <c r="X5" s="71"/>
      <c r="Y5" s="70" t="s">
        <v>1991</v>
      </c>
      <c r="Z5" s="2288" t="s">
        <v>1988</v>
      </c>
      <c r="AA5" s="1267" t="s">
        <v>1989</v>
      </c>
      <c r="AB5" s="1267" t="s">
        <v>1990</v>
      </c>
      <c r="AC5" s="71"/>
      <c r="AD5" s="71" t="s">
        <v>1991</v>
      </c>
      <c r="AE5" s="1266" t="s">
        <v>1992</v>
      </c>
      <c r="AF5" s="1267" t="s">
        <v>1993</v>
      </c>
      <c r="AG5" s="70" t="s">
        <v>1994</v>
      </c>
      <c r="AH5" s="1266" t="s">
        <v>1995</v>
      </c>
      <c r="AI5" s="2288" t="s">
        <v>1996</v>
      </c>
      <c r="AJ5" s="2288" t="s">
        <v>1997</v>
      </c>
      <c r="AK5" s="1267" t="s">
        <v>1998</v>
      </c>
      <c r="AL5" s="1267" t="s">
        <v>1999</v>
      </c>
      <c r="AM5" s="70" t="s">
        <v>2000</v>
      </c>
      <c r="AN5" s="2289" t="s">
        <v>2001</v>
      </c>
      <c r="AO5" s="2060" t="s">
        <v>2002</v>
      </c>
      <c r="AP5" s="1248" t="s">
        <v>2003</v>
      </c>
      <c r="AQ5" s="2290" t="s">
        <v>2004</v>
      </c>
      <c r="AR5" s="2290" t="s">
        <v>2005</v>
      </c>
      <c r="AS5" s="2143"/>
      <c r="AT5" s="2143"/>
      <c r="AU5" s="2143"/>
      <c r="AV5" s="2143"/>
      <c r="AW5" s="2143"/>
      <c r="AX5" s="2143"/>
      <c r="AY5" s="2143"/>
      <c r="AZ5" s="2143"/>
      <c r="BA5" s="2143"/>
      <c r="BB5" s="2143"/>
      <c r="BC5" s="2143"/>
      <c r="BD5" s="2143"/>
      <c r="BE5" s="2143"/>
      <c r="BF5" s="2143"/>
      <c r="BG5" s="2143"/>
      <c r="BH5" s="2143"/>
      <c r="BI5" s="2143"/>
      <c r="BJ5" s="2143"/>
      <c r="BK5" s="2143"/>
      <c r="BL5" s="2143"/>
      <c r="BM5" s="2143"/>
      <c r="BN5" s="2143"/>
      <c r="BO5" s="2143"/>
    </row>
    <row r="6" spans="1:67" s="2019" customFormat="1" ht="14.25">
      <c r="A6" s="2291" t="str">
        <f>'数据-汇总表'!C19</f>
        <v>合院</v>
      </c>
      <c r="B6" s="2292" t="str">
        <f>IF(A6=0,"","经营性")</f>
        <v>经营性</v>
      </c>
      <c r="C6" s="2293" t="s">
        <v>3267</v>
      </c>
      <c r="D6" s="1050">
        <f>SUMIF(项目基本情况!D$12:I$12,C6,项目基本情况!D$14:I$14)</f>
        <v>70</v>
      </c>
      <c r="E6" s="1047">
        <f>IF(B6="","",SUMIF(项目基本情况!D$12:I$12,C6,项目基本情况!D$13:I$13))</f>
        <v>69004</v>
      </c>
      <c r="F6" s="72">
        <f>SUMIF(项目基本情况!D$12:I$12,C6,项目基本情况!D$15:I$15)</f>
        <v>68.599999999999994</v>
      </c>
      <c r="G6" s="73">
        <f>IF(ISERROR(ROUND(POWER(1+H6,D6-F6)*(POWER(1+H6,F6)-1)/(POWER(1+H6,D6)-1),3)),0,ROUND(POWER(1+H6,D6-F6)*(POWER(1+H6,F6)-1)/(POWER(1+H6,D6)-1),3))</f>
        <v>0.996</v>
      </c>
      <c r="H6" s="801">
        <v>0.04</v>
      </c>
      <c r="I6" s="801">
        <v>4.4999999999999998E-2</v>
      </c>
      <c r="J6" s="74">
        <v>0.08</v>
      </c>
      <c r="K6" s="1250">
        <f>SUMIF('数据-汇总表'!C$19:C$33,A6,'数据-汇总表'!E$19:E$33)</f>
        <v>2648.98</v>
      </c>
      <c r="L6" s="802">
        <v>3000</v>
      </c>
      <c r="M6" s="75">
        <f t="shared" ref="M6:M14" si="0">ROUND(K6*L6/10000,0)</f>
        <v>795</v>
      </c>
      <c r="N6" s="800">
        <v>0.65</v>
      </c>
      <c r="O6" s="75">
        <f>IF($N$5="成新度","——",ROUND(M6*N6,0))</f>
        <v>517</v>
      </c>
      <c r="P6" s="76">
        <f>IF($N$5="成新度","——",M6-O6)</f>
        <v>278</v>
      </c>
      <c r="Q6" s="803">
        <v>0.15</v>
      </c>
      <c r="R6" s="77">
        <f ca="1">SUMIF('数据-汇总表'!C$19:C$33,A6,'数据-汇总表'!R$19:R$27)</f>
        <v>1368.57</v>
      </c>
      <c r="S6" s="54">
        <f>IF('数据-汇总表'!$I$17="按面积比例",SUMIF('数据-汇总表'!C$19:C$33,A6,'数据-汇总表'!K$19:K$33),SUMIF('数据-汇总表'!C$19:C$33,A6,'数据-汇总表'!N$19:N$33))</f>
        <v>0</v>
      </c>
      <c r="T6" s="1440">
        <f>ROUND($L$14*S6/10000,0)</f>
        <v>0</v>
      </c>
      <c r="U6" s="78"/>
      <c r="V6" s="79"/>
      <c r="W6" s="79"/>
      <c r="X6" s="1260"/>
      <c r="Y6" s="80"/>
      <c r="Z6" s="81"/>
      <c r="AA6" s="74"/>
      <c r="AB6" s="74"/>
      <c r="AC6" s="1260"/>
      <c r="AD6" s="82"/>
      <c r="AE6" s="1261">
        <f ca="1">IF(AN6="",0,SUMIF(INDIRECT("'"&amp;AN6&amp;"'"&amp;"!E:E"),$AE$5,INDIRECT("'"&amp;AN6&amp;"'"&amp;"!F:F")))</f>
        <v>0</v>
      </c>
      <c r="AF6" s="1793"/>
      <c r="AG6" s="147">
        <f>IF(AF6="",0,AE6-AF6)</f>
        <v>0</v>
      </c>
      <c r="AH6" s="83"/>
      <c r="AI6" s="85">
        <v>365</v>
      </c>
      <c r="AJ6" s="86"/>
      <c r="AK6" s="87"/>
      <c r="AL6" s="88"/>
      <c r="AM6" s="89"/>
      <c r="AN6" s="2294"/>
      <c r="AO6" s="55" t="e">
        <f ca="1">SUMIF(INDIRECT("'"&amp;AN6&amp;"'"&amp;"!A:A"),"总价",INDIRECT("'"&amp;AN6&amp;"'"&amp;"!B:B"))</f>
        <v>#REF!</v>
      </c>
      <c r="AP6" s="2295">
        <f>IF(C6="住宅",K6*L6,0)</f>
        <v>7946940</v>
      </c>
      <c r="AQ6" s="55">
        <f>ROUND($L$14*$N$14*S6/10000,0)</f>
        <v>0</v>
      </c>
      <c r="AR6" s="55">
        <f>ROUND($L$14*(1-$N$14)*S6/10000,0)</f>
        <v>0</v>
      </c>
      <c r="AS6" s="2264"/>
      <c r="AT6" s="2264"/>
      <c r="AU6" s="2264"/>
      <c r="AV6" s="2264"/>
      <c r="AW6" s="2264"/>
      <c r="AX6" s="2264"/>
      <c r="AY6" s="2264"/>
      <c r="AZ6" s="2264"/>
      <c r="BA6" s="2264"/>
      <c r="BB6" s="2264"/>
      <c r="BC6" s="2264"/>
      <c r="BD6" s="2264"/>
      <c r="BE6" s="2264"/>
      <c r="BF6" s="2264"/>
      <c r="BG6" s="2264"/>
      <c r="BH6" s="2264"/>
      <c r="BI6" s="2264"/>
      <c r="BJ6" s="2264"/>
      <c r="BK6" s="2264"/>
      <c r="BL6" s="2264"/>
      <c r="BM6" s="2264"/>
      <c r="BN6" s="2264"/>
      <c r="BO6" s="2264"/>
    </row>
    <row r="7" spans="1:67" s="2019" customFormat="1" ht="14.25">
      <c r="A7" s="2291" t="str">
        <f>'数据-汇总表'!C20</f>
        <v>叠拼</v>
      </c>
      <c r="B7" s="2292" t="str">
        <f t="shared" ref="B7:B13" si="1">IF(A7=0,"","经营性")</f>
        <v>经营性</v>
      </c>
      <c r="C7" s="2293" t="s">
        <v>3267</v>
      </c>
      <c r="D7" s="1050">
        <f>SUMIF(项目基本情况!D$12:I$12,C7,项目基本情况!D$14:I$14)</f>
        <v>70</v>
      </c>
      <c r="E7" s="1047">
        <f>IF(B7="","",SUMIF(项目基本情况!D$12:I$12,C7,项目基本情况!D$13:I$13))</f>
        <v>69004</v>
      </c>
      <c r="F7" s="72">
        <f>SUMIF(项目基本情况!D$12:I$12,C7,项目基本情况!D$15:I$15)</f>
        <v>68.599999999999994</v>
      </c>
      <c r="G7" s="73">
        <f t="shared" ref="G7:G11" si="2">IF(ISERROR(ROUND(POWER(1+H7,D7-F7)*(POWER(1+H7,F7)-1)/(POWER(1+H7,D7)-1),3)),0,ROUND(POWER(1+H7,D7-F7)*(POWER(1+H7,F7)-1)/(POWER(1+H7,D7)-1),3))</f>
        <v>0.996</v>
      </c>
      <c r="H7" s="801">
        <v>0.04</v>
      </c>
      <c r="I7" s="801">
        <v>4.4999999999999998E-2</v>
      </c>
      <c r="J7" s="74">
        <v>0.08</v>
      </c>
      <c r="K7" s="1250">
        <f>SUMIF('数据-汇总表'!C$19:C$33,A7,'数据-汇总表'!E$19:E$33)</f>
        <v>22570.929999999997</v>
      </c>
      <c r="L7" s="802">
        <f>L6</f>
        <v>3000</v>
      </c>
      <c r="M7" s="75">
        <f t="shared" si="0"/>
        <v>6771</v>
      </c>
      <c r="N7" s="800">
        <f>N6</f>
        <v>0.65</v>
      </c>
      <c r="O7" s="75">
        <f t="shared" ref="O7:O14" si="3">IF($N$5="成新度","——",ROUND(M7*N7,0))</f>
        <v>4401</v>
      </c>
      <c r="P7" s="76">
        <f t="shared" ref="P7:P14" si="4">IF($N$5="成新度","——",M7-O7)</f>
        <v>2370</v>
      </c>
      <c r="Q7" s="803">
        <v>0.15</v>
      </c>
      <c r="R7" s="77">
        <f ca="1">SUMIF('数据-汇总表'!C$19:C$33,A7,'数据-汇总表'!R$19:R$27)</f>
        <v>11661.06</v>
      </c>
      <c r="S7" s="54">
        <f>IF('数据-汇总表'!$I$17="按面积比例",SUMIF('数据-汇总表'!C$19:C$33,A7,'数据-汇总表'!K$19:K$33),SUMIF('数据-汇总表'!C$19:C$33,A7,'数据-汇总表'!N$19:N$33))</f>
        <v>0</v>
      </c>
      <c r="T7" s="1440">
        <f t="shared" ref="T7:T13" si="5">ROUND($L$14*S7/10000,0)</f>
        <v>0</v>
      </c>
      <c r="U7" s="78"/>
      <c r="V7" s="79"/>
      <c r="W7" s="79"/>
      <c r="X7" s="1260"/>
      <c r="Y7" s="80"/>
      <c r="Z7" s="81"/>
      <c r="AA7" s="74"/>
      <c r="AB7" s="74"/>
      <c r="AC7" s="1260"/>
      <c r="AD7" s="82"/>
      <c r="AE7" s="1261">
        <f t="shared" ref="AE7:AE13" ca="1" si="6">IF(AN7="",0,SUMIF(INDIRECT("'"&amp;AN7&amp;"'"&amp;"!E:E"),$AE$5,INDIRECT("'"&amp;AN7&amp;"'"&amp;"!F:F")))</f>
        <v>0</v>
      </c>
      <c r="AF7" s="1793"/>
      <c r="AG7" s="147">
        <f t="shared" ref="AG7:AG13" si="7">IF(AF7="",0,AE7-AF7)</f>
        <v>0</v>
      </c>
      <c r="AH7" s="83"/>
      <c r="AI7" s="85"/>
      <c r="AJ7" s="86"/>
      <c r="AK7" s="87"/>
      <c r="AL7" s="88"/>
      <c r="AM7" s="89"/>
      <c r="AN7" s="2294"/>
      <c r="AO7" s="55" t="e">
        <f t="shared" ref="AO7:AO13" ca="1" si="8">SUMIF(INDIRECT("'"&amp;AN7&amp;"'"&amp;"!A:A"),"总价",INDIRECT("'"&amp;AN7&amp;"'"&amp;"!B:B"))</f>
        <v>#REF!</v>
      </c>
      <c r="AP7" s="2295">
        <f t="shared" ref="AP7:AP13" si="9">IF(C7="住宅",K7*L7,0)</f>
        <v>67712789.999999985</v>
      </c>
      <c r="AQ7" s="55">
        <f t="shared" ref="AQ7:AQ13" si="10">ROUND($L$14*$N$14*S7/10000,0)</f>
        <v>0</v>
      </c>
      <c r="AR7" s="55">
        <f t="shared" ref="AR7:AR13" si="11">ROUND($L$14*(1-$N$14)*S7/10000,0)</f>
        <v>0</v>
      </c>
      <c r="AS7" s="2264"/>
      <c r="AT7" s="2264"/>
      <c r="AU7" s="2264"/>
      <c r="AV7" s="2264"/>
      <c r="AW7" s="2264"/>
      <c r="AX7" s="2264"/>
      <c r="AY7" s="2264"/>
      <c r="AZ7" s="2264"/>
      <c r="BA7" s="2264"/>
      <c r="BB7" s="2264"/>
      <c r="BC7" s="2264"/>
      <c r="BD7" s="2264"/>
      <c r="BE7" s="2264"/>
      <c r="BF7" s="2264"/>
      <c r="BG7" s="2264"/>
      <c r="BH7" s="2264"/>
      <c r="BI7" s="2264"/>
      <c r="BJ7" s="2264"/>
      <c r="BK7" s="2264"/>
      <c r="BL7" s="2264"/>
      <c r="BM7" s="2264"/>
      <c r="BN7" s="2264"/>
      <c r="BO7" s="2264"/>
    </row>
    <row r="8" spans="1:67" s="2019" customFormat="1" ht="14.25">
      <c r="A8" s="2291" t="str">
        <f>'数据-汇总表'!C21</f>
        <v>仓储</v>
      </c>
      <c r="B8" s="2292" t="str">
        <f t="shared" si="1"/>
        <v>经营性</v>
      </c>
      <c r="C8" s="2293" t="s">
        <v>3269</v>
      </c>
      <c r="D8" s="1050">
        <f>SUMIF(项目基本情况!D$12:I$12,C8,项目基本情况!D$14:I$14)</f>
        <v>50</v>
      </c>
      <c r="E8" s="1047">
        <f>IF(B8="","",SUMIF(项目基本情况!D$12:I$12,C8,项目基本情况!D$13:I$13))</f>
        <v>61699</v>
      </c>
      <c r="F8" s="72">
        <f>SUMIF(项目基本情况!D$12:I$12,C8,项目基本情况!D$15:I$15)</f>
        <v>48.59</v>
      </c>
      <c r="G8" s="73">
        <f t="shared" si="2"/>
        <v>0.99199999999999999</v>
      </c>
      <c r="H8" s="801">
        <v>4.4999999999999998E-2</v>
      </c>
      <c r="I8" s="801">
        <v>0.05</v>
      </c>
      <c r="J8" s="74">
        <v>0.08</v>
      </c>
      <c r="K8" s="1250">
        <f>SUMIF('数据-汇总表'!C$19:C$33,A8,'数据-汇总表'!E$19:E$33)</f>
        <v>13513.800000000003</v>
      </c>
      <c r="L8" s="802">
        <v>3000</v>
      </c>
      <c r="M8" s="75">
        <f>ROUND(K8*L8/10000,0)</f>
        <v>4054</v>
      </c>
      <c r="N8" s="800">
        <f>N6</f>
        <v>0.65</v>
      </c>
      <c r="O8" s="75">
        <f t="shared" si="3"/>
        <v>2635</v>
      </c>
      <c r="P8" s="76">
        <f t="shared" si="4"/>
        <v>1419</v>
      </c>
      <c r="Q8" s="803">
        <v>0.1</v>
      </c>
      <c r="R8" s="77">
        <f ca="1">SUMIF('数据-汇总表'!C$19:C$33,A8,'数据-汇总表'!R$19:R$27)</f>
        <v>6981.78</v>
      </c>
      <c r="S8" s="54">
        <f>IF('数据-汇总表'!$I$17="按面积比例",SUMIF('数据-汇总表'!C$19:C$33,A8,'数据-汇总表'!K$19:K$33),SUMIF('数据-汇总表'!C$19:C$33,A8,'数据-汇总表'!N$19:N$33))</f>
        <v>0</v>
      </c>
      <c r="T8" s="1440">
        <f t="shared" si="5"/>
        <v>0</v>
      </c>
      <c r="U8" s="804"/>
      <c r="V8" s="805"/>
      <c r="W8" s="805"/>
      <c r="X8" s="1260"/>
      <c r="Y8" s="806"/>
      <c r="Z8" s="81"/>
      <c r="AA8" s="74"/>
      <c r="AB8" s="74"/>
      <c r="AC8" s="1260"/>
      <c r="AD8" s="82"/>
      <c r="AE8" s="1261">
        <f t="shared" ca="1" si="6"/>
        <v>0</v>
      </c>
      <c r="AF8" s="1793"/>
      <c r="AG8" s="147">
        <f t="shared" si="7"/>
        <v>0</v>
      </c>
      <c r="AH8" s="807"/>
      <c r="AI8" s="85"/>
      <c r="AJ8" s="86"/>
      <c r="AK8" s="808"/>
      <c r="AL8" s="809"/>
      <c r="AM8" s="810"/>
      <c r="AN8" s="2294"/>
      <c r="AO8" s="55" t="e">
        <f t="shared" ca="1" si="8"/>
        <v>#REF!</v>
      </c>
      <c r="AP8" s="2295">
        <f t="shared" si="9"/>
        <v>0</v>
      </c>
      <c r="AQ8" s="55">
        <f t="shared" si="10"/>
        <v>0</v>
      </c>
      <c r="AR8" s="55">
        <f t="shared" si="11"/>
        <v>0</v>
      </c>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row>
    <row r="9" spans="1:67" s="2019" customFormat="1" ht="14.25">
      <c r="A9" s="2291" t="str">
        <f>'数据-汇总表'!C22</f>
        <v>车位</v>
      </c>
      <c r="B9" s="2292" t="str">
        <f t="shared" si="1"/>
        <v>经营性</v>
      </c>
      <c r="C9" s="2293" t="s">
        <v>3072</v>
      </c>
      <c r="D9" s="1050">
        <f>SUMIF(项目基本情况!D$12:I$12,C9,项目基本情况!D$14:I$14)</f>
        <v>50</v>
      </c>
      <c r="E9" s="1047">
        <f>IF(B9="","",SUMIF(项目基本情况!D$12:I$12,C9,项目基本情况!D$13:I$13))</f>
        <v>61699</v>
      </c>
      <c r="F9" s="72">
        <f>SUMIF(项目基本情况!D$12:I$12,C9,项目基本情况!D$15:I$15)</f>
        <v>48.59</v>
      </c>
      <c r="G9" s="73">
        <f t="shared" si="2"/>
        <v>0.99199999999999999</v>
      </c>
      <c r="H9" s="801">
        <v>4.4999999999999998E-2</v>
      </c>
      <c r="I9" s="801">
        <v>0.05</v>
      </c>
      <c r="J9" s="74">
        <v>0.08</v>
      </c>
      <c r="K9" s="1250">
        <f>SUMIF('数据-汇总表'!C$19:C$33,A9,'数据-汇总表'!E$19:E$33)</f>
        <v>4756.67</v>
      </c>
      <c r="L9" s="802">
        <v>3000</v>
      </c>
      <c r="M9" s="75">
        <f t="shared" si="0"/>
        <v>1427</v>
      </c>
      <c r="N9" s="800">
        <f>N6</f>
        <v>0.65</v>
      </c>
      <c r="O9" s="75">
        <f t="shared" si="3"/>
        <v>928</v>
      </c>
      <c r="P9" s="76">
        <f t="shared" si="4"/>
        <v>499</v>
      </c>
      <c r="Q9" s="90">
        <v>0.05</v>
      </c>
      <c r="R9" s="77">
        <f ca="1">SUMIF('数据-汇总表'!C$19:C$33,A9,'数据-汇总表'!R$19:R$27)</f>
        <v>2457.4899999999998</v>
      </c>
      <c r="S9" s="54">
        <f>IF('数据-汇总表'!$I$17="按面积比例",SUMIF('数据-汇总表'!C$19:C$33,A9,'数据-汇总表'!K$19:K$33),SUMIF('数据-汇总表'!C$19:C$33,A9,'数据-汇总表'!N$19:N$33))</f>
        <v>0</v>
      </c>
      <c r="T9" s="1440">
        <f t="shared" si="5"/>
        <v>0</v>
      </c>
      <c r="U9" s="78">
        <v>600</v>
      </c>
      <c r="V9" s="79">
        <v>0.02</v>
      </c>
      <c r="W9" s="79">
        <v>0.1</v>
      </c>
      <c r="X9" s="1260"/>
      <c r="Y9" s="80"/>
      <c r="Z9" s="81"/>
      <c r="AA9" s="74"/>
      <c r="AB9" s="74"/>
      <c r="AC9" s="1260"/>
      <c r="AD9" s="82"/>
      <c r="AE9" s="1261">
        <f t="shared" ca="1" si="6"/>
        <v>47.89</v>
      </c>
      <c r="AF9" s="1793"/>
      <c r="AG9" s="147">
        <f t="shared" si="7"/>
        <v>0</v>
      </c>
      <c r="AH9" s="83">
        <v>135</v>
      </c>
      <c r="AI9" s="85">
        <v>12</v>
      </c>
      <c r="AJ9" s="86"/>
      <c r="AK9" s="87">
        <v>1.4999999999999999E-2</v>
      </c>
      <c r="AL9" s="88">
        <v>1.5E-3</v>
      </c>
      <c r="AM9" s="89">
        <v>1.4999999999999999E-2</v>
      </c>
      <c r="AN9" s="2294" t="s">
        <v>3351</v>
      </c>
      <c r="AO9" s="55">
        <f t="shared" ca="1" si="8"/>
        <v>1026</v>
      </c>
      <c r="AP9" s="2295">
        <f t="shared" si="9"/>
        <v>0</v>
      </c>
      <c r="AQ9" s="55">
        <f t="shared" si="10"/>
        <v>0</v>
      </c>
      <c r="AR9" s="55">
        <f t="shared" si="11"/>
        <v>0</v>
      </c>
      <c r="AS9" s="2264">
        <f>K9/35</f>
        <v>135.90485714285714</v>
      </c>
      <c r="AT9" s="2264"/>
      <c r="AU9" s="2264"/>
      <c r="AV9" s="2264"/>
      <c r="AW9" s="2264"/>
      <c r="AX9" s="2264"/>
      <c r="AY9" s="2264"/>
      <c r="AZ9" s="2264"/>
      <c r="BA9" s="2264"/>
      <c r="BB9" s="2264"/>
      <c r="BC9" s="2264"/>
      <c r="BD9" s="2264"/>
      <c r="BE9" s="2264"/>
      <c r="BF9" s="2264"/>
      <c r="BG9" s="2264"/>
      <c r="BH9" s="2264"/>
      <c r="BI9" s="2264"/>
      <c r="BJ9" s="2264"/>
      <c r="BK9" s="2264"/>
      <c r="BL9" s="2264"/>
      <c r="BM9" s="2264"/>
      <c r="BN9" s="2264"/>
      <c r="BO9" s="2264"/>
    </row>
    <row r="10" spans="1:67" s="2019" customFormat="1" ht="14.25">
      <c r="A10" s="2291">
        <f>'数据-汇总表'!C23</f>
        <v>0</v>
      </c>
      <c r="B10" s="2292" t="str">
        <f t="shared" si="1"/>
        <v/>
      </c>
      <c r="C10" s="2293"/>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60"/>
      <c r="Y10" s="80"/>
      <c r="Z10" s="81"/>
      <c r="AA10" s="74"/>
      <c r="AB10" s="74"/>
      <c r="AC10" s="1260"/>
      <c r="AD10" s="82"/>
      <c r="AE10" s="1261">
        <f t="shared" ca="1" si="6"/>
        <v>0</v>
      </c>
      <c r="AF10" s="1793"/>
      <c r="AG10" s="147">
        <f t="shared" si="7"/>
        <v>0</v>
      </c>
      <c r="AH10" s="83"/>
      <c r="AI10" s="85"/>
      <c r="AJ10" s="86"/>
      <c r="AK10" s="87"/>
      <c r="AL10" s="88"/>
      <c r="AM10" s="89"/>
      <c r="AN10" s="2294"/>
      <c r="AO10" s="55" t="e">
        <f t="shared" ca="1" si="8"/>
        <v>#REF!</v>
      </c>
      <c r="AP10" s="2295">
        <f t="shared" si="9"/>
        <v>0</v>
      </c>
      <c r="AQ10" s="55">
        <f t="shared" si="10"/>
        <v>0</v>
      </c>
      <c r="AR10" s="55">
        <f t="shared" si="11"/>
        <v>0</v>
      </c>
      <c r="AS10" s="2264"/>
      <c r="AT10" s="2264"/>
      <c r="AU10" s="2264"/>
      <c r="AV10" s="2264"/>
      <c r="AW10" s="2264"/>
      <c r="AX10" s="2264"/>
      <c r="AY10" s="2264"/>
      <c r="AZ10" s="2264"/>
      <c r="BA10" s="2264"/>
      <c r="BB10" s="2264"/>
      <c r="BC10" s="2264"/>
      <c r="BD10" s="2264"/>
      <c r="BE10" s="2264"/>
      <c r="BF10" s="2264"/>
      <c r="BG10" s="2264"/>
      <c r="BH10" s="2264"/>
      <c r="BI10" s="2264"/>
      <c r="BJ10" s="2264"/>
      <c r="BK10" s="2264"/>
      <c r="BL10" s="2264"/>
      <c r="BM10" s="2264"/>
      <c r="BN10" s="2264"/>
      <c r="BO10" s="2264"/>
    </row>
    <row r="11" spans="1:67" s="2019" customFormat="1" ht="14.25">
      <c r="A11" s="2291">
        <f>'数据-汇总表'!C24</f>
        <v>0</v>
      </c>
      <c r="B11" s="2292" t="str">
        <f t="shared" si="1"/>
        <v/>
      </c>
      <c r="C11" s="2293"/>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60"/>
      <c r="Y11" s="80"/>
      <c r="Z11" s="93"/>
      <c r="AA11" s="74"/>
      <c r="AB11" s="74"/>
      <c r="AC11" s="1260"/>
      <c r="AD11" s="82"/>
      <c r="AE11" s="1261">
        <f t="shared" ca="1" si="6"/>
        <v>0</v>
      </c>
      <c r="AF11" s="1793"/>
      <c r="AG11" s="147">
        <f t="shared" si="7"/>
        <v>0</v>
      </c>
      <c r="AH11" s="83"/>
      <c r="AI11" s="85"/>
      <c r="AJ11" s="86"/>
      <c r="AK11" s="94"/>
      <c r="AL11" s="95"/>
      <c r="AM11" s="96"/>
      <c r="AN11" s="2294"/>
      <c r="AO11" s="55" t="e">
        <f t="shared" ca="1" si="8"/>
        <v>#REF!</v>
      </c>
      <c r="AP11" s="2295">
        <f t="shared" si="9"/>
        <v>0</v>
      </c>
      <c r="AQ11" s="55">
        <f t="shared" si="10"/>
        <v>0</v>
      </c>
      <c r="AR11" s="55">
        <f t="shared" si="11"/>
        <v>0</v>
      </c>
      <c r="AS11" s="2264"/>
      <c r="AT11" s="2264"/>
      <c r="AU11" s="2264"/>
      <c r="AV11" s="2264"/>
      <c r="AW11" s="2264"/>
      <c r="AX11" s="2264"/>
      <c r="AY11" s="2264"/>
      <c r="AZ11" s="2264"/>
      <c r="BA11" s="2264"/>
      <c r="BB11" s="2264"/>
      <c r="BC11" s="2264"/>
      <c r="BD11" s="2264"/>
      <c r="BE11" s="2264"/>
      <c r="BF11" s="2264"/>
      <c r="BG11" s="2264"/>
      <c r="BH11" s="2264"/>
      <c r="BI11" s="2264"/>
      <c r="BJ11" s="2264"/>
      <c r="BK11" s="2264"/>
      <c r="BL11" s="2264"/>
      <c r="BM11" s="2264"/>
      <c r="BN11" s="2264"/>
      <c r="BO11" s="2264"/>
    </row>
    <row r="12" spans="1:67" s="2019" customFormat="1" ht="14.25">
      <c r="A12" s="2291">
        <f>'数据-汇总表'!C25</f>
        <v>0</v>
      </c>
      <c r="B12" s="2292" t="str">
        <f t="shared" si="1"/>
        <v/>
      </c>
      <c r="C12" s="2293"/>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60"/>
      <c r="Y12" s="80"/>
      <c r="Z12" s="93"/>
      <c r="AA12" s="74"/>
      <c r="AB12" s="74"/>
      <c r="AC12" s="1260"/>
      <c r="AD12" s="82"/>
      <c r="AE12" s="1261">
        <f t="shared" ca="1" si="6"/>
        <v>0</v>
      </c>
      <c r="AF12" s="1793"/>
      <c r="AG12" s="147">
        <f t="shared" si="7"/>
        <v>0</v>
      </c>
      <c r="AH12" s="83"/>
      <c r="AI12" s="85"/>
      <c r="AJ12" s="86"/>
      <c r="AK12" s="94"/>
      <c r="AL12" s="95"/>
      <c r="AM12" s="96"/>
      <c r="AN12" s="2294"/>
      <c r="AO12" s="55" t="e">
        <f t="shared" ca="1" si="8"/>
        <v>#REF!</v>
      </c>
      <c r="AP12" s="2295">
        <f t="shared" si="9"/>
        <v>0</v>
      </c>
      <c r="AQ12" s="55">
        <f t="shared" si="10"/>
        <v>0</v>
      </c>
      <c r="AR12" s="55">
        <f t="shared" si="11"/>
        <v>0</v>
      </c>
      <c r="AS12" s="2264"/>
      <c r="AT12" s="2264"/>
      <c r="AU12" s="2264"/>
      <c r="AV12" s="2264"/>
      <c r="AW12" s="2264"/>
      <c r="AX12" s="2264"/>
      <c r="AY12" s="2264"/>
      <c r="AZ12" s="2264"/>
      <c r="BA12" s="2264"/>
      <c r="BB12" s="2264"/>
      <c r="BC12" s="2264"/>
      <c r="BD12" s="2264"/>
      <c r="BE12" s="2264"/>
      <c r="BF12" s="2264"/>
      <c r="BG12" s="2264"/>
      <c r="BH12" s="2264"/>
      <c r="BI12" s="2264"/>
      <c r="BJ12" s="2264"/>
      <c r="BK12" s="2264"/>
      <c r="BL12" s="2264"/>
      <c r="BM12" s="2264"/>
      <c r="BN12" s="2264"/>
      <c r="BO12" s="2264"/>
    </row>
    <row r="13" spans="1:67" s="2019" customFormat="1" ht="14.25">
      <c r="A13" s="2291">
        <f>'数据-汇总表'!C26</f>
        <v>0</v>
      </c>
      <c r="B13" s="2292" t="str">
        <f t="shared" si="1"/>
        <v/>
      </c>
      <c r="C13" s="2293"/>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60"/>
      <c r="Y13" s="80"/>
      <c r="Z13" s="81"/>
      <c r="AA13" s="74"/>
      <c r="AB13" s="74"/>
      <c r="AC13" s="1260"/>
      <c r="AD13" s="82"/>
      <c r="AE13" s="1261">
        <f t="shared" ca="1" si="6"/>
        <v>0</v>
      </c>
      <c r="AF13" s="1793"/>
      <c r="AG13" s="147">
        <f t="shared" si="7"/>
        <v>0</v>
      </c>
      <c r="AH13" s="83"/>
      <c r="AI13" s="85"/>
      <c r="AJ13" s="86"/>
      <c r="AK13" s="87"/>
      <c r="AL13" s="88"/>
      <c r="AM13" s="89"/>
      <c r="AN13" s="2294"/>
      <c r="AO13" s="55" t="e">
        <f t="shared" ca="1" si="8"/>
        <v>#REF!</v>
      </c>
      <c r="AP13" s="2295">
        <f t="shared" si="9"/>
        <v>0</v>
      </c>
      <c r="AQ13" s="55">
        <f t="shared" si="10"/>
        <v>0</v>
      </c>
      <c r="AR13" s="55">
        <f t="shared" si="11"/>
        <v>0</v>
      </c>
      <c r="AS13" s="2264"/>
      <c r="AT13" s="2264"/>
      <c r="AU13" s="2264"/>
      <c r="AV13" s="2264"/>
      <c r="AW13" s="2264"/>
      <c r="AX13" s="2264"/>
      <c r="AY13" s="2264"/>
      <c r="AZ13" s="2264"/>
      <c r="BA13" s="2264"/>
      <c r="BB13" s="2264"/>
      <c r="BC13" s="2264"/>
      <c r="BD13" s="2264"/>
      <c r="BE13" s="2264"/>
      <c r="BF13" s="2264"/>
      <c r="BG13" s="2264"/>
      <c r="BH13" s="2264"/>
      <c r="BI13" s="2264"/>
      <c r="BJ13" s="2264"/>
      <c r="BK13" s="2264"/>
      <c r="BL13" s="2264"/>
      <c r="BM13" s="2264"/>
      <c r="BN13" s="2264"/>
      <c r="BO13" s="2264"/>
    </row>
    <row r="14" spans="1:67" s="2019" customFormat="1" ht="14.25">
      <c r="A14" s="2296" t="s">
        <v>2006</v>
      </c>
      <c r="B14" s="2292" t="s">
        <v>2007</v>
      </c>
      <c r="C14" s="2297" t="s">
        <v>2006</v>
      </c>
      <c r="D14" s="1050"/>
      <c r="E14" s="1047"/>
      <c r="F14" s="72"/>
      <c r="G14" s="73"/>
      <c r="H14" s="1249"/>
      <c r="I14" s="1249"/>
      <c r="J14" s="1249"/>
      <c r="K14" s="1250">
        <f>SUMIF('数据-汇总表'!C$19:C$33,A14,'数据-汇总表'!E$19:E$33)</f>
        <v>0</v>
      </c>
      <c r="L14" s="91"/>
      <c r="M14" s="75">
        <f t="shared" si="0"/>
        <v>0</v>
      </c>
      <c r="N14" s="92"/>
      <c r="O14" s="75">
        <f t="shared" si="3"/>
        <v>0</v>
      </c>
      <c r="P14" s="76">
        <f t="shared" si="4"/>
        <v>0</v>
      </c>
      <c r="Q14" s="1253"/>
      <c r="R14" s="77"/>
      <c r="S14" s="54"/>
      <c r="T14" s="1440"/>
      <c r="U14" s="722"/>
      <c r="V14" s="1255"/>
      <c r="W14" s="1255"/>
      <c r="X14" s="1256"/>
      <c r="Y14" s="1257"/>
      <c r="Z14" s="1258"/>
      <c r="AA14" s="1259"/>
      <c r="AB14" s="1259"/>
      <c r="AC14" s="1260"/>
      <c r="AD14" s="1256"/>
      <c r="AE14" s="1261"/>
      <c r="AF14" s="55"/>
      <c r="AG14" s="147"/>
      <c r="AH14" s="1261"/>
      <c r="AI14" s="1804"/>
      <c r="AJ14" s="772"/>
      <c r="AK14" s="1262"/>
      <c r="AL14" s="1263"/>
      <c r="AM14" s="1264"/>
      <c r="AN14" s="2259"/>
      <c r="AO14" s="2264"/>
      <c r="AP14" s="2264"/>
      <c r="AQ14" s="2264"/>
      <c r="AR14" s="2264"/>
      <c r="AS14" s="2264"/>
      <c r="AT14" s="2264"/>
      <c r="AU14" s="2264"/>
      <c r="AV14" s="2264"/>
      <c r="AW14" s="2264"/>
      <c r="AX14" s="2264"/>
      <c r="AY14" s="2264"/>
      <c r="AZ14" s="2264"/>
      <c r="BA14" s="2264"/>
      <c r="BB14" s="2264"/>
      <c r="BC14" s="2264"/>
      <c r="BD14" s="2264"/>
      <c r="BE14" s="2264"/>
      <c r="BF14" s="2264"/>
      <c r="BG14" s="2264"/>
      <c r="BH14" s="2264"/>
      <c r="BI14" s="2264"/>
      <c r="BJ14" s="2264"/>
      <c r="BK14" s="2264"/>
      <c r="BL14" s="2264"/>
      <c r="BM14" s="2264"/>
      <c r="BN14" s="2264"/>
      <c r="BO14" s="2264"/>
    </row>
    <row r="15" spans="1:67" s="2019" customFormat="1" ht="27">
      <c r="A15" s="2296" t="s">
        <v>2008</v>
      </c>
      <c r="B15" s="2292" t="s">
        <v>2007</v>
      </c>
      <c r="C15" s="2297" t="s">
        <v>2009</v>
      </c>
      <c r="D15" s="1050"/>
      <c r="E15" s="1047"/>
      <c r="F15" s="72"/>
      <c r="G15" s="73"/>
      <c r="H15" s="1249"/>
      <c r="I15" s="1249"/>
      <c r="J15" s="1249"/>
      <c r="K15" s="1250">
        <f>SUMIF('数据-汇总表'!C$19:C$33,A15,'数据-汇总表'!E$19:E$33)</f>
        <v>0</v>
      </c>
      <c r="L15" s="1251"/>
      <c r="M15" s="75"/>
      <c r="N15" s="1252"/>
      <c r="O15" s="75"/>
      <c r="P15" s="76"/>
      <c r="Q15" s="1253"/>
      <c r="R15" s="77"/>
      <c r="S15" s="54"/>
      <c r="T15" s="1440"/>
      <c r="U15" s="722"/>
      <c r="V15" s="1255"/>
      <c r="W15" s="1255"/>
      <c r="X15" s="1256"/>
      <c r="Y15" s="1257"/>
      <c r="Z15" s="1258"/>
      <c r="AA15" s="1259"/>
      <c r="AB15" s="1259"/>
      <c r="AC15" s="1260"/>
      <c r="AD15" s="1256"/>
      <c r="AE15" s="1261"/>
      <c r="AF15" s="55"/>
      <c r="AG15" s="147"/>
      <c r="AH15" s="1261"/>
      <c r="AI15" s="1804"/>
      <c r="AJ15" s="772"/>
      <c r="AK15" s="1262"/>
      <c r="AL15" s="1263"/>
      <c r="AM15" s="1264"/>
      <c r="AN15" s="2259"/>
      <c r="AO15" s="2264"/>
      <c r="AP15" s="2264"/>
      <c r="AQ15" s="2264"/>
      <c r="AR15" s="2264"/>
      <c r="AS15" s="2264"/>
      <c r="AT15" s="2264"/>
      <c r="AU15" s="2264"/>
      <c r="AV15" s="2264"/>
      <c r="AW15" s="2264"/>
      <c r="AX15" s="2264"/>
      <c r="AY15" s="2264"/>
      <c r="AZ15" s="2264"/>
      <c r="BA15" s="2264"/>
      <c r="BB15" s="2264"/>
      <c r="BC15" s="2264"/>
      <c r="BD15" s="2264"/>
      <c r="BE15" s="2264"/>
      <c r="BF15" s="2264"/>
      <c r="BG15" s="2264"/>
      <c r="BH15" s="2264"/>
      <c r="BI15" s="2264"/>
      <c r="BJ15" s="2264"/>
      <c r="BK15" s="2264"/>
      <c r="BL15" s="2264"/>
      <c r="BM15" s="2264"/>
      <c r="BN15" s="2264"/>
      <c r="BO15" s="2264"/>
    </row>
    <row r="16" spans="1:67" s="2019" customFormat="1" ht="15.75" thickBot="1">
      <c r="A16" s="2298" t="s">
        <v>2010</v>
      </c>
      <c r="B16" s="97"/>
      <c r="C16" s="1004"/>
      <c r="D16" s="2299"/>
      <c r="E16" s="97"/>
      <c r="F16" s="97"/>
      <c r="G16" s="98">
        <f>ROUND(SUMPRODUCT(G6:G13,K6:K13)/SUMPRODUCT((G6:G13&gt;0)*(K6:K13)),3)</f>
        <v>0.99399999999999999</v>
      </c>
      <c r="H16" s="99">
        <f>ROUND(SUMPRODUCT(H6:H13,K6:K13)/SUMPRODUCT((H6:H13&gt;0)*(K6:K13)),3)</f>
        <v>4.2000000000000003E-2</v>
      </c>
      <c r="I16" s="100"/>
      <c r="J16" s="100"/>
      <c r="K16" s="101">
        <f>SUM(K6:K15)</f>
        <v>43490.38</v>
      </c>
      <c r="L16" s="102">
        <f>ROUND(M16*10000/SUM(K6:K14),0)</f>
        <v>3000</v>
      </c>
      <c r="M16" s="102">
        <f>SUM(M6:M14)</f>
        <v>13047</v>
      </c>
      <c r="N16" s="103">
        <f>ROUND(SUMPRODUCT(M6:M14,N6:N14)/M16,3)</f>
        <v>0.65</v>
      </c>
      <c r="O16" s="102">
        <f>SUM(O6:O14)</f>
        <v>8481</v>
      </c>
      <c r="P16" s="102">
        <f>SUM(P6:P14)</f>
        <v>4566</v>
      </c>
      <c r="Q16" s="104">
        <f>ROUND(SUMPRODUCT(Q6:Q13,K6:K13)/SUMPRODUCT((Q6:Q13&gt;0)*(K6:K13)),2)</f>
        <v>0.12</v>
      </c>
      <c r="R16" s="1254">
        <f ca="1">SUM(R6:R13)</f>
        <v>22468.9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59"/>
      <c r="AO16" s="2264"/>
      <c r="AP16" s="2264"/>
      <c r="AQ16" s="2264"/>
      <c r="AR16" s="2264"/>
      <c r="AS16" s="2264"/>
      <c r="AT16" s="2264"/>
      <c r="AU16" s="2264"/>
      <c r="AV16" s="2264"/>
      <c r="AW16" s="2264"/>
      <c r="AX16" s="2264"/>
      <c r="AY16" s="2264"/>
      <c r="AZ16" s="2264"/>
      <c r="BA16" s="2264"/>
      <c r="BB16" s="2264"/>
      <c r="BC16" s="2264"/>
      <c r="BD16" s="2264"/>
      <c r="BE16" s="2264"/>
      <c r="BF16" s="2264"/>
      <c r="BG16" s="2264"/>
      <c r="BH16" s="2264"/>
      <c r="BI16" s="2264"/>
      <c r="BJ16" s="2264"/>
      <c r="BK16" s="2264"/>
      <c r="BL16" s="2264"/>
      <c r="BM16" s="2264"/>
      <c r="BN16" s="2264"/>
      <c r="BO16" s="2264"/>
    </row>
    <row r="17" spans="1:67" ht="13.5" thickBot="1">
      <c r="A17" s="2300"/>
      <c r="B17" s="731"/>
      <c r="C17" s="1578"/>
      <c r="D17" s="2258"/>
      <c r="E17" s="2258"/>
      <c r="F17" s="1578"/>
      <c r="G17" s="1578"/>
      <c r="H17" s="1578"/>
      <c r="I17" s="1578"/>
      <c r="J17" s="1578"/>
      <c r="K17" s="168"/>
      <c r="L17" s="16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2011</v>
      </c>
      <c r="B18" s="2265"/>
      <c r="C18" s="2262"/>
      <c r="D18" s="2263"/>
      <c r="E18" s="2262"/>
      <c r="F18" s="2262"/>
      <c r="G18" s="2262"/>
      <c r="H18" s="2262"/>
      <c r="I18" s="2262"/>
      <c r="J18" s="2262"/>
      <c r="K18" s="168"/>
      <c r="L18" s="16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1" t="s">
        <v>2012</v>
      </c>
      <c r="B19" s="112">
        <v>0</v>
      </c>
      <c r="C19" s="2262" t="s">
        <v>2013</v>
      </c>
      <c r="D19" s="2263"/>
      <c r="E19" s="2262"/>
      <c r="F19" s="2262"/>
      <c r="G19" s="2262"/>
      <c r="H19" s="2262"/>
      <c r="I19" s="2262"/>
      <c r="J19" s="2262"/>
      <c r="K19" s="168"/>
      <c r="L19" s="16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02" t="s">
        <v>2014</v>
      </c>
      <c r="B20" s="113">
        <v>2</v>
      </c>
      <c r="C20" s="2262" t="s">
        <v>2015</v>
      </c>
      <c r="D20" s="2263"/>
      <c r="E20" s="2262"/>
      <c r="F20" s="2262"/>
      <c r="G20" s="2262"/>
      <c r="H20" s="2262"/>
      <c r="I20" s="2262"/>
      <c r="J20" s="2262"/>
      <c r="K20" s="168"/>
      <c r="L20" s="16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03" t="s">
        <v>2016</v>
      </c>
      <c r="B21" s="113">
        <f>B20*N16</f>
        <v>1.3</v>
      </c>
      <c r="C21" s="2262"/>
      <c r="D21" s="2263"/>
      <c r="E21" s="2262"/>
      <c r="F21" s="2262"/>
      <c r="G21" s="2262"/>
      <c r="H21" s="2262"/>
      <c r="I21" s="2262"/>
      <c r="J21" s="2262"/>
      <c r="K21" s="168"/>
      <c r="L21" s="16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02" t="s">
        <v>2017</v>
      </c>
      <c r="B22" s="114">
        <f>B19+B20</f>
        <v>2</v>
      </c>
      <c r="C22" s="2262"/>
      <c r="D22" s="2263"/>
      <c r="E22" s="2262"/>
      <c r="F22" s="2262"/>
      <c r="G22" s="2262"/>
      <c r="H22" s="2262"/>
      <c r="I22" s="2262"/>
      <c r="J22" s="2262"/>
      <c r="K22" s="168"/>
      <c r="L22" s="16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03" t="s">
        <v>2018</v>
      </c>
      <c r="B23" s="114">
        <f>B19+B21</f>
        <v>1.3</v>
      </c>
      <c r="C23" s="2262"/>
      <c r="D23" s="2263"/>
      <c r="E23" s="2262"/>
      <c r="F23" s="2262"/>
      <c r="G23" s="2262"/>
      <c r="H23" s="2262"/>
      <c r="I23" s="2262"/>
      <c r="J23" s="2262"/>
      <c r="K23" s="168"/>
      <c r="L23" s="16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04" t="s">
        <v>2019</v>
      </c>
      <c r="B24" s="115">
        <f>B20-B21</f>
        <v>0.7</v>
      </c>
      <c r="C24" s="2262"/>
      <c r="D24" s="2263"/>
      <c r="E24" s="2262"/>
      <c r="F24" s="2262"/>
      <c r="G24" s="2262"/>
      <c r="H24" s="2262"/>
      <c r="I24" s="2262"/>
      <c r="J24" s="2262"/>
      <c r="K24" s="168"/>
      <c r="L24" s="16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17"/>
      <c r="B25" s="2265"/>
      <c r="C25" s="2262"/>
      <c r="D25" s="2263"/>
      <c r="E25" s="2262"/>
      <c r="F25" s="2262"/>
      <c r="G25" s="2262"/>
      <c r="H25" s="2262"/>
      <c r="I25" s="2262"/>
      <c r="J25" s="2262"/>
      <c r="K25" s="168"/>
      <c r="L25" s="16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1" t="s">
        <v>2020</v>
      </c>
      <c r="B26" s="2305" t="s">
        <v>2021</v>
      </c>
      <c r="C26" s="2306" t="s">
        <v>2022</v>
      </c>
      <c r="D26" s="2263"/>
      <c r="E26" s="2262"/>
      <c r="F26" s="2262"/>
      <c r="G26" s="2262"/>
      <c r="H26" s="2262"/>
      <c r="I26" s="2262"/>
      <c r="J26" s="2262"/>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09" customFormat="1" ht="27.75">
      <c r="A27" s="2307" t="s">
        <v>2023</v>
      </c>
      <c r="B27" s="116">
        <v>150</v>
      </c>
      <c r="C27" s="1753" t="s">
        <v>2024</v>
      </c>
      <c r="D27" s="2308"/>
      <c r="E27" s="1424"/>
      <c r="F27" s="1424"/>
      <c r="G27" s="2262"/>
      <c r="H27" s="2262"/>
      <c r="I27" s="2262"/>
      <c r="J27" s="2262"/>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09" customFormat="1" ht="27.75">
      <c r="A28" s="2310" t="s">
        <v>2025</v>
      </c>
      <c r="B28" s="119">
        <v>190</v>
      </c>
      <c r="C28" s="2311"/>
      <c r="D28" s="2308"/>
      <c r="E28" s="1424"/>
      <c r="F28" s="1424"/>
      <c r="G28" s="2262"/>
      <c r="H28" s="2262"/>
      <c r="I28" s="2262"/>
      <c r="J28" s="2262"/>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09" customFormat="1" ht="28.5" thickBot="1">
      <c r="A29" s="2312" t="s">
        <v>2026</v>
      </c>
      <c r="B29" s="121">
        <f ca="1">成本法!C9+成本法!C10</f>
        <v>725</v>
      </c>
      <c r="C29" s="1753" t="s">
        <v>2027</v>
      </c>
      <c r="D29" s="2308"/>
      <c r="E29" s="1424"/>
      <c r="F29" s="1424"/>
      <c r="G29" s="2262"/>
      <c r="H29" s="2262"/>
      <c r="I29" s="2262"/>
      <c r="J29" s="2262"/>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09" customFormat="1" ht="27">
      <c r="A30" s="2313" t="s">
        <v>2028</v>
      </c>
      <c r="B30" s="723">
        <v>200</v>
      </c>
      <c r="C30" s="2311"/>
      <c r="D30" s="2308"/>
      <c r="E30" s="1424"/>
      <c r="F30" s="1424"/>
      <c r="G30" s="2262"/>
      <c r="H30" s="2262"/>
      <c r="I30" s="2262"/>
      <c r="J30" s="2262"/>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09" customFormat="1" ht="27">
      <c r="A31" s="2310" t="s">
        <v>2029</v>
      </c>
      <c r="B31" s="120">
        <f>B30-B32</f>
        <v>70</v>
      </c>
      <c r="C31" s="1753"/>
      <c r="D31" s="2308"/>
      <c r="E31" s="1424"/>
      <c r="F31" s="1424"/>
      <c r="G31" s="2262"/>
      <c r="H31" s="2262"/>
      <c r="I31" s="2262"/>
      <c r="J31" s="2262"/>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09" customFormat="1" ht="27.75" thickBot="1">
      <c r="A32" s="2314" t="s">
        <v>2030</v>
      </c>
      <c r="B32" s="724">
        <v>130</v>
      </c>
      <c r="C32" s="2311"/>
      <c r="D32" s="2263"/>
      <c r="E32" s="2262"/>
      <c r="F32" s="2262"/>
      <c r="G32" s="2262"/>
      <c r="H32" s="2262"/>
      <c r="I32" s="2262"/>
      <c r="J32" s="2262"/>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09" customFormat="1" ht="14.25">
      <c r="A33" s="2307" t="s">
        <v>2031</v>
      </c>
      <c r="B33" s="725">
        <v>0.05</v>
      </c>
      <c r="C33" s="1752" t="s">
        <v>2032</v>
      </c>
      <c r="D33" s="2263"/>
      <c r="E33" s="2262"/>
      <c r="F33" s="2262"/>
      <c r="G33" s="2262"/>
      <c r="H33" s="2262"/>
      <c r="I33" s="2262"/>
      <c r="J33" s="2262"/>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09" customFormat="1" ht="14.25">
      <c r="A34" s="2310" t="s">
        <v>2033</v>
      </c>
      <c r="B34" s="122">
        <v>0.05</v>
      </c>
      <c r="C34" s="1752" t="s">
        <v>2034</v>
      </c>
      <c r="D34" s="2263" t="s">
        <v>2035</v>
      </c>
      <c r="E34" s="731"/>
      <c r="F34" s="2262"/>
      <c r="G34" s="2262"/>
      <c r="H34" s="2262"/>
      <c r="I34" s="2262"/>
      <c r="J34" s="2262"/>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09" customFormat="1" ht="14.25">
      <c r="A35" s="2310" t="s">
        <v>2036</v>
      </c>
      <c r="B35" s="119">
        <v>200</v>
      </c>
      <c r="C35" s="1752" t="s">
        <v>2037</v>
      </c>
      <c r="D35" s="2308"/>
      <c r="E35" s="1424"/>
      <c r="F35" s="1424"/>
      <c r="G35" s="2262"/>
      <c r="H35" s="2262"/>
      <c r="I35" s="2262"/>
      <c r="J35" s="2262"/>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2" t="s">
        <v>2038</v>
      </c>
      <c r="B36" s="123">
        <v>1.4999999999999999E-2</v>
      </c>
      <c r="C36" s="1752" t="s">
        <v>2039</v>
      </c>
      <c r="D36" s="2263"/>
      <c r="E36" s="2262"/>
      <c r="F36" s="2262"/>
      <c r="G36" s="2262"/>
      <c r="H36" s="2262"/>
      <c r="I36" s="2262"/>
      <c r="J36" s="2262"/>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13" t="s">
        <v>2040</v>
      </c>
      <c r="B37" s="124">
        <v>0.02</v>
      </c>
      <c r="C37" s="1752" t="s">
        <v>2041</v>
      </c>
      <c r="D37" s="2263"/>
      <c r="E37" s="2262"/>
      <c r="F37" s="2262"/>
      <c r="G37" s="2262"/>
      <c r="H37" s="2262"/>
      <c r="I37" s="2262"/>
      <c r="J37" s="2262"/>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0" t="s">
        <v>2042</v>
      </c>
      <c r="B38" s="122">
        <v>0.02</v>
      </c>
      <c r="C38" s="1752" t="s">
        <v>2041</v>
      </c>
      <c r="D38" s="2263"/>
      <c r="E38" s="2262"/>
      <c r="F38" s="2262"/>
      <c r="G38" s="2262"/>
      <c r="H38" s="2262"/>
      <c r="I38" s="2262"/>
      <c r="J38" s="2262"/>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14" t="s">
        <v>2043</v>
      </c>
      <c r="B39" s="361">
        <f ca="1">存贷款利率!I1</f>
        <v>1.4999999999999999E-2</v>
      </c>
      <c r="C39" s="1752"/>
      <c r="D39" s="2263"/>
      <c r="E39" s="2262"/>
      <c r="F39" s="2262"/>
      <c r="G39" s="2262"/>
      <c r="H39" s="2262"/>
      <c r="I39" s="2262"/>
      <c r="J39" s="2262"/>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14" t="s">
        <v>2044</v>
      </c>
      <c r="B40" s="1299">
        <f ca="1">存贷款利率!G1</f>
        <v>4.7500000000000001E-2</v>
      </c>
      <c r="C40" s="1752" t="s">
        <v>2045</v>
      </c>
      <c r="D40" s="1578"/>
      <c r="E40" s="2263"/>
      <c r="F40" s="2262"/>
      <c r="G40" s="2262"/>
      <c r="H40" s="2262"/>
      <c r="I40" s="2262"/>
      <c r="J40" s="2262"/>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07" t="s">
        <v>2046</v>
      </c>
      <c r="B41" s="125">
        <f>B42+B43</f>
        <v>5.5000000000000007E-2</v>
      </c>
      <c r="C41" s="1753"/>
      <c r="D41" s="1578"/>
      <c r="E41" s="2263"/>
      <c r="F41" s="2262"/>
      <c r="G41" s="2262"/>
      <c r="H41" s="2262"/>
      <c r="I41" s="2262"/>
      <c r="J41" s="2262"/>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15" t="s">
        <v>2047</v>
      </c>
      <c r="B42" s="126">
        <v>0.05</v>
      </c>
      <c r="C42" s="2316">
        <f>IF(B2&lt;DATE(2016,5,1),0,B42)</f>
        <v>0.05</v>
      </c>
      <c r="D42" s="2263"/>
      <c r="E42" s="2262"/>
      <c r="F42" s="2262"/>
      <c r="G42" s="2262"/>
      <c r="H42" s="2262"/>
      <c r="I42" s="2262"/>
      <c r="J42" s="2262"/>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15" t="s">
        <v>2048</v>
      </c>
      <c r="B43" s="127">
        <f>B42*(B44+B45+B46)+B47</f>
        <v>5.000000000000001E-3</v>
      </c>
      <c r="C43" s="1753"/>
      <c r="D43" s="2263"/>
      <c r="E43" s="2262"/>
      <c r="F43" s="2262"/>
      <c r="G43" s="2262"/>
      <c r="H43" s="2262"/>
      <c r="I43" s="2262"/>
      <c r="J43" s="2262"/>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17" t="s">
        <v>2049</v>
      </c>
      <c r="B44" s="128">
        <v>0.05</v>
      </c>
      <c r="C44" s="1752" t="s">
        <v>2050</v>
      </c>
      <c r="D44" s="2263"/>
      <c r="E44" s="2262"/>
      <c r="F44" s="2262"/>
      <c r="G44" s="2262"/>
      <c r="H44" s="2262"/>
      <c r="I44" s="2262"/>
      <c r="J44" s="2262"/>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17" t="s">
        <v>2051</v>
      </c>
      <c r="B45" s="126">
        <v>0.03</v>
      </c>
      <c r="C45" s="1753" t="s">
        <v>2052</v>
      </c>
      <c r="D45" s="2263"/>
      <c r="E45" s="2262"/>
      <c r="F45" s="2262"/>
      <c r="G45" s="2262"/>
      <c r="H45" s="2262"/>
      <c r="I45" s="2262"/>
      <c r="J45" s="2262"/>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17" t="s">
        <v>2053</v>
      </c>
      <c r="B46" s="126">
        <v>0.02</v>
      </c>
      <c r="C46" s="1753" t="s">
        <v>2054</v>
      </c>
      <c r="D46" s="2263"/>
      <c r="E46" s="2262"/>
      <c r="F46" s="2262"/>
      <c r="G46" s="2262"/>
      <c r="H46" s="2262"/>
      <c r="I46" s="2262"/>
      <c r="J46" s="2262"/>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18" t="s">
        <v>2055</v>
      </c>
      <c r="B47" s="129"/>
      <c r="C47" s="1753" t="s">
        <v>2056</v>
      </c>
      <c r="D47" s="2263"/>
      <c r="E47" s="2262"/>
      <c r="F47" s="2262"/>
      <c r="G47" s="2262"/>
      <c r="H47" s="2262"/>
      <c r="I47" s="2262"/>
      <c r="J47" s="2262"/>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19" t="s">
        <v>2057</v>
      </c>
      <c r="B48" s="130">
        <v>0.03</v>
      </c>
      <c r="C48" s="1760" t="s">
        <v>2058</v>
      </c>
      <c r="D48" s="2263"/>
      <c r="E48" s="2262"/>
      <c r="F48" s="2262"/>
      <c r="G48" s="2262"/>
      <c r="H48" s="2262"/>
      <c r="I48" s="2262"/>
      <c r="J48" s="2262"/>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14" t="s">
        <v>2059</v>
      </c>
      <c r="B49" s="126">
        <v>5.0000000000000001E-4</v>
      </c>
      <c r="C49" s="1760" t="s">
        <v>2060</v>
      </c>
      <c r="D49" s="2263"/>
      <c r="E49" s="2262"/>
      <c r="F49" s="2262"/>
      <c r="G49" s="2262"/>
      <c r="H49" s="2262"/>
      <c r="I49" s="2262"/>
      <c r="J49" s="2262"/>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0" t="s">
        <v>2061</v>
      </c>
      <c r="B50" s="131">
        <v>1.2E-2</v>
      </c>
      <c r="C50" s="1424"/>
      <c r="D50" s="2263"/>
      <c r="E50" s="2262"/>
      <c r="F50" s="2262"/>
      <c r="G50" s="2262"/>
      <c r="H50" s="2262"/>
      <c r="I50" s="2262"/>
      <c r="J50" s="2262"/>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12" t="s">
        <v>2062</v>
      </c>
      <c r="B51" s="132">
        <v>0.12</v>
      </c>
      <c r="C51" s="1424"/>
      <c r="D51" s="2263"/>
      <c r="E51" s="2262"/>
      <c r="F51" s="2262"/>
      <c r="G51" s="2262"/>
      <c r="H51" s="2262"/>
      <c r="I51" s="2262"/>
      <c r="J51" s="2262"/>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0" t="s">
        <v>2063</v>
      </c>
      <c r="B52" s="133">
        <f>SUMIF(A54:A63,B53,B54:B63)</f>
        <v>1.5</v>
      </c>
      <c r="C52" s="1424"/>
      <c r="D52" s="2263"/>
      <c r="E52" s="2262"/>
      <c r="F52" s="2262"/>
      <c r="G52" s="2262"/>
      <c r="H52" s="2262"/>
      <c r="I52" s="2262"/>
      <c r="J52" s="2262"/>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0" t="s">
        <v>2064</v>
      </c>
      <c r="B53" s="2321" t="s">
        <v>56</v>
      </c>
      <c r="C53" s="1424" t="s">
        <v>2065</v>
      </c>
      <c r="D53" s="2322" t="s">
        <v>2066</v>
      </c>
      <c r="E53" s="2262"/>
      <c r="F53" s="2262"/>
      <c r="G53" s="2262"/>
      <c r="H53" s="2262"/>
      <c r="I53" s="2262"/>
      <c r="J53" s="2262"/>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23" t="s">
        <v>2067</v>
      </c>
      <c r="B54" s="84"/>
      <c r="C54" s="1424">
        <v>30</v>
      </c>
      <c r="D54" s="2263"/>
      <c r="E54" s="2262"/>
      <c r="F54" s="2262"/>
      <c r="G54" s="2262"/>
      <c r="H54" s="2262"/>
      <c r="I54" s="2262"/>
      <c r="J54" s="2262"/>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23" t="s">
        <v>2068</v>
      </c>
      <c r="B55" s="84"/>
      <c r="C55" s="1424">
        <v>24</v>
      </c>
      <c r="D55" s="2263"/>
      <c r="E55" s="2262"/>
      <c r="F55" s="2262"/>
      <c r="G55" s="2262"/>
      <c r="H55" s="2262"/>
      <c r="I55" s="2324"/>
      <c r="J55" s="2262"/>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23" t="s">
        <v>2069</v>
      </c>
      <c r="B56" s="84"/>
      <c r="C56" s="1424">
        <v>18</v>
      </c>
      <c r="D56" s="2263"/>
      <c r="E56" s="2262"/>
      <c r="F56" s="2262"/>
      <c r="G56" s="2262"/>
      <c r="H56" s="2262"/>
      <c r="I56" s="2262"/>
      <c r="J56" s="2262"/>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23" t="s">
        <v>2070</v>
      </c>
      <c r="B57" s="84"/>
      <c r="C57" s="1424">
        <v>12</v>
      </c>
      <c r="D57" s="2263"/>
      <c r="E57" s="2262"/>
      <c r="F57" s="2262"/>
      <c r="G57" s="2262"/>
      <c r="H57" s="2262"/>
      <c r="I57" s="2262"/>
      <c r="J57" s="2262"/>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23" t="s">
        <v>2071</v>
      </c>
      <c r="B58" s="84"/>
      <c r="C58" s="1424">
        <v>3</v>
      </c>
      <c r="D58" s="2263"/>
      <c r="E58" s="2262"/>
      <c r="F58" s="2262"/>
      <c r="G58" s="2262"/>
      <c r="H58" s="2262"/>
      <c r="I58" s="2262"/>
      <c r="J58" s="2262"/>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23" t="s">
        <v>2072</v>
      </c>
      <c r="B59" s="84">
        <v>1.5</v>
      </c>
      <c r="C59" s="1424">
        <v>1.5</v>
      </c>
      <c r="D59" s="2263"/>
      <c r="E59" s="2262"/>
      <c r="F59" s="2262"/>
      <c r="G59" s="2262"/>
      <c r="H59" s="2262"/>
      <c r="I59" s="2262"/>
      <c r="J59" s="2262"/>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23" t="s">
        <v>2073</v>
      </c>
      <c r="B60" s="84"/>
      <c r="C60" s="2262"/>
      <c r="D60" s="2263"/>
      <c r="E60" s="2262"/>
      <c r="F60" s="2262"/>
      <c r="G60" s="2262"/>
      <c r="H60" s="2262"/>
      <c r="I60" s="2262"/>
      <c r="J60" s="2262"/>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23" t="s">
        <v>2074</v>
      </c>
      <c r="B61" s="84"/>
      <c r="C61" s="2262"/>
      <c r="D61" s="2263"/>
      <c r="E61" s="2262"/>
      <c r="F61" s="2262"/>
      <c r="G61" s="2262"/>
      <c r="H61" s="2262"/>
      <c r="I61" s="2262"/>
      <c r="J61" s="2262"/>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23" t="s">
        <v>2075</v>
      </c>
      <c r="B62" s="84"/>
      <c r="C62" s="2262"/>
      <c r="D62" s="2263"/>
      <c r="E62" s="2262"/>
      <c r="F62" s="2262"/>
      <c r="G62" s="2262"/>
      <c r="H62" s="2262"/>
      <c r="I62" s="2262"/>
      <c r="J62" s="2262"/>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25" t="s">
        <v>2076</v>
      </c>
      <c r="B63" s="134"/>
      <c r="C63" s="2262"/>
      <c r="D63" s="2263"/>
      <c r="E63" s="2262"/>
      <c r="F63" s="2262"/>
      <c r="G63" s="2262"/>
      <c r="H63" s="2262"/>
      <c r="I63" s="2262"/>
      <c r="J63" s="2262"/>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3" customFormat="1">
      <c r="A64" s="2326"/>
      <c r="D64" s="2327"/>
      <c r="K64" s="797"/>
      <c r="L64" s="797"/>
    </row>
    <row r="65" spans="1:12" s="963" customFormat="1">
      <c r="A65" s="2326"/>
      <c r="D65" s="2327"/>
      <c r="K65" s="797"/>
      <c r="L65" s="797"/>
    </row>
    <row r="66" spans="1:12" s="963" customFormat="1">
      <c r="A66" s="2326"/>
      <c r="D66" s="2327"/>
      <c r="K66" s="797"/>
      <c r="L66" s="797"/>
    </row>
    <row r="67" spans="1:12" s="963" customFormat="1">
      <c r="A67" s="2326"/>
      <c r="D67" s="2327"/>
      <c r="K67" s="797"/>
      <c r="L67" s="797"/>
    </row>
    <row r="68" spans="1:12" s="963" customFormat="1">
      <c r="A68" s="2326"/>
      <c r="D68" s="2327"/>
      <c r="K68" s="797"/>
      <c r="L68" s="797"/>
    </row>
    <row r="69" spans="1:12" s="963" customFormat="1">
      <c r="A69" s="2326"/>
      <c r="D69" s="2327"/>
      <c r="K69" s="797"/>
      <c r="L69" s="797"/>
    </row>
    <row r="70" spans="1:12" s="963" customFormat="1">
      <c r="A70" s="2326"/>
      <c r="D70" s="2327"/>
      <c r="K70" s="797"/>
      <c r="L70" s="797"/>
    </row>
    <row r="71" spans="1:12" s="963" customFormat="1">
      <c r="A71" s="2326"/>
      <c r="D71" s="2327"/>
      <c r="K71" s="797"/>
      <c r="L71" s="797"/>
    </row>
    <row r="72" spans="1:12" s="963" customFormat="1">
      <c r="A72" s="2326"/>
      <c r="D72" s="2327"/>
      <c r="K72" s="797"/>
      <c r="L72" s="797"/>
    </row>
    <row r="73" spans="1:12" s="963" customFormat="1">
      <c r="A73" s="2326"/>
      <c r="D73" s="2327"/>
      <c r="K73" s="797"/>
      <c r="L73" s="797"/>
    </row>
    <row r="74" spans="1:12" s="963" customFormat="1">
      <c r="A74" s="2326"/>
      <c r="D74" s="2327"/>
      <c r="K74" s="797"/>
      <c r="L74" s="797"/>
    </row>
    <row r="75" spans="1:12" s="963" customFormat="1">
      <c r="A75" s="2326"/>
      <c r="D75" s="2327"/>
      <c r="K75" s="797"/>
      <c r="L75" s="797"/>
    </row>
    <row r="76" spans="1:12" s="963" customFormat="1">
      <c r="A76" s="2326"/>
      <c r="D76" s="2327"/>
      <c r="K76" s="797"/>
      <c r="L76" s="797"/>
    </row>
    <row r="77" spans="1:12" s="963" customFormat="1">
      <c r="A77" s="2326"/>
      <c r="D77" s="2327"/>
      <c r="K77" s="797"/>
      <c r="L77" s="797"/>
    </row>
    <row r="78" spans="1:12" s="963" customFormat="1">
      <c r="A78" s="2326"/>
      <c r="D78" s="2327"/>
      <c r="K78" s="797"/>
      <c r="L78" s="797"/>
    </row>
    <row r="79" spans="1:12" s="963" customFormat="1">
      <c r="A79" s="2326"/>
      <c r="D79" s="2327"/>
      <c r="K79" s="797"/>
      <c r="L79" s="797"/>
    </row>
    <row r="80" spans="1:12" s="963" customFormat="1">
      <c r="A80" s="2326"/>
      <c r="D80" s="2327"/>
      <c r="K80" s="797"/>
      <c r="L80" s="797"/>
    </row>
    <row r="81" spans="1:12" s="963" customFormat="1">
      <c r="A81" s="2326"/>
      <c r="D81" s="2327"/>
      <c r="K81" s="797"/>
      <c r="L81" s="797"/>
    </row>
    <row r="82" spans="1:12" s="963" customFormat="1">
      <c r="A82" s="2326"/>
      <c r="D82" s="2327"/>
      <c r="K82" s="797"/>
      <c r="L82" s="797"/>
    </row>
    <row r="83" spans="1:12" s="963" customFormat="1">
      <c r="A83" s="2326"/>
      <c r="D83" s="2327"/>
      <c r="K83" s="797"/>
      <c r="L83" s="797"/>
    </row>
    <row r="84" spans="1:12" s="963" customFormat="1">
      <c r="A84" s="2326"/>
      <c r="D84" s="2327"/>
      <c r="K84" s="797"/>
      <c r="L84" s="797"/>
    </row>
    <row r="85" spans="1:12" s="963" customFormat="1">
      <c r="A85" s="2326"/>
      <c r="D85" s="2327"/>
      <c r="K85" s="797"/>
      <c r="L85" s="797"/>
    </row>
    <row r="86" spans="1:12" s="963" customFormat="1">
      <c r="A86" s="2326"/>
      <c r="D86" s="2327"/>
      <c r="K86" s="797"/>
      <c r="L86" s="797"/>
    </row>
    <row r="87" spans="1:12" s="963" customFormat="1">
      <c r="A87" s="2326"/>
      <c r="D87" s="2327"/>
      <c r="K87" s="797"/>
      <c r="L87" s="797"/>
    </row>
    <row r="88" spans="1:12" s="963" customFormat="1">
      <c r="A88" s="2326"/>
      <c r="D88" s="2327"/>
      <c r="K88" s="797"/>
      <c r="L88" s="797"/>
    </row>
    <row r="89" spans="1:12" s="963" customFormat="1">
      <c r="A89" s="2326"/>
      <c r="D89" s="2327"/>
      <c r="K89" s="797"/>
      <c r="L89" s="797"/>
    </row>
    <row r="90" spans="1:12" s="963" customFormat="1">
      <c r="A90" s="2326"/>
      <c r="D90" s="2327"/>
      <c r="K90" s="797"/>
      <c r="L90" s="797"/>
    </row>
    <row r="91" spans="1:12" s="963" customFormat="1">
      <c r="A91" s="2326"/>
      <c r="D91" s="2327"/>
      <c r="K91" s="797"/>
      <c r="L91" s="797"/>
    </row>
    <row r="92" spans="1:12" s="963" customFormat="1">
      <c r="A92" s="2326"/>
      <c r="D92" s="2327"/>
      <c r="K92" s="797"/>
      <c r="L92" s="797"/>
    </row>
    <row r="93" spans="1:12" s="963" customFormat="1">
      <c r="A93" s="2326"/>
      <c r="D93" s="2327"/>
      <c r="K93" s="797"/>
      <c r="L93" s="797"/>
    </row>
    <row r="94" spans="1:12" s="963" customFormat="1">
      <c r="A94" s="2326"/>
      <c r="D94" s="2327"/>
      <c r="K94" s="797"/>
      <c r="L94" s="797"/>
    </row>
    <row r="95" spans="1:12" s="963" customFormat="1">
      <c r="A95" s="2326"/>
      <c r="D95" s="2327"/>
      <c r="K95" s="797"/>
      <c r="L95" s="797"/>
    </row>
    <row r="96" spans="1:12" s="963" customFormat="1">
      <c r="A96" s="2326"/>
      <c r="D96" s="2327"/>
      <c r="K96" s="797"/>
      <c r="L96" s="797"/>
    </row>
    <row r="97" spans="1:12" s="963" customFormat="1">
      <c r="A97" s="2326"/>
      <c r="D97" s="2327"/>
      <c r="K97" s="797"/>
      <c r="L97" s="797"/>
    </row>
    <row r="98" spans="1:12" s="963" customFormat="1">
      <c r="A98" s="2326"/>
      <c r="D98" s="2327"/>
      <c r="K98" s="797"/>
      <c r="L98" s="797"/>
    </row>
    <row r="99" spans="1:12" s="963" customFormat="1">
      <c r="A99" s="2326"/>
      <c r="D99" s="2327"/>
      <c r="K99" s="797"/>
      <c r="L99" s="797"/>
    </row>
    <row r="100" spans="1:12" s="963" customFormat="1">
      <c r="A100" s="2326"/>
      <c r="D100" s="2327"/>
      <c r="K100" s="797"/>
      <c r="L100" s="797"/>
    </row>
    <row r="101" spans="1:12" s="963" customFormat="1">
      <c r="A101" s="2326"/>
      <c r="D101" s="2327"/>
      <c r="K101" s="797"/>
      <c r="L101" s="797"/>
    </row>
    <row r="102" spans="1:12" s="963" customFormat="1">
      <c r="A102" s="2326"/>
      <c r="D102" s="2327"/>
      <c r="K102" s="797"/>
      <c r="L102" s="797"/>
    </row>
    <row r="103" spans="1:12" s="963" customFormat="1">
      <c r="A103" s="2326"/>
      <c r="D103" s="2327"/>
      <c r="K103" s="797"/>
      <c r="L103" s="797"/>
    </row>
    <row r="104" spans="1:12" s="963" customFormat="1">
      <c r="A104" s="2326"/>
      <c r="D104" s="2327"/>
      <c r="K104" s="797"/>
      <c r="L104" s="797"/>
    </row>
    <row r="105" spans="1:12" s="963" customFormat="1">
      <c r="A105" s="2326"/>
      <c r="D105" s="2327"/>
      <c r="K105" s="797"/>
      <c r="L105" s="797"/>
    </row>
    <row r="106" spans="1:12" s="963" customFormat="1">
      <c r="A106" s="2326"/>
      <c r="D106" s="2327"/>
      <c r="K106" s="797"/>
      <c r="L106" s="797"/>
    </row>
    <row r="107" spans="1:12" s="963" customFormat="1">
      <c r="A107" s="2326"/>
      <c r="D107" s="2327"/>
      <c r="K107" s="797"/>
      <c r="L107" s="797"/>
    </row>
    <row r="108" spans="1:12" s="963" customFormat="1">
      <c r="A108" s="2326"/>
      <c r="D108" s="2327"/>
      <c r="K108" s="797"/>
      <c r="L108" s="797"/>
    </row>
    <row r="109" spans="1:12" s="963" customFormat="1">
      <c r="A109" s="2326"/>
      <c r="D109" s="2327"/>
      <c r="K109" s="797"/>
      <c r="L109" s="797"/>
    </row>
    <row r="110" spans="1:12" s="963" customFormat="1">
      <c r="A110" s="2326"/>
      <c r="D110" s="2327"/>
      <c r="K110" s="797"/>
      <c r="L110" s="797"/>
    </row>
    <row r="111" spans="1:12" s="963" customFormat="1">
      <c r="A111" s="2326"/>
      <c r="D111" s="2327"/>
      <c r="K111" s="797"/>
      <c r="L111" s="797"/>
    </row>
    <row r="112" spans="1:12" s="963" customFormat="1">
      <c r="A112" s="2326"/>
      <c r="D112" s="2327"/>
      <c r="K112" s="797"/>
      <c r="L112" s="797"/>
    </row>
    <row r="113" spans="1:12" s="963" customFormat="1">
      <c r="A113" s="2326"/>
      <c r="D113" s="2327"/>
      <c r="K113" s="797"/>
      <c r="L113" s="797"/>
    </row>
    <row r="114" spans="1:12" s="963" customFormat="1">
      <c r="A114" s="2326"/>
      <c r="D114" s="2327"/>
      <c r="K114" s="797"/>
      <c r="L114" s="797"/>
    </row>
    <row r="115" spans="1:12" s="963" customFormat="1">
      <c r="A115" s="2326"/>
      <c r="D115" s="2327"/>
      <c r="K115" s="797"/>
      <c r="L115" s="797"/>
    </row>
    <row r="116" spans="1:12" s="963" customFormat="1">
      <c r="A116" s="2326"/>
      <c r="D116" s="2327"/>
      <c r="K116" s="797"/>
      <c r="L116" s="797"/>
    </row>
    <row r="117" spans="1:12" s="963" customFormat="1">
      <c r="A117" s="2326"/>
      <c r="D117" s="2327"/>
      <c r="K117" s="797"/>
      <c r="L117" s="797"/>
    </row>
    <row r="118" spans="1:12" s="963" customFormat="1">
      <c r="A118" s="2326"/>
      <c r="D118" s="2327"/>
      <c r="K118" s="797"/>
      <c r="L118" s="797"/>
    </row>
    <row r="119" spans="1:12" s="963" customFormat="1">
      <c r="A119" s="2326"/>
      <c r="D119" s="2327"/>
      <c r="K119" s="797"/>
      <c r="L119" s="797"/>
    </row>
    <row r="120" spans="1:12" s="963" customFormat="1">
      <c r="A120" s="2326"/>
      <c r="D120" s="2327"/>
      <c r="K120" s="797"/>
      <c r="L120" s="797"/>
    </row>
    <row r="121" spans="1:12" s="963" customFormat="1">
      <c r="A121" s="2326"/>
      <c r="D121" s="2327"/>
      <c r="K121" s="797"/>
      <c r="L121" s="797"/>
    </row>
    <row r="122" spans="1:12" s="963" customFormat="1">
      <c r="A122" s="2326"/>
      <c r="D122" s="2327"/>
      <c r="K122" s="797"/>
      <c r="L122" s="797"/>
    </row>
    <row r="123" spans="1:12" s="963" customFormat="1">
      <c r="A123" s="2326"/>
      <c r="D123" s="2327"/>
      <c r="K123" s="797"/>
      <c r="L123" s="797"/>
    </row>
    <row r="124" spans="1:12" s="963" customFormat="1">
      <c r="A124" s="2326"/>
      <c r="D124" s="2327"/>
      <c r="K124" s="797"/>
      <c r="L124" s="797"/>
    </row>
    <row r="125" spans="1:12" s="963" customFormat="1">
      <c r="A125" s="2326"/>
      <c r="D125" s="2327"/>
      <c r="K125" s="797"/>
      <c r="L125" s="797"/>
    </row>
    <row r="126" spans="1:12" s="963" customFormat="1">
      <c r="A126" s="2326"/>
      <c r="D126" s="2327"/>
      <c r="K126" s="797"/>
      <c r="L126" s="797"/>
    </row>
    <row r="127" spans="1:12" s="963" customFormat="1">
      <c r="A127" s="2326"/>
      <c r="D127" s="2327"/>
      <c r="K127" s="797"/>
      <c r="L127" s="797"/>
    </row>
    <row r="128" spans="1:12" s="963" customFormat="1">
      <c r="A128" s="2326"/>
      <c r="D128" s="2327"/>
      <c r="K128" s="797"/>
      <c r="L128" s="797"/>
    </row>
    <row r="129" spans="1:12" s="963" customFormat="1">
      <c r="A129" s="2326"/>
      <c r="D129" s="2327"/>
      <c r="K129" s="797"/>
      <c r="L129" s="797"/>
    </row>
    <row r="130" spans="1:12" s="963" customFormat="1">
      <c r="A130" s="2326"/>
      <c r="D130" s="2327"/>
      <c r="K130" s="797"/>
      <c r="L130" s="797"/>
    </row>
    <row r="131" spans="1:12" s="963" customFormat="1">
      <c r="A131" s="2326"/>
      <c r="D131" s="2327"/>
      <c r="K131" s="797"/>
      <c r="L131" s="797"/>
    </row>
    <row r="132" spans="1:12" s="963" customFormat="1">
      <c r="A132" s="2326"/>
      <c r="D132" s="2327"/>
      <c r="K132" s="797"/>
      <c r="L132" s="797"/>
    </row>
    <row r="133" spans="1:12" s="963" customFormat="1">
      <c r="A133" s="2326"/>
      <c r="D133" s="2327"/>
      <c r="K133" s="797"/>
      <c r="L133" s="797"/>
    </row>
    <row r="134" spans="1:12" s="2259" customFormat="1">
      <c r="A134" s="2328"/>
      <c r="D134" s="2329"/>
      <c r="K134" s="27"/>
      <c r="L134" s="27"/>
    </row>
    <row r="135" spans="1:12" s="2259" customFormat="1">
      <c r="A135" s="2328"/>
      <c r="D135" s="2329"/>
      <c r="K135" s="27"/>
      <c r="L135" s="27"/>
    </row>
    <row r="136" spans="1:12" s="2259" customFormat="1">
      <c r="A136" s="2328"/>
      <c r="D136" s="2329"/>
      <c r="K136" s="27"/>
      <c r="L136" s="27"/>
    </row>
    <row r="137" spans="1:12" s="2259" customFormat="1">
      <c r="A137" s="2328"/>
      <c r="D137" s="2329"/>
      <c r="K137" s="27"/>
      <c r="L137" s="27"/>
    </row>
    <row r="138" spans="1:12" s="2259" customFormat="1">
      <c r="A138" s="2328"/>
      <c r="D138" s="2329"/>
      <c r="K138" s="27"/>
      <c r="L138" s="27"/>
    </row>
    <row r="139" spans="1:12" s="2259" customFormat="1">
      <c r="A139" s="2328"/>
      <c r="D139" s="2329"/>
      <c r="K139" s="27"/>
      <c r="L139" s="27"/>
    </row>
    <row r="140" spans="1:12" s="2259" customFormat="1">
      <c r="A140" s="2328"/>
      <c r="D140" s="2329"/>
      <c r="K140" s="27"/>
      <c r="L140" s="27"/>
    </row>
    <row r="141" spans="1:12" s="2259" customFormat="1">
      <c r="A141" s="2328"/>
      <c r="D141" s="2329"/>
      <c r="K141" s="27"/>
      <c r="L141" s="27"/>
    </row>
    <row r="142" spans="1:12" s="2259" customFormat="1">
      <c r="A142" s="2328"/>
      <c r="D142" s="2329"/>
      <c r="K142" s="27"/>
      <c r="L142" s="27"/>
    </row>
    <row r="143" spans="1:12" s="2259" customFormat="1">
      <c r="A143" s="2328"/>
      <c r="D143" s="2329"/>
      <c r="K143" s="27"/>
      <c r="L143" s="27"/>
    </row>
    <row r="144" spans="1:12" s="2259" customFormat="1">
      <c r="A144" s="2328"/>
      <c r="D144" s="2329"/>
      <c r="K144" s="27"/>
      <c r="L144" s="27"/>
    </row>
    <row r="145" spans="1:12" s="2259" customFormat="1">
      <c r="A145" s="2328"/>
      <c r="D145" s="2329"/>
      <c r="K145" s="27"/>
      <c r="L145" s="27"/>
    </row>
    <row r="146" spans="1:12" s="2259" customFormat="1">
      <c r="A146" s="2328"/>
      <c r="D146" s="2329"/>
      <c r="K146" s="27"/>
      <c r="L146" s="27"/>
    </row>
    <row r="147" spans="1:12" s="2259" customFormat="1">
      <c r="A147" s="2328"/>
      <c r="D147" s="2329"/>
      <c r="K147" s="27"/>
      <c r="L147" s="27"/>
    </row>
    <row r="148" spans="1:12" s="2259" customFormat="1">
      <c r="A148" s="2328"/>
      <c r="D148" s="2329"/>
      <c r="K148" s="27"/>
      <c r="L148" s="27"/>
    </row>
    <row r="149" spans="1:12" s="2259" customFormat="1">
      <c r="A149" s="2328"/>
      <c r="D149" s="2329"/>
      <c r="K149" s="27"/>
      <c r="L149" s="27"/>
    </row>
    <row r="150" spans="1:12" s="2259" customFormat="1">
      <c r="A150" s="2328"/>
      <c r="D150" s="2329"/>
      <c r="K150" s="27"/>
      <c r="L150" s="27"/>
    </row>
    <row r="151" spans="1:12" s="2259" customFormat="1">
      <c r="A151" s="2328"/>
      <c r="D151" s="2329"/>
      <c r="K151" s="27"/>
      <c r="L151" s="27"/>
    </row>
    <row r="152" spans="1:12" s="2259" customFormat="1">
      <c r="A152" s="2328"/>
      <c r="D152" s="2329"/>
      <c r="K152" s="27"/>
      <c r="L152" s="27"/>
    </row>
    <row r="153" spans="1:12" s="2259" customFormat="1">
      <c r="A153" s="2328"/>
      <c r="D153" s="2329"/>
      <c r="K153" s="27"/>
      <c r="L153" s="27"/>
    </row>
    <row r="154" spans="1:12" s="2259" customFormat="1">
      <c r="A154" s="2328"/>
      <c r="D154" s="2329"/>
      <c r="K154" s="27"/>
      <c r="L154" s="27"/>
    </row>
    <row r="155" spans="1:12" s="2259" customFormat="1">
      <c r="A155" s="2328"/>
      <c r="D155" s="2329"/>
      <c r="K155" s="27"/>
      <c r="L155" s="27"/>
    </row>
    <row r="156" spans="1:12" s="2259" customFormat="1">
      <c r="A156" s="2328"/>
      <c r="D156" s="2329"/>
      <c r="K156" s="27"/>
      <c r="L156" s="27"/>
    </row>
    <row r="157" spans="1:12" s="2259" customFormat="1">
      <c r="A157" s="2328"/>
      <c r="D157" s="2329"/>
      <c r="K157" s="27"/>
      <c r="L157" s="27"/>
    </row>
    <row r="158" spans="1:12" s="2259" customFormat="1">
      <c r="A158" s="2328"/>
      <c r="D158" s="2329"/>
      <c r="K158" s="27"/>
      <c r="L158" s="27"/>
    </row>
    <row r="159" spans="1:12" s="2259" customFormat="1">
      <c r="A159" s="2328"/>
      <c r="D159" s="2329"/>
      <c r="K159" s="27"/>
      <c r="L159" s="27"/>
    </row>
    <row r="160" spans="1:12" s="2259" customFormat="1">
      <c r="A160" s="2328"/>
      <c r="D160" s="2329"/>
      <c r="K160" s="27"/>
      <c r="L160" s="27"/>
    </row>
    <row r="161" spans="1:12" s="2259" customFormat="1">
      <c r="A161" s="2328"/>
      <c r="D161" s="2329"/>
      <c r="K161" s="27"/>
      <c r="L161" s="27"/>
    </row>
    <row r="162" spans="1:12" s="2259" customFormat="1">
      <c r="A162" s="2328"/>
      <c r="D162" s="2329"/>
      <c r="K162" s="27"/>
      <c r="L162" s="27"/>
    </row>
    <row r="163" spans="1:12" s="2259" customFormat="1">
      <c r="A163" s="2328"/>
      <c r="D163" s="2329"/>
      <c r="K163" s="27"/>
      <c r="L163" s="27"/>
    </row>
    <row r="164" spans="1:12" s="2259" customFormat="1">
      <c r="A164" s="2328"/>
      <c r="D164" s="2329"/>
      <c r="K164" s="27"/>
      <c r="L164" s="27"/>
    </row>
    <row r="165" spans="1:12" s="2259" customFormat="1">
      <c r="A165" s="2328"/>
      <c r="D165" s="2329"/>
      <c r="K165" s="27"/>
      <c r="L165" s="27"/>
    </row>
    <row r="166" spans="1:12" s="2259" customFormat="1">
      <c r="A166" s="2328"/>
      <c r="D166" s="2329"/>
      <c r="K166" s="27"/>
      <c r="L166" s="27"/>
    </row>
    <row r="167" spans="1:12" s="2259" customFormat="1">
      <c r="A167" s="2328"/>
      <c r="D167" s="2329"/>
      <c r="K167" s="27"/>
      <c r="L167" s="27"/>
    </row>
    <row r="168" spans="1:12" s="2259" customFormat="1">
      <c r="A168" s="2328"/>
      <c r="D168" s="2329"/>
      <c r="K168" s="27"/>
      <c r="L168" s="27"/>
    </row>
    <row r="169" spans="1:12" s="2259" customFormat="1">
      <c r="A169" s="2328"/>
      <c r="D169" s="2329"/>
      <c r="K169" s="27"/>
      <c r="L169" s="27"/>
    </row>
    <row r="170" spans="1:12" s="2259" customFormat="1">
      <c r="A170" s="2328"/>
      <c r="D170" s="2329"/>
      <c r="K170" s="27"/>
      <c r="L170" s="27"/>
    </row>
    <row r="171" spans="1:12" s="2259" customFormat="1">
      <c r="A171" s="2328"/>
      <c r="D171" s="2329"/>
      <c r="K171" s="27"/>
      <c r="L171" s="27"/>
    </row>
    <row r="172" spans="1:12" s="2259" customFormat="1">
      <c r="A172" s="2328"/>
      <c r="D172" s="2329"/>
      <c r="K172" s="27"/>
      <c r="L172" s="27"/>
    </row>
    <row r="173" spans="1:12" s="2259" customFormat="1">
      <c r="A173" s="2328"/>
      <c r="D173" s="2329"/>
      <c r="K173" s="27"/>
      <c r="L173" s="27"/>
    </row>
    <row r="174" spans="1:12" s="2259" customFormat="1">
      <c r="A174" s="2328"/>
      <c r="D174" s="232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H23" sqref="H23"/>
    </sheetView>
  </sheetViews>
  <sheetFormatPr defaultColWidth="9" defaultRowHeight="14.25"/>
  <cols>
    <col min="1" max="1" width="9.5" style="2353" customWidth="1"/>
    <col min="2" max="2" width="24.5" style="2401" customWidth="1"/>
    <col min="3" max="3" width="24.5" style="2400" customWidth="1"/>
    <col min="4" max="4" width="2.625" style="2400" customWidth="1"/>
    <col min="5" max="5" width="5.875" style="2400" customWidth="1"/>
    <col min="6" max="6" width="27" style="2401" customWidth="1"/>
    <col min="7" max="7" width="27" style="2402" customWidth="1"/>
    <col min="8" max="8" width="11.875" style="2380" customWidth="1"/>
    <col min="9" max="9" width="16.75" style="2381" customWidth="1"/>
    <col min="10" max="10" width="2.625" style="2380" customWidth="1"/>
    <col min="11" max="11" width="11.875" style="2380" customWidth="1"/>
    <col min="12" max="12" width="16.75" style="2381" customWidth="1"/>
    <col min="13" max="13" width="2.625" style="2380" customWidth="1"/>
    <col min="14" max="14" width="11.875" style="2380" customWidth="1"/>
    <col min="15" max="15" width="16.75" style="2381" customWidth="1"/>
    <col min="16" max="16" width="2.625" style="2380" customWidth="1"/>
    <col min="17" max="17" width="11.875" style="2380" customWidth="1"/>
    <col min="18" max="18" width="16.75" style="2382" customWidth="1"/>
    <col min="19" max="29" width="9" style="2352"/>
    <col min="30" max="16384" width="9" style="2353"/>
  </cols>
  <sheetData>
    <row r="1" spans="1:29" s="2346" customFormat="1" ht="19.5" thickBot="1">
      <c r="A1" s="3081" t="s">
        <v>2077</v>
      </c>
      <c r="B1" s="3082"/>
      <c r="C1" s="3082"/>
      <c r="D1" s="3082"/>
      <c r="E1" s="3082"/>
      <c r="F1" s="3082"/>
      <c r="G1" s="3082"/>
      <c r="H1" s="2341"/>
      <c r="I1" s="2342"/>
      <c r="J1" s="2341"/>
      <c r="K1" s="2341"/>
      <c r="L1" s="2342"/>
      <c r="M1" s="2341"/>
      <c r="N1" s="2341"/>
      <c r="O1" s="2342"/>
      <c r="P1" s="2341"/>
      <c r="Q1" s="2343"/>
      <c r="R1" s="2344"/>
      <c r="S1" s="2345"/>
      <c r="T1" s="2345"/>
      <c r="U1" s="2345"/>
      <c r="V1" s="2345"/>
      <c r="W1" s="2345"/>
      <c r="X1" s="2345"/>
      <c r="Y1" s="2345"/>
      <c r="Z1" s="2345"/>
      <c r="AA1" s="2345"/>
      <c r="AB1" s="2345"/>
      <c r="AC1" s="2345"/>
    </row>
    <row r="2" spans="1:29" ht="15.75" thickBot="1">
      <c r="A2" s="2347"/>
      <c r="B2" s="2348"/>
      <c r="C2" s="2349" t="s">
        <v>2078</v>
      </c>
      <c r="D2" s="2350"/>
      <c r="E2" s="2351"/>
      <c r="F2" s="2271"/>
      <c r="G2" s="2349" t="s">
        <v>2079</v>
      </c>
      <c r="H2" s="2352"/>
      <c r="I2" s="2352"/>
      <c r="J2" s="2352"/>
      <c r="K2" s="2352"/>
      <c r="L2" s="2352"/>
      <c r="M2" s="2352"/>
      <c r="N2" s="2352"/>
      <c r="O2" s="2352"/>
      <c r="P2" s="2352"/>
      <c r="Q2" s="2352"/>
      <c r="R2" s="2352"/>
    </row>
    <row r="3" spans="1:29" ht="54">
      <c r="A3" s="414" t="s">
        <v>2080</v>
      </c>
      <c r="B3" s="1267" t="s">
        <v>2081</v>
      </c>
      <c r="C3" s="2354" t="s">
        <v>2082</v>
      </c>
      <c r="D3" s="2355"/>
      <c r="E3" s="430" t="s">
        <v>2080</v>
      </c>
      <c r="F3" s="2356" t="s">
        <v>2083</v>
      </c>
      <c r="G3" s="2357" t="s">
        <v>2084</v>
      </c>
      <c r="H3" s="2352"/>
      <c r="I3" s="2352"/>
      <c r="J3" s="2352"/>
      <c r="K3" s="2352"/>
      <c r="L3" s="2352"/>
      <c r="M3" s="2352"/>
      <c r="N3" s="2352"/>
      <c r="O3" s="2352"/>
      <c r="P3" s="2352"/>
      <c r="Q3" s="2352"/>
      <c r="R3" s="2352"/>
    </row>
    <row r="4" spans="1:29" ht="41.25">
      <c r="A4" s="430"/>
      <c r="B4" s="1784" t="s">
        <v>2085</v>
      </c>
      <c r="C4" s="2358" t="s">
        <v>2086</v>
      </c>
      <c r="D4" s="2355"/>
      <c r="E4" s="2359"/>
      <c r="F4" s="42" t="s">
        <v>2087</v>
      </c>
      <c r="G4" s="2360" t="s">
        <v>2088</v>
      </c>
      <c r="H4" s="2352"/>
      <c r="I4" s="2352"/>
      <c r="J4" s="2352"/>
      <c r="K4" s="2352"/>
      <c r="L4" s="2352"/>
      <c r="M4" s="2352"/>
      <c r="N4" s="2352"/>
      <c r="O4" s="2352"/>
      <c r="P4" s="2352"/>
      <c r="Q4" s="2352"/>
      <c r="R4" s="2352"/>
    </row>
    <row r="5" spans="1:29" ht="41.25">
      <c r="A5" s="430"/>
      <c r="B5" s="1784" t="s">
        <v>2089</v>
      </c>
      <c r="C5" s="2358" t="s">
        <v>2090</v>
      </c>
      <c r="D5" s="2355"/>
      <c r="E5" s="2359"/>
      <c r="F5" s="1784" t="s">
        <v>2091</v>
      </c>
      <c r="G5" s="2360" t="s">
        <v>2092</v>
      </c>
      <c r="H5" s="2352"/>
      <c r="I5" s="2352"/>
      <c r="J5" s="2352"/>
      <c r="K5" s="2352"/>
      <c r="L5" s="2352"/>
      <c r="M5" s="2352"/>
      <c r="N5" s="2352"/>
      <c r="O5" s="2352"/>
      <c r="P5" s="2352"/>
      <c r="Q5" s="2352"/>
      <c r="R5" s="2352"/>
    </row>
    <row r="6" spans="1:29" ht="54">
      <c r="A6" s="430"/>
      <c r="B6" s="1784" t="s">
        <v>2093</v>
      </c>
      <c r="C6" s="2360" t="s">
        <v>2088</v>
      </c>
      <c r="D6" s="2355"/>
      <c r="E6" s="2359"/>
      <c r="F6" s="1784" t="s">
        <v>2094</v>
      </c>
      <c r="G6" s="2360" t="s">
        <v>2095</v>
      </c>
      <c r="H6" s="2352"/>
      <c r="I6" s="2352"/>
      <c r="J6" s="2352"/>
      <c r="K6" s="2352"/>
      <c r="L6" s="2352"/>
      <c r="M6" s="2352"/>
      <c r="N6" s="2352"/>
      <c r="O6" s="2352"/>
      <c r="P6" s="2352"/>
      <c r="Q6" s="2352"/>
      <c r="R6" s="2352"/>
    </row>
    <row r="7" spans="1:29" ht="41.25" thickBot="1">
      <c r="A7" s="430"/>
      <c r="B7" s="1784" t="s">
        <v>2091</v>
      </c>
      <c r="C7" s="2360" t="s">
        <v>2092</v>
      </c>
      <c r="D7" s="2361"/>
      <c r="E7" s="2362"/>
      <c r="F7" s="2363" t="s">
        <v>2096</v>
      </c>
      <c r="G7" s="2364" t="s">
        <v>2097</v>
      </c>
      <c r="H7" s="2352"/>
      <c r="I7" s="2352"/>
      <c r="J7" s="2352"/>
      <c r="K7" s="2352"/>
      <c r="L7" s="2352"/>
      <c r="M7" s="2352"/>
      <c r="N7" s="2352"/>
      <c r="O7" s="2352"/>
      <c r="P7" s="2352"/>
      <c r="Q7" s="2352"/>
      <c r="R7" s="2352"/>
    </row>
    <row r="8" spans="1:29" ht="27">
      <c r="A8" s="430"/>
      <c r="B8" s="1784" t="s">
        <v>2094</v>
      </c>
      <c r="C8" s="2360" t="s">
        <v>2095</v>
      </c>
      <c r="D8" s="2361"/>
      <c r="E8" s="2361"/>
      <c r="F8" s="1132"/>
      <c r="G8" s="1132"/>
      <c r="H8" s="2352"/>
      <c r="I8" s="2352"/>
      <c r="J8" s="2352"/>
      <c r="K8" s="2352"/>
      <c r="L8" s="2352"/>
      <c r="M8" s="2352"/>
      <c r="N8" s="2352"/>
      <c r="O8" s="2352"/>
      <c r="P8" s="2352"/>
      <c r="Q8" s="2352"/>
      <c r="R8" s="2352"/>
    </row>
    <row r="9" spans="1:29" ht="27">
      <c r="A9" s="430"/>
      <c r="B9" s="1784" t="s">
        <v>2098</v>
      </c>
      <c r="C9" s="2358" t="s">
        <v>2099</v>
      </c>
      <c r="D9" s="2355"/>
      <c r="E9" s="2361"/>
      <c r="F9" s="1132"/>
      <c r="G9" s="1132"/>
      <c r="H9" s="2352"/>
      <c r="I9" s="2352"/>
      <c r="J9" s="2352"/>
      <c r="K9" s="2352"/>
      <c r="L9" s="2352"/>
      <c r="M9" s="2352"/>
      <c r="N9" s="2352"/>
      <c r="O9" s="2352"/>
      <c r="P9" s="2352"/>
      <c r="Q9" s="2352"/>
      <c r="R9" s="2352"/>
    </row>
    <row r="10" spans="1:29" s="117" customFormat="1" ht="15.75" thickBot="1">
      <c r="A10" s="2365"/>
      <c r="B10" s="2366" t="s">
        <v>2100</v>
      </c>
      <c r="C10" s="2367"/>
      <c r="D10" s="2355"/>
      <c r="E10" s="2355"/>
      <c r="F10" s="1132"/>
      <c r="G10" s="1132"/>
      <c r="H10" s="2368"/>
      <c r="I10" s="2369"/>
      <c r="J10" s="2370"/>
      <c r="K10" s="2368"/>
      <c r="L10" s="2369"/>
      <c r="M10" s="2370"/>
      <c r="N10" s="2368"/>
      <c r="O10" s="2369"/>
      <c r="P10" s="2370"/>
      <c r="Q10" s="2368"/>
      <c r="R10" s="2369"/>
      <c r="S10" s="2352"/>
      <c r="T10" s="2352"/>
      <c r="U10" s="2352"/>
      <c r="V10" s="2352"/>
      <c r="W10" s="2352"/>
      <c r="X10" s="2352"/>
      <c r="Y10" s="2352"/>
      <c r="Z10" s="2352"/>
      <c r="AA10" s="2352"/>
      <c r="AB10" s="2352"/>
      <c r="AC10" s="2352"/>
    </row>
    <row r="11" spans="1:29" s="117" customFormat="1" ht="15">
      <c r="A11" s="2371"/>
      <c r="B11" s="2361"/>
      <c r="C11" s="2355"/>
      <c r="D11" s="2355"/>
      <c r="E11" s="2355"/>
      <c r="F11" s="2361"/>
      <c r="G11" s="1150"/>
      <c r="H11" s="2368"/>
      <c r="I11" s="2369"/>
      <c r="J11" s="2370"/>
      <c r="K11" s="2368"/>
      <c r="L11" s="2369"/>
      <c r="M11" s="2370"/>
      <c r="N11" s="2368"/>
      <c r="O11" s="2369"/>
      <c r="P11" s="2370"/>
      <c r="Q11" s="2368"/>
      <c r="R11" s="2369"/>
      <c r="S11" s="2352"/>
      <c r="T11" s="2352"/>
      <c r="U11" s="2352"/>
      <c r="V11" s="2352"/>
      <c r="W11" s="2352"/>
      <c r="X11" s="2352"/>
      <c r="Y11" s="2352"/>
      <c r="Z11" s="2352"/>
      <c r="AA11" s="2352"/>
      <c r="AB11" s="2352"/>
      <c r="AC11" s="2352"/>
    </row>
    <row r="12" spans="1:29" s="2346" customFormat="1" ht="18">
      <c r="A12" s="2371"/>
      <c r="B12" s="2361"/>
      <c r="C12" s="2355"/>
      <c r="D12" s="2372"/>
      <c r="E12" s="2355"/>
      <c r="F12" s="2361"/>
      <c r="G12" s="1150"/>
      <c r="H12" s="2373"/>
      <c r="I12" s="2374"/>
      <c r="J12" s="2373"/>
      <c r="K12" s="2373"/>
      <c r="L12" s="2375"/>
      <c r="M12" s="2373"/>
      <c r="N12" s="2376"/>
      <c r="O12" s="2377"/>
      <c r="P12" s="2376"/>
      <c r="Q12" s="2376"/>
      <c r="R12" s="2344"/>
      <c r="S12" s="2345"/>
      <c r="T12" s="2345"/>
      <c r="U12" s="2345"/>
      <c r="V12" s="2345"/>
      <c r="W12" s="2345"/>
      <c r="X12" s="2345"/>
      <c r="Y12" s="2345"/>
      <c r="Z12" s="2345"/>
      <c r="AA12" s="2345"/>
      <c r="AB12" s="2345"/>
      <c r="AC12" s="2345"/>
    </row>
    <row r="13" spans="1:29" ht="19.5" thickBot="1">
      <c r="A13" s="2378" t="s">
        <v>2101</v>
      </c>
      <c r="B13" s="2372"/>
      <c r="C13" s="2372"/>
      <c r="D13" s="2379"/>
      <c r="E13" s="2372"/>
      <c r="F13" s="2372"/>
      <c r="G13" s="2372"/>
    </row>
    <row r="14" spans="1:29" ht="15.75" thickBot="1">
      <c r="A14" s="2383"/>
      <c r="B14" s="2384"/>
      <c r="C14" s="2385" t="s">
        <v>2102</v>
      </c>
      <c r="D14" s="2355"/>
      <c r="E14" s="2386"/>
      <c r="F14" s="2386"/>
      <c r="G14" s="2349" t="s">
        <v>2103</v>
      </c>
    </row>
    <row r="15" spans="1:29" ht="57">
      <c r="A15" s="68" t="s">
        <v>2104</v>
      </c>
      <c r="B15" s="1266" t="s">
        <v>2081</v>
      </c>
      <c r="C15" s="2387" t="str">
        <f>C3</f>
        <v>估价对象周边居住用地比例、居住小区规模和社区发展完善程度，综合评价居住社区成熟度一般</v>
      </c>
      <c r="D15" s="2355"/>
      <c r="E15" s="2388" t="s">
        <v>2105</v>
      </c>
      <c r="F15" s="1266" t="s">
        <v>2106</v>
      </c>
      <c r="G15" s="135" t="str">
        <f>G3</f>
        <v>估价对象位于XX开发区，园区建设成熟度XX，产业集聚程度XX</v>
      </c>
    </row>
    <row r="16" spans="1:29" ht="42.75">
      <c r="A16" s="644"/>
      <c r="B16" s="2389" t="s">
        <v>2085</v>
      </c>
      <c r="C16" s="2390" t="str">
        <f>C4</f>
        <v>估价对象位于XX商圈，周边商业氛围成熟，人流量大，商业繁华度好</v>
      </c>
      <c r="D16" s="2355"/>
      <c r="E16" s="2391"/>
      <c r="F16" s="2392" t="s">
        <v>2087</v>
      </c>
      <c r="G16" s="136" t="str">
        <f>G4</f>
        <v>估价对象周边道路状况、公共交通通达情况、停车便捷程度，综合评价交通便捷度较好</v>
      </c>
    </row>
    <row r="17" spans="1:18" ht="42.75">
      <c r="A17" s="644"/>
      <c r="B17" s="2389" t="s">
        <v>2089</v>
      </c>
      <c r="C17" s="2390" t="str">
        <f>C5</f>
        <v>估价对象位于XX商圈，周边办公楼项目较多，入驻率高，办公集聚程度较好</v>
      </c>
      <c r="D17" s="2361"/>
      <c r="E17" s="2391"/>
      <c r="F17" s="2392" t="s">
        <v>2107</v>
      </c>
      <c r="G17" s="1566"/>
    </row>
    <row r="18" spans="1:18" ht="57">
      <c r="A18" s="644"/>
      <c r="B18" s="2392" t="s">
        <v>2093</v>
      </c>
      <c r="C18" s="136" t="str">
        <f>C6</f>
        <v>估价对象周边道路状况、公共交通通达情况、停车便捷程度，综合评价交通便捷度较好</v>
      </c>
      <c r="D18" s="2361"/>
      <c r="E18" s="2391"/>
      <c r="F18" s="2392" t="s">
        <v>2096</v>
      </c>
      <c r="G18" s="136" t="str">
        <f>G7</f>
        <v>该园区内是否有污染型企业，绿化情况，卫生条件，整体环境状况判断</v>
      </c>
    </row>
    <row r="19" spans="1:18" ht="28.5">
      <c r="A19" s="644"/>
      <c r="B19" s="2392" t="s">
        <v>2108</v>
      </c>
      <c r="C19" s="1566"/>
      <c r="D19" s="2355"/>
      <c r="E19" s="2391"/>
      <c r="F19" s="1784" t="s">
        <v>2091</v>
      </c>
      <c r="G19" s="136" t="str">
        <f>G5</f>
        <v>估价对象所在区域公共配套设施齐备情况</v>
      </c>
    </row>
    <row r="20" spans="1:18" ht="28.5">
      <c r="A20" s="644"/>
      <c r="B20" s="2392" t="s">
        <v>2109</v>
      </c>
      <c r="C20" s="2390" t="str">
        <f>C9</f>
        <v>区域自然环境：；人文环境；综合评价环境状况一般</v>
      </c>
      <c r="D20" s="2361"/>
      <c r="E20" s="2391"/>
      <c r="F20" s="1784" t="s">
        <v>2110</v>
      </c>
      <c r="G20" s="136" t="str">
        <f>G6</f>
        <v>估价对象所在区域基础设施水平</v>
      </c>
    </row>
    <row r="21" spans="1:18" ht="28.5">
      <c r="A21" s="644"/>
      <c r="B21" s="1784" t="s">
        <v>2091</v>
      </c>
      <c r="C21" s="136" t="str">
        <f>C7</f>
        <v>估价对象所在区域公共配套设施齐备情况</v>
      </c>
      <c r="D21" s="2355"/>
      <c r="E21" s="2391"/>
      <c r="F21" s="2392" t="s">
        <v>2111</v>
      </c>
      <c r="G21" s="2393"/>
    </row>
    <row r="22" spans="1:18" ht="13.5" customHeight="1">
      <c r="A22" s="644"/>
      <c r="B22" s="1784" t="s">
        <v>2094</v>
      </c>
      <c r="C22" s="136" t="str">
        <f>C8</f>
        <v>估价对象所在区域基础设施水平</v>
      </c>
      <c r="D22" s="2355"/>
      <c r="E22" s="2391"/>
      <c r="F22" s="2392" t="s">
        <v>2100</v>
      </c>
      <c r="G22" s="1566"/>
    </row>
    <row r="23" spans="1:18" s="2352" customFormat="1" ht="15.75" thickBot="1">
      <c r="A23" s="644"/>
      <c r="B23" s="2392" t="s">
        <v>2111</v>
      </c>
      <c r="C23" s="2393"/>
      <c r="D23" s="2380"/>
      <c r="E23" s="2394"/>
      <c r="F23" s="2395" t="s">
        <v>2112</v>
      </c>
      <c r="G23" s="2396"/>
      <c r="H23" s="2380"/>
      <c r="I23" s="2381"/>
      <c r="J23" s="2380"/>
      <c r="K23" s="2380"/>
      <c r="L23" s="2381"/>
      <c r="M23" s="2380"/>
      <c r="N23" s="2380"/>
      <c r="O23" s="2381"/>
      <c r="P23" s="2380"/>
      <c r="Q23" s="2380"/>
      <c r="R23" s="2382"/>
    </row>
    <row r="24" spans="1:18" s="2352" customFormat="1" ht="15.75" thickBot="1">
      <c r="A24" s="2397"/>
      <c r="B24" s="2395" t="s">
        <v>2113</v>
      </c>
      <c r="C24" s="137">
        <f>C10</f>
        <v>0</v>
      </c>
      <c r="D24" s="2380"/>
      <c r="E24" s="2398"/>
      <c r="F24" s="2398"/>
      <c r="G24" s="2399"/>
      <c r="H24" s="2380"/>
      <c r="I24" s="2381"/>
      <c r="J24" s="2380"/>
      <c r="K24" s="2380"/>
      <c r="L24" s="2381"/>
      <c r="M24" s="2380"/>
      <c r="N24" s="2380"/>
      <c r="O24" s="2381"/>
      <c r="P24" s="2380"/>
      <c r="Q24" s="2380"/>
      <c r="R24" s="2382"/>
    </row>
    <row r="25" spans="1:18" s="2352" customFormat="1">
      <c r="B25" s="2380"/>
      <c r="C25" s="2380"/>
      <c r="D25" s="2380"/>
      <c r="H25" s="2380"/>
      <c r="I25" s="2381"/>
      <c r="J25" s="2380"/>
      <c r="K25" s="2380"/>
      <c r="L25" s="2381"/>
      <c r="M25" s="2380"/>
      <c r="N25" s="2380"/>
      <c r="O25" s="2381"/>
      <c r="P25" s="2380"/>
      <c r="Q25" s="2380"/>
      <c r="R25" s="2382"/>
    </row>
    <row r="26" spans="1:18" s="2352" customFormat="1">
      <c r="B26" s="2380"/>
      <c r="C26" s="2380"/>
      <c r="D26" s="2380"/>
      <c r="H26" s="2380"/>
      <c r="I26" s="2381"/>
      <c r="J26" s="2380"/>
      <c r="K26" s="2380"/>
      <c r="L26" s="2381"/>
      <c r="M26" s="2380"/>
      <c r="N26" s="2380"/>
      <c r="O26" s="2381"/>
      <c r="P26" s="2380"/>
      <c r="Q26" s="2380"/>
      <c r="R26" s="2382"/>
    </row>
    <row r="27" spans="1:18" s="2352" customFormat="1">
      <c r="B27" s="2380"/>
      <c r="C27" s="2380"/>
      <c r="D27" s="2380"/>
      <c r="H27" s="2380"/>
      <c r="I27" s="2381"/>
      <c r="J27" s="2380"/>
      <c r="K27" s="2380"/>
      <c r="L27" s="2381"/>
      <c r="M27" s="2380"/>
      <c r="N27" s="2380"/>
      <c r="O27" s="2381"/>
      <c r="P27" s="2380"/>
      <c r="Q27" s="2380"/>
      <c r="R27" s="2382"/>
    </row>
    <row r="28" spans="1:18" s="2352" customFormat="1">
      <c r="B28" s="2380"/>
      <c r="C28" s="2380"/>
      <c r="D28" s="2380"/>
      <c r="H28" s="2380"/>
      <c r="I28" s="2381"/>
      <c r="J28" s="2380"/>
      <c r="K28" s="2380"/>
      <c r="L28" s="2381"/>
      <c r="M28" s="2380"/>
      <c r="N28" s="2380"/>
      <c r="O28" s="2381"/>
      <c r="P28" s="2380"/>
      <c r="Q28" s="2380"/>
      <c r="R28" s="2382"/>
    </row>
    <row r="29" spans="1:18" s="2352" customFormat="1">
      <c r="B29" s="2380"/>
      <c r="C29" s="2380"/>
      <c r="D29" s="2380"/>
      <c r="H29" s="2380"/>
      <c r="I29" s="2381"/>
      <c r="J29" s="2380"/>
      <c r="K29" s="2380"/>
      <c r="L29" s="2381"/>
      <c r="M29" s="2380"/>
      <c r="N29" s="2380"/>
      <c r="O29" s="2381"/>
      <c r="P29" s="2380"/>
      <c r="Q29" s="2380"/>
      <c r="R29" s="2382"/>
    </row>
    <row r="30" spans="1:18" s="2352" customFormat="1">
      <c r="B30" s="2380"/>
      <c r="C30" s="2380"/>
      <c r="D30" s="2380"/>
      <c r="H30" s="2380"/>
      <c r="I30" s="2381"/>
      <c r="J30" s="2380"/>
      <c r="K30" s="2380"/>
      <c r="L30" s="2381"/>
      <c r="M30" s="2380"/>
      <c r="N30" s="2380"/>
      <c r="O30" s="2381"/>
      <c r="P30" s="2380"/>
      <c r="Q30" s="2380"/>
      <c r="R30" s="2382"/>
    </row>
    <row r="31" spans="1:18" s="2352" customFormat="1">
      <c r="B31" s="2380"/>
      <c r="C31" s="2380"/>
      <c r="D31" s="2380"/>
      <c r="H31" s="2380"/>
      <c r="I31" s="2381"/>
      <c r="J31" s="2380"/>
      <c r="K31" s="2380"/>
      <c r="L31" s="2381"/>
      <c r="M31" s="2380"/>
      <c r="N31" s="2380"/>
      <c r="O31" s="2381"/>
      <c r="P31" s="2380"/>
      <c r="Q31" s="2380"/>
      <c r="R31" s="2382"/>
    </row>
    <row r="32" spans="1:18" s="2352" customFormat="1">
      <c r="B32" s="2380"/>
      <c r="C32" s="2380"/>
      <c r="D32" s="2380"/>
      <c r="H32" s="2380"/>
      <c r="I32" s="2381"/>
      <c r="J32" s="2380"/>
      <c r="K32" s="2380"/>
      <c r="L32" s="2381"/>
      <c r="M32" s="2380"/>
      <c r="N32" s="2380"/>
      <c r="O32" s="2381"/>
      <c r="P32" s="2380"/>
      <c r="Q32" s="2380"/>
      <c r="R32" s="2382"/>
    </row>
    <row r="33" spans="2:18" s="2352" customFormat="1">
      <c r="B33" s="2380"/>
      <c r="C33" s="2380"/>
      <c r="D33" s="2380"/>
      <c r="H33" s="2380"/>
      <c r="I33" s="2381"/>
      <c r="J33" s="2380"/>
      <c r="K33" s="2380"/>
      <c r="L33" s="2381"/>
      <c r="M33" s="2380"/>
      <c r="N33" s="2380"/>
      <c r="O33" s="2381"/>
      <c r="P33" s="2380"/>
      <c r="Q33" s="2380"/>
      <c r="R33" s="2382"/>
    </row>
    <row r="34" spans="2:18" s="2352" customFormat="1">
      <c r="B34" s="2380"/>
      <c r="C34" s="2380"/>
      <c r="D34" s="2380"/>
      <c r="H34" s="2380"/>
      <c r="I34" s="2381"/>
      <c r="J34" s="2380"/>
      <c r="K34" s="2380"/>
      <c r="L34" s="2381"/>
      <c r="M34" s="2380"/>
      <c r="N34" s="2380"/>
      <c r="O34" s="2381"/>
      <c r="P34" s="2380"/>
      <c r="Q34" s="2380"/>
      <c r="R34" s="2382"/>
    </row>
    <row r="35" spans="2:18" s="2352" customFormat="1">
      <c r="B35" s="2380"/>
      <c r="C35" s="2380"/>
      <c r="D35" s="2380"/>
      <c r="H35" s="2380"/>
      <c r="I35" s="2381"/>
      <c r="J35" s="2380"/>
      <c r="K35" s="2380"/>
      <c r="L35" s="2381"/>
      <c r="M35" s="2380"/>
      <c r="N35" s="2380"/>
      <c r="O35" s="2381"/>
      <c r="P35" s="2380"/>
      <c r="Q35" s="2380"/>
      <c r="R35" s="2382"/>
    </row>
    <row r="36" spans="2:18" s="2352" customFormat="1">
      <c r="B36" s="2380"/>
      <c r="C36" s="2380"/>
      <c r="D36" s="2380"/>
      <c r="H36" s="2380"/>
      <c r="I36" s="2381"/>
      <c r="J36" s="2380"/>
      <c r="K36" s="2380"/>
      <c r="L36" s="2381"/>
      <c r="M36" s="2380"/>
      <c r="N36" s="2380"/>
      <c r="O36" s="2381"/>
      <c r="P36" s="2380"/>
      <c r="Q36" s="2380"/>
      <c r="R36" s="2382"/>
    </row>
    <row r="37" spans="2:18" s="2352" customFormat="1">
      <c r="B37" s="2380"/>
      <c r="C37" s="2380"/>
      <c r="D37" s="2380"/>
      <c r="H37" s="2380"/>
      <c r="I37" s="2381"/>
      <c r="J37" s="2380"/>
      <c r="K37" s="2380"/>
      <c r="L37" s="2381"/>
      <c r="M37" s="2380"/>
      <c r="N37" s="2380"/>
      <c r="O37" s="2381"/>
      <c r="P37" s="2380"/>
      <c r="Q37" s="2380"/>
      <c r="R37" s="2382"/>
    </row>
    <row r="38" spans="2:18" s="2352" customFormat="1">
      <c r="B38" s="2380"/>
      <c r="C38" s="2380"/>
      <c r="D38" s="2380"/>
      <c r="E38" s="2380"/>
      <c r="F38" s="2380"/>
      <c r="G38" s="2381"/>
      <c r="H38" s="2380"/>
      <c r="I38" s="2381"/>
      <c r="J38" s="2380"/>
      <c r="K38" s="2380"/>
      <c r="L38" s="2381"/>
      <c r="M38" s="2380"/>
      <c r="N38" s="2380"/>
      <c r="O38" s="2381"/>
      <c r="P38" s="2380"/>
      <c r="Q38" s="2380"/>
      <c r="R38" s="2382"/>
    </row>
    <row r="39" spans="2:18" s="2352" customFormat="1">
      <c r="B39" s="2380"/>
      <c r="C39" s="2380"/>
      <c r="D39" s="2380"/>
      <c r="E39" s="2380"/>
      <c r="F39" s="2380"/>
      <c r="G39" s="2381"/>
      <c r="H39" s="2380"/>
      <c r="I39" s="2381"/>
      <c r="J39" s="2380"/>
      <c r="K39" s="2380"/>
      <c r="L39" s="2381"/>
      <c r="M39" s="2380"/>
      <c r="N39" s="2380"/>
      <c r="O39" s="2381"/>
      <c r="P39" s="2380"/>
      <c r="Q39" s="2380"/>
      <c r="R39" s="2382"/>
    </row>
    <row r="40" spans="2:18" s="2352" customFormat="1">
      <c r="B40" s="2380"/>
      <c r="C40" s="2380"/>
      <c r="D40" s="2380"/>
      <c r="E40" s="2380"/>
      <c r="F40" s="2380"/>
      <c r="G40" s="2381"/>
      <c r="H40" s="2380"/>
      <c r="I40" s="2381"/>
      <c r="J40" s="2380"/>
      <c r="K40" s="2380"/>
      <c r="L40" s="2381"/>
      <c r="M40" s="2380"/>
      <c r="N40" s="2380"/>
      <c r="O40" s="2381"/>
      <c r="P40" s="2380"/>
      <c r="Q40" s="2380"/>
      <c r="R40" s="2382"/>
    </row>
    <row r="41" spans="2:18" s="2352" customFormat="1">
      <c r="B41" s="2380"/>
      <c r="C41" s="2380"/>
      <c r="D41" s="2380"/>
      <c r="E41" s="2380"/>
      <c r="F41" s="2380"/>
      <c r="G41" s="2381"/>
      <c r="H41" s="2380"/>
      <c r="I41" s="2381"/>
      <c r="J41" s="2380"/>
      <c r="K41" s="2380"/>
      <c r="L41" s="2381"/>
      <c r="M41" s="2380"/>
      <c r="N41" s="2380"/>
      <c r="O41" s="2381"/>
      <c r="P41" s="2380"/>
      <c r="Q41" s="2380"/>
      <c r="R41" s="2382"/>
    </row>
    <row r="42" spans="2:18" s="2352" customFormat="1">
      <c r="B42" s="2380"/>
      <c r="C42" s="2380"/>
      <c r="D42" s="2380"/>
      <c r="E42" s="2380"/>
      <c r="F42" s="2380"/>
      <c r="G42" s="2381"/>
      <c r="H42" s="2380"/>
      <c r="I42" s="2381"/>
      <c r="J42" s="2380"/>
      <c r="K42" s="2380"/>
      <c r="L42" s="2381"/>
      <c r="M42" s="2380"/>
      <c r="N42" s="2380"/>
      <c r="O42" s="2381"/>
      <c r="P42" s="2380"/>
      <c r="Q42" s="2380"/>
      <c r="R42" s="2382"/>
    </row>
    <row r="43" spans="2:18" s="2352" customFormat="1">
      <c r="B43" s="2380"/>
      <c r="C43" s="2380"/>
      <c r="D43" s="2380"/>
      <c r="E43" s="2380"/>
      <c r="F43" s="2380"/>
      <c r="G43" s="2381"/>
      <c r="H43" s="2380"/>
      <c r="I43" s="2381"/>
      <c r="J43" s="2380"/>
      <c r="K43" s="2380"/>
      <c r="L43" s="2381"/>
      <c r="M43" s="2380"/>
      <c r="N43" s="2380"/>
      <c r="O43" s="2381"/>
      <c r="P43" s="2380"/>
      <c r="Q43" s="2380"/>
      <c r="R43" s="2382"/>
    </row>
    <row r="44" spans="2:18" s="2352" customFormat="1">
      <c r="B44" s="2380"/>
      <c r="C44" s="2380"/>
      <c r="D44" s="2380"/>
      <c r="E44" s="2380"/>
      <c r="F44" s="2380"/>
      <c r="G44" s="2381"/>
      <c r="H44" s="2380"/>
      <c r="I44" s="2381"/>
      <c r="J44" s="2380"/>
      <c r="K44" s="2380"/>
      <c r="L44" s="2381"/>
      <c r="M44" s="2380"/>
      <c r="N44" s="2380"/>
      <c r="O44" s="2381"/>
      <c r="P44" s="2380"/>
      <c r="Q44" s="2380"/>
      <c r="R44" s="2382"/>
    </row>
    <row r="45" spans="2:18" s="2352" customFormat="1">
      <c r="B45" s="2380"/>
      <c r="C45" s="2380"/>
      <c r="D45" s="2380"/>
      <c r="E45" s="2380"/>
      <c r="F45" s="2380"/>
      <c r="G45" s="2381"/>
      <c r="H45" s="2380"/>
      <c r="I45" s="2381"/>
      <c r="J45" s="2380"/>
      <c r="K45" s="2380"/>
      <c r="L45" s="2381"/>
      <c r="M45" s="2380"/>
      <c r="N45" s="2380"/>
      <c r="O45" s="2381"/>
      <c r="P45" s="2380"/>
      <c r="Q45" s="2380"/>
      <c r="R45" s="2382"/>
    </row>
    <row r="46" spans="2:18" s="2352" customFormat="1">
      <c r="B46" s="2380"/>
      <c r="C46" s="2380"/>
      <c r="D46" s="2380"/>
      <c r="E46" s="2380"/>
      <c r="F46" s="2380"/>
      <c r="G46" s="2381"/>
      <c r="H46" s="2380"/>
      <c r="I46" s="2381"/>
      <c r="J46" s="2380"/>
      <c r="K46" s="2380"/>
      <c r="L46" s="2381"/>
      <c r="M46" s="2380"/>
      <c r="N46" s="2380"/>
      <c r="O46" s="2381"/>
      <c r="P46" s="2380"/>
      <c r="Q46" s="2380"/>
      <c r="R46" s="2382"/>
    </row>
    <row r="47" spans="2:18" s="2352" customFormat="1">
      <c r="B47" s="2380"/>
      <c r="C47" s="2380"/>
      <c r="D47" s="2380"/>
      <c r="E47" s="2380"/>
      <c r="F47" s="2380"/>
      <c r="G47" s="2381"/>
      <c r="H47" s="2380"/>
      <c r="I47" s="2381"/>
      <c r="J47" s="2380"/>
      <c r="K47" s="2380"/>
      <c r="L47" s="2381"/>
      <c r="M47" s="2380"/>
      <c r="N47" s="2380"/>
      <c r="O47" s="2381"/>
      <c r="P47" s="2380"/>
      <c r="Q47" s="2380"/>
      <c r="R47" s="2382"/>
    </row>
    <row r="48" spans="2:18" s="2352" customFormat="1">
      <c r="B48" s="2380"/>
      <c r="C48" s="2380"/>
      <c r="D48" s="2380"/>
      <c r="E48" s="2380"/>
      <c r="F48" s="2380"/>
      <c r="G48" s="2381"/>
      <c r="H48" s="2380"/>
      <c r="I48" s="2381"/>
      <c r="J48" s="2380"/>
      <c r="K48" s="2380"/>
      <c r="L48" s="2381"/>
      <c r="M48" s="2380"/>
      <c r="N48" s="2380"/>
      <c r="O48" s="2381"/>
      <c r="P48" s="2380"/>
      <c r="Q48" s="2380"/>
      <c r="R48" s="2382"/>
    </row>
    <row r="49" spans="2:18" s="2352" customFormat="1">
      <c r="B49" s="2380"/>
      <c r="C49" s="2380"/>
      <c r="D49" s="2380"/>
      <c r="E49" s="2380"/>
      <c r="F49" s="2380"/>
      <c r="G49" s="2381"/>
      <c r="H49" s="2380"/>
      <c r="I49" s="2381"/>
      <c r="J49" s="2380"/>
      <c r="K49" s="2380"/>
      <c r="L49" s="2381"/>
      <c r="M49" s="2380"/>
      <c r="N49" s="2380"/>
      <c r="O49" s="2381"/>
      <c r="P49" s="2380"/>
      <c r="Q49" s="2380"/>
      <c r="R49" s="2382"/>
    </row>
    <row r="50" spans="2:18" s="2352" customFormat="1">
      <c r="B50" s="2380"/>
      <c r="C50" s="2380"/>
      <c r="D50" s="2380"/>
      <c r="E50" s="2380"/>
      <c r="F50" s="2380"/>
      <c r="G50" s="2381"/>
      <c r="H50" s="2380"/>
      <c r="I50" s="2381"/>
      <c r="J50" s="2380"/>
      <c r="K50" s="2380"/>
      <c r="L50" s="2381"/>
      <c r="M50" s="2380"/>
      <c r="N50" s="2380"/>
      <c r="O50" s="2381"/>
      <c r="P50" s="2380"/>
      <c r="Q50" s="2380"/>
      <c r="R50" s="2382"/>
    </row>
    <row r="51" spans="2:18" s="2352" customFormat="1">
      <c r="B51" s="2380"/>
      <c r="C51" s="2380"/>
      <c r="D51" s="2380"/>
      <c r="E51" s="2380"/>
      <c r="F51" s="2380"/>
      <c r="G51" s="2381"/>
      <c r="H51" s="2380"/>
      <c r="I51" s="2381"/>
      <c r="J51" s="2380"/>
      <c r="K51" s="2380"/>
      <c r="L51" s="2381"/>
      <c r="M51" s="2380"/>
      <c r="N51" s="2380"/>
      <c r="O51" s="2381"/>
      <c r="P51" s="2380"/>
      <c r="Q51" s="2380"/>
      <c r="R51" s="2382"/>
    </row>
    <row r="52" spans="2:18" s="2352" customFormat="1">
      <c r="B52" s="2380"/>
      <c r="C52" s="2380"/>
      <c r="D52" s="2380"/>
      <c r="E52" s="2380"/>
      <c r="F52" s="2380"/>
      <c r="G52" s="2381"/>
      <c r="H52" s="2380"/>
      <c r="I52" s="2381"/>
      <c r="J52" s="2380"/>
      <c r="K52" s="2380"/>
      <c r="L52" s="2381"/>
      <c r="M52" s="2380"/>
      <c r="N52" s="2380"/>
      <c r="O52" s="2381"/>
      <c r="P52" s="2380"/>
      <c r="Q52" s="2380"/>
      <c r="R52" s="2382"/>
    </row>
    <row r="53" spans="2:18" s="2352" customFormat="1">
      <c r="B53" s="2380"/>
      <c r="C53" s="2380"/>
      <c r="D53" s="2380"/>
      <c r="E53" s="2380"/>
      <c r="F53" s="2380"/>
      <c r="G53" s="2381"/>
      <c r="H53" s="2380"/>
      <c r="I53" s="2381"/>
      <c r="J53" s="2380"/>
      <c r="K53" s="2380"/>
      <c r="L53" s="2381"/>
      <c r="M53" s="2380"/>
      <c r="N53" s="2380"/>
      <c r="O53" s="2381"/>
      <c r="P53" s="2380"/>
      <c r="Q53" s="2380"/>
      <c r="R53" s="2382"/>
    </row>
    <row r="54" spans="2:18" s="2352" customFormat="1">
      <c r="B54" s="2380"/>
      <c r="C54" s="2380"/>
      <c r="D54" s="2380"/>
      <c r="E54" s="2380"/>
      <c r="F54" s="2380"/>
      <c r="G54" s="2381"/>
      <c r="H54" s="2380"/>
      <c r="I54" s="2381"/>
      <c r="J54" s="2380"/>
      <c r="K54" s="2380"/>
      <c r="L54" s="2381"/>
      <c r="M54" s="2380"/>
      <c r="N54" s="2380"/>
      <c r="O54" s="2381"/>
      <c r="P54" s="2380"/>
      <c r="Q54" s="2380"/>
      <c r="R54" s="2382"/>
    </row>
    <row r="55" spans="2:18" s="2352" customFormat="1">
      <c r="B55" s="2380"/>
      <c r="C55" s="2380"/>
      <c r="D55" s="2380"/>
      <c r="E55" s="2380"/>
      <c r="F55" s="2380"/>
      <c r="G55" s="2381"/>
      <c r="H55" s="2380"/>
      <c r="I55" s="2381"/>
      <c r="J55" s="2380"/>
      <c r="K55" s="2380"/>
      <c r="L55" s="2381"/>
      <c r="M55" s="2380"/>
      <c r="N55" s="2380"/>
      <c r="O55" s="2381"/>
      <c r="P55" s="2380"/>
      <c r="Q55" s="2380"/>
      <c r="R55" s="2382"/>
    </row>
    <row r="56" spans="2:18" s="2352" customFormat="1">
      <c r="B56" s="2380"/>
      <c r="C56" s="2380"/>
      <c r="D56" s="2380"/>
      <c r="E56" s="2380"/>
      <c r="F56" s="2380"/>
      <c r="G56" s="2381"/>
      <c r="H56" s="2380"/>
      <c r="I56" s="2381"/>
      <c r="J56" s="2380"/>
      <c r="K56" s="2380"/>
      <c r="L56" s="2381"/>
      <c r="M56" s="2380"/>
      <c r="N56" s="2380"/>
      <c r="O56" s="2381"/>
      <c r="P56" s="2380"/>
      <c r="Q56" s="2380"/>
      <c r="R56" s="2382"/>
    </row>
    <row r="57" spans="2:18" s="2352" customFormat="1">
      <c r="B57" s="2380"/>
      <c r="C57" s="2380"/>
      <c r="D57" s="2380"/>
      <c r="E57" s="2380"/>
      <c r="F57" s="2380"/>
      <c r="G57" s="2381"/>
      <c r="H57" s="2380"/>
      <c r="I57" s="2381"/>
      <c r="J57" s="2380"/>
      <c r="K57" s="2380"/>
      <c r="L57" s="2381"/>
      <c r="M57" s="2380"/>
      <c r="N57" s="2380"/>
      <c r="O57" s="2381"/>
      <c r="P57" s="2380"/>
      <c r="Q57" s="2380"/>
      <c r="R57" s="2382"/>
    </row>
    <row r="58" spans="2:18" s="2352" customFormat="1">
      <c r="B58" s="2380"/>
      <c r="C58" s="2380"/>
      <c r="D58" s="2380"/>
      <c r="E58" s="2380"/>
      <c r="F58" s="2380"/>
      <c r="G58" s="2381"/>
      <c r="H58" s="2380"/>
      <c r="I58" s="2381"/>
      <c r="J58" s="2380"/>
      <c r="K58" s="2380"/>
      <c r="L58" s="2381"/>
      <c r="M58" s="2380"/>
      <c r="N58" s="2380"/>
      <c r="O58" s="2381"/>
      <c r="P58" s="2380"/>
      <c r="Q58" s="2380"/>
      <c r="R58" s="2382"/>
    </row>
    <row r="59" spans="2:18" s="2352" customFormat="1">
      <c r="B59" s="2380"/>
      <c r="C59" s="2380"/>
      <c r="D59" s="2380"/>
      <c r="E59" s="2380"/>
      <c r="F59" s="2380"/>
      <c r="G59" s="2381"/>
      <c r="H59" s="2380"/>
      <c r="I59" s="2381"/>
      <c r="J59" s="2380"/>
      <c r="K59" s="2380"/>
      <c r="L59" s="2381"/>
      <c r="M59" s="2380"/>
      <c r="N59" s="2380"/>
      <c r="O59" s="2381"/>
      <c r="P59" s="2380"/>
      <c r="Q59" s="2380"/>
      <c r="R59" s="2382"/>
    </row>
    <row r="60" spans="2:18" s="2352" customFormat="1">
      <c r="B60" s="2380"/>
      <c r="C60" s="2380"/>
      <c r="D60" s="2380"/>
      <c r="E60" s="2380"/>
      <c r="F60" s="2380"/>
      <c r="G60" s="2381"/>
      <c r="H60" s="2380"/>
      <c r="I60" s="2381"/>
      <c r="J60" s="2380"/>
      <c r="K60" s="2380"/>
      <c r="L60" s="2381"/>
      <c r="M60" s="2380"/>
      <c r="N60" s="2380"/>
      <c r="O60" s="2381"/>
      <c r="P60" s="2380"/>
      <c r="Q60" s="2380"/>
      <c r="R60" s="2382"/>
    </row>
    <row r="61" spans="2:18" s="2352" customFormat="1">
      <c r="B61" s="2380"/>
      <c r="C61" s="2380"/>
      <c r="D61" s="2380"/>
      <c r="E61" s="2380"/>
      <c r="F61" s="2380"/>
      <c r="G61" s="2381"/>
      <c r="H61" s="2380"/>
      <c r="I61" s="2381"/>
      <c r="J61" s="2380"/>
      <c r="K61" s="2380"/>
      <c r="L61" s="2381"/>
      <c r="M61" s="2380"/>
      <c r="N61" s="2380"/>
      <c r="O61" s="2381"/>
      <c r="P61" s="2380"/>
      <c r="Q61" s="2380"/>
      <c r="R61" s="2382"/>
    </row>
    <row r="62" spans="2:18" s="2352" customFormat="1">
      <c r="B62" s="2380"/>
      <c r="C62" s="2380"/>
      <c r="D62" s="2380"/>
      <c r="E62" s="2380"/>
      <c r="F62" s="2380"/>
      <c r="G62" s="2381"/>
      <c r="H62" s="2380"/>
      <c r="I62" s="2381"/>
      <c r="J62" s="2380"/>
      <c r="K62" s="2380"/>
      <c r="L62" s="2381"/>
      <c r="M62" s="2380"/>
      <c r="N62" s="2380"/>
      <c r="O62" s="2381"/>
      <c r="P62" s="2380"/>
      <c r="Q62" s="2380"/>
      <c r="R62" s="2382"/>
    </row>
    <row r="63" spans="2:18" s="2352" customFormat="1">
      <c r="B63" s="2380"/>
      <c r="C63" s="2380"/>
      <c r="D63" s="2380"/>
      <c r="E63" s="2380"/>
      <c r="F63" s="2380"/>
      <c r="G63" s="2381"/>
      <c r="H63" s="2380"/>
      <c r="I63" s="2381"/>
      <c r="J63" s="2380"/>
      <c r="K63" s="2380"/>
      <c r="L63" s="2381"/>
      <c r="M63" s="2380"/>
      <c r="N63" s="2380"/>
      <c r="O63" s="2381"/>
      <c r="P63" s="2380"/>
      <c r="Q63" s="2380"/>
      <c r="R63" s="2382"/>
    </row>
    <row r="64" spans="2:18" s="2352" customFormat="1">
      <c r="B64" s="2380"/>
      <c r="C64" s="2380"/>
      <c r="D64" s="2380"/>
      <c r="E64" s="2380"/>
      <c r="F64" s="2380"/>
      <c r="G64" s="2381"/>
      <c r="H64" s="2380"/>
      <c r="I64" s="2381"/>
      <c r="J64" s="2380"/>
      <c r="K64" s="2380"/>
      <c r="L64" s="2381"/>
      <c r="M64" s="2380"/>
      <c r="N64" s="2380"/>
      <c r="O64" s="2381"/>
      <c r="P64" s="2380"/>
      <c r="Q64" s="2380"/>
      <c r="R64" s="2382"/>
    </row>
    <row r="65" spans="2:18" s="2352" customFormat="1">
      <c r="B65" s="2380"/>
      <c r="C65" s="2380"/>
      <c r="D65" s="2380"/>
      <c r="E65" s="2380"/>
      <c r="F65" s="2380"/>
      <c r="G65" s="2381"/>
      <c r="H65" s="2380"/>
      <c r="I65" s="2381"/>
      <c r="J65" s="2380"/>
      <c r="K65" s="2380"/>
      <c r="L65" s="2381"/>
      <c r="M65" s="2380"/>
      <c r="N65" s="2380"/>
      <c r="O65" s="2381"/>
      <c r="P65" s="2380"/>
      <c r="Q65" s="2380"/>
      <c r="R65" s="2382"/>
    </row>
    <row r="66" spans="2:18" s="2352" customFormat="1">
      <c r="B66" s="2380"/>
      <c r="C66" s="2380"/>
      <c r="D66" s="2380"/>
      <c r="E66" s="2380"/>
      <c r="F66" s="2380"/>
      <c r="G66" s="2381"/>
      <c r="H66" s="2380"/>
      <c r="I66" s="2381"/>
      <c r="J66" s="2380"/>
      <c r="K66" s="2380"/>
      <c r="L66" s="2381"/>
      <c r="M66" s="2380"/>
      <c r="N66" s="2380"/>
      <c r="O66" s="2381"/>
      <c r="P66" s="2380"/>
      <c r="Q66" s="2380"/>
      <c r="R66" s="2382"/>
    </row>
    <row r="67" spans="2:18" s="2352" customFormat="1">
      <c r="B67" s="2380"/>
      <c r="C67" s="2380"/>
      <c r="D67" s="2380"/>
      <c r="E67" s="2380"/>
      <c r="F67" s="2380"/>
      <c r="G67" s="2381"/>
      <c r="H67" s="2380"/>
      <c r="I67" s="2381"/>
      <c r="J67" s="2380"/>
      <c r="K67" s="2380"/>
      <c r="L67" s="2381"/>
      <c r="M67" s="2380"/>
      <c r="N67" s="2380"/>
      <c r="O67" s="2381"/>
      <c r="P67" s="2380"/>
      <c r="Q67" s="2380"/>
      <c r="R67" s="2382"/>
    </row>
    <row r="68" spans="2:18" s="2352" customFormat="1">
      <c r="B68" s="2380"/>
      <c r="C68" s="2380"/>
      <c r="D68" s="2380"/>
      <c r="E68" s="2380"/>
      <c r="F68" s="2380"/>
      <c r="G68" s="2381"/>
      <c r="H68" s="2380"/>
      <c r="I68" s="2381"/>
      <c r="J68" s="2380"/>
      <c r="K68" s="2380"/>
      <c r="L68" s="2381"/>
      <c r="M68" s="2380"/>
      <c r="N68" s="2380"/>
      <c r="O68" s="2381"/>
      <c r="P68" s="2380"/>
      <c r="Q68" s="2380"/>
      <c r="R68" s="2382"/>
    </row>
    <row r="69" spans="2:18" s="2352" customFormat="1">
      <c r="B69" s="2380"/>
      <c r="C69" s="2380"/>
      <c r="D69" s="2380"/>
      <c r="E69" s="2380"/>
      <c r="F69" s="2380"/>
      <c r="G69" s="2381"/>
      <c r="H69" s="2380"/>
      <c r="I69" s="2381"/>
      <c r="J69" s="2380"/>
      <c r="K69" s="2380"/>
      <c r="L69" s="2381"/>
      <c r="M69" s="2380"/>
      <c r="N69" s="2380"/>
      <c r="O69" s="2381"/>
      <c r="P69" s="2380"/>
      <c r="Q69" s="2380"/>
      <c r="R69" s="2382"/>
    </row>
    <row r="70" spans="2:18" s="2352" customFormat="1">
      <c r="B70" s="2380"/>
      <c r="C70" s="2380"/>
      <c r="D70" s="2380"/>
      <c r="E70" s="2380"/>
      <c r="F70" s="2380"/>
      <c r="G70" s="2381"/>
      <c r="H70" s="2380"/>
      <c r="I70" s="2381"/>
      <c r="J70" s="2380"/>
      <c r="K70" s="2380"/>
      <c r="L70" s="2381"/>
      <c r="M70" s="2380"/>
      <c r="N70" s="2380"/>
      <c r="O70" s="2381"/>
      <c r="P70" s="2380"/>
      <c r="Q70" s="2380"/>
      <c r="R70" s="2382"/>
    </row>
    <row r="71" spans="2:18" s="2352" customFormat="1">
      <c r="B71" s="2380"/>
      <c r="C71" s="2380"/>
      <c r="D71" s="2380"/>
      <c r="E71" s="2380"/>
      <c r="F71" s="2380"/>
      <c r="G71" s="2381"/>
      <c r="H71" s="2380"/>
      <c r="I71" s="2381"/>
      <c r="J71" s="2380"/>
      <c r="K71" s="2380"/>
      <c r="L71" s="2381"/>
      <c r="M71" s="2380"/>
      <c r="N71" s="2380"/>
      <c r="O71" s="2381"/>
      <c r="P71" s="2380"/>
      <c r="Q71" s="2380"/>
      <c r="R71" s="2382"/>
    </row>
    <row r="72" spans="2:18" s="2352" customFormat="1">
      <c r="B72" s="2380"/>
      <c r="C72" s="2380"/>
      <c r="D72" s="2380"/>
      <c r="E72" s="2380"/>
      <c r="F72" s="2380"/>
      <c r="G72" s="2381"/>
      <c r="H72" s="2380"/>
      <c r="I72" s="2381"/>
      <c r="J72" s="2380"/>
      <c r="K72" s="2380"/>
      <c r="L72" s="2381"/>
      <c r="M72" s="2380"/>
      <c r="N72" s="2380"/>
      <c r="O72" s="2381"/>
      <c r="P72" s="2380"/>
      <c r="Q72" s="2380"/>
      <c r="R72" s="2382"/>
    </row>
    <row r="73" spans="2:18" s="2352" customFormat="1">
      <c r="B73" s="2380"/>
      <c r="C73" s="2380"/>
      <c r="D73" s="2380"/>
      <c r="E73" s="2380"/>
      <c r="F73" s="2380"/>
      <c r="G73" s="2381"/>
      <c r="H73" s="2380"/>
      <c r="I73" s="2381"/>
      <c r="J73" s="2380"/>
      <c r="K73" s="2380"/>
      <c r="L73" s="2381"/>
      <c r="M73" s="2380"/>
      <c r="N73" s="2380"/>
      <c r="O73" s="2381"/>
      <c r="P73" s="2380"/>
      <c r="Q73" s="2380"/>
      <c r="R73" s="2382"/>
    </row>
    <row r="74" spans="2:18" s="2352" customFormat="1">
      <c r="B74" s="2380"/>
      <c r="C74" s="2380"/>
      <c r="D74" s="2380"/>
      <c r="E74" s="2380"/>
      <c r="F74" s="2380"/>
      <c r="G74" s="2381"/>
      <c r="H74" s="2380"/>
      <c r="I74" s="2381"/>
      <c r="J74" s="2380"/>
      <c r="K74" s="2380"/>
      <c r="L74" s="2381"/>
      <c r="M74" s="2380"/>
      <c r="N74" s="2380"/>
      <c r="O74" s="2381"/>
      <c r="P74" s="2380"/>
      <c r="Q74" s="2380"/>
      <c r="R74" s="2382"/>
    </row>
    <row r="75" spans="2:18" s="2352" customFormat="1">
      <c r="B75" s="2380"/>
      <c r="C75" s="2380"/>
      <c r="D75" s="2380"/>
      <c r="E75" s="2380"/>
      <c r="F75" s="2380"/>
      <c r="G75" s="2381"/>
      <c r="H75" s="2380"/>
      <c r="I75" s="2381"/>
      <c r="J75" s="2380"/>
      <c r="K75" s="2380"/>
      <c r="L75" s="2381"/>
      <c r="M75" s="2380"/>
      <c r="N75" s="2380"/>
      <c r="O75" s="2381"/>
      <c r="P75" s="2380"/>
      <c r="Q75" s="2380"/>
      <c r="R75" s="2382"/>
    </row>
    <row r="76" spans="2:18" s="2352" customFormat="1">
      <c r="B76" s="2380"/>
      <c r="C76" s="2380"/>
      <c r="D76" s="2380"/>
      <c r="E76" s="2380"/>
      <c r="F76" s="2380"/>
      <c r="G76" s="2381"/>
      <c r="H76" s="2380"/>
      <c r="I76" s="2381"/>
      <c r="J76" s="2380"/>
      <c r="K76" s="2380"/>
      <c r="L76" s="2381"/>
      <c r="M76" s="2380"/>
      <c r="N76" s="2380"/>
      <c r="O76" s="2381"/>
      <c r="P76" s="2380"/>
      <c r="Q76" s="2380"/>
      <c r="R76" s="2382"/>
    </row>
    <row r="77" spans="2:18" s="2352" customFormat="1">
      <c r="B77" s="2380"/>
      <c r="C77" s="2380"/>
      <c r="D77" s="2380"/>
      <c r="E77" s="2380"/>
      <c r="F77" s="2380"/>
      <c r="G77" s="2381"/>
      <c r="H77" s="2380"/>
      <c r="I77" s="2381"/>
      <c r="J77" s="2380"/>
      <c r="K77" s="2380"/>
      <c r="L77" s="2381"/>
      <c r="M77" s="2380"/>
      <c r="N77" s="2380"/>
      <c r="O77" s="2381"/>
      <c r="P77" s="2380"/>
      <c r="Q77" s="2380"/>
      <c r="R77" s="2382"/>
    </row>
    <row r="78" spans="2:18" s="2352" customFormat="1">
      <c r="B78" s="2380"/>
      <c r="C78" s="2380"/>
      <c r="D78" s="2380"/>
      <c r="E78" s="2380"/>
      <c r="F78" s="2380"/>
      <c r="G78" s="2381"/>
      <c r="H78" s="2380"/>
      <c r="I78" s="2381"/>
      <c r="J78" s="2380"/>
      <c r="K78" s="2380"/>
      <c r="L78" s="2381"/>
      <c r="M78" s="2380"/>
      <c r="N78" s="2380"/>
      <c r="O78" s="2381"/>
      <c r="P78" s="2380"/>
      <c r="Q78" s="2380"/>
      <c r="R78" s="2382"/>
    </row>
    <row r="79" spans="2:18" s="2352" customFormat="1">
      <c r="B79" s="2380"/>
      <c r="C79" s="2380"/>
      <c r="D79" s="2380"/>
      <c r="E79" s="2380"/>
      <c r="F79" s="2380"/>
      <c r="G79" s="2381"/>
      <c r="H79" s="2380"/>
      <c r="I79" s="2381"/>
      <c r="J79" s="2380"/>
      <c r="K79" s="2380"/>
      <c r="L79" s="2381"/>
      <c r="M79" s="2380"/>
      <c r="N79" s="2380"/>
      <c r="O79" s="2381"/>
      <c r="P79" s="2380"/>
      <c r="Q79" s="2380"/>
      <c r="R79" s="2382"/>
    </row>
    <row r="80" spans="2:18" s="2352" customFormat="1">
      <c r="B80" s="2380"/>
      <c r="C80" s="2380"/>
      <c r="D80" s="2380"/>
      <c r="E80" s="2380"/>
      <c r="F80" s="2380"/>
      <c r="G80" s="2381"/>
      <c r="H80" s="2380"/>
      <c r="I80" s="2381"/>
      <c r="J80" s="2380"/>
      <c r="K80" s="2380"/>
      <c r="L80" s="2381"/>
      <c r="M80" s="2380"/>
      <c r="N80" s="2380"/>
      <c r="O80" s="2381"/>
      <c r="P80" s="2380"/>
      <c r="Q80" s="2380"/>
      <c r="R80" s="2382"/>
    </row>
    <row r="81" spans="2:18" s="2352" customFormat="1">
      <c r="B81" s="2380"/>
      <c r="C81" s="2380"/>
      <c r="D81" s="2380"/>
      <c r="E81" s="2380"/>
      <c r="F81" s="2380"/>
      <c r="G81" s="2381"/>
      <c r="H81" s="2380"/>
      <c r="I81" s="2381"/>
      <c r="J81" s="2380"/>
      <c r="K81" s="2380"/>
      <c r="L81" s="2381"/>
      <c r="M81" s="2380"/>
      <c r="N81" s="2380"/>
      <c r="O81" s="2381"/>
      <c r="P81" s="2380"/>
      <c r="Q81" s="2380"/>
      <c r="R81" s="2382"/>
    </row>
    <row r="82" spans="2:18" s="2352" customFormat="1">
      <c r="B82" s="2380"/>
      <c r="C82" s="2380"/>
      <c r="D82" s="2380"/>
      <c r="E82" s="2380"/>
      <c r="F82" s="2380"/>
      <c r="G82" s="2381"/>
      <c r="H82" s="2380"/>
      <c r="I82" s="2381"/>
      <c r="J82" s="2380"/>
      <c r="K82" s="2380"/>
      <c r="L82" s="2381"/>
      <c r="M82" s="2380"/>
      <c r="N82" s="2380"/>
      <c r="O82" s="2381"/>
      <c r="P82" s="2380"/>
      <c r="Q82" s="2380"/>
      <c r="R82" s="2382"/>
    </row>
    <row r="83" spans="2:18" s="2352" customFormat="1">
      <c r="B83" s="2380"/>
      <c r="C83" s="2380"/>
      <c r="D83" s="2380"/>
      <c r="E83" s="2380"/>
      <c r="F83" s="2380"/>
      <c r="G83" s="2381"/>
      <c r="H83" s="2380"/>
      <c r="I83" s="2381"/>
      <c r="J83" s="2380"/>
      <c r="K83" s="2380"/>
      <c r="L83" s="2381"/>
      <c r="M83" s="2380"/>
      <c r="N83" s="2380"/>
      <c r="O83" s="2381"/>
      <c r="P83" s="2380"/>
      <c r="Q83" s="2380"/>
      <c r="R83" s="2382"/>
    </row>
    <row r="84" spans="2:18" s="2352" customFormat="1">
      <c r="B84" s="2380"/>
      <c r="C84" s="2380"/>
      <c r="D84" s="2380"/>
      <c r="E84" s="2380"/>
      <c r="F84" s="2380"/>
      <c r="G84" s="2381"/>
      <c r="H84" s="2380"/>
      <c r="I84" s="2381"/>
      <c r="J84" s="2380"/>
      <c r="K84" s="2380"/>
      <c r="L84" s="2381"/>
      <c r="M84" s="2380"/>
      <c r="N84" s="2380"/>
      <c r="O84" s="2381"/>
      <c r="P84" s="2380"/>
      <c r="Q84" s="2380"/>
      <c r="R84" s="2382"/>
    </row>
    <row r="85" spans="2:18" s="2352" customFormat="1">
      <c r="B85" s="2380"/>
      <c r="C85" s="2380"/>
      <c r="D85" s="2380"/>
      <c r="E85" s="2380"/>
      <c r="F85" s="2380"/>
      <c r="G85" s="2381"/>
      <c r="H85" s="2380"/>
      <c r="I85" s="2381"/>
      <c r="J85" s="2380"/>
      <c r="K85" s="2380"/>
      <c r="L85" s="2381"/>
      <c r="M85" s="2380"/>
      <c r="N85" s="2380"/>
      <c r="O85" s="2381"/>
      <c r="P85" s="2380"/>
      <c r="Q85" s="2380"/>
      <c r="R85" s="2382"/>
    </row>
    <row r="86" spans="2:18" s="2352" customFormat="1">
      <c r="B86" s="2380"/>
      <c r="C86" s="2380"/>
      <c r="D86" s="2380"/>
      <c r="E86" s="2380"/>
      <c r="F86" s="2380"/>
      <c r="G86" s="2381"/>
      <c r="H86" s="2380"/>
      <c r="I86" s="2381"/>
      <c r="J86" s="2380"/>
      <c r="K86" s="2380"/>
      <c r="L86" s="2381"/>
      <c r="M86" s="2380"/>
      <c r="N86" s="2380"/>
      <c r="O86" s="2381"/>
      <c r="P86" s="2380"/>
      <c r="Q86" s="2380"/>
      <c r="R86" s="2382"/>
    </row>
    <row r="87" spans="2:18" s="2352" customFormat="1">
      <c r="B87" s="2380"/>
      <c r="C87" s="2380"/>
      <c r="D87" s="2380"/>
      <c r="E87" s="2380"/>
      <c r="F87" s="2380"/>
      <c r="G87" s="2381"/>
      <c r="H87" s="2380"/>
      <c r="I87" s="2381"/>
      <c r="J87" s="2380"/>
      <c r="K87" s="2380"/>
      <c r="L87" s="2381"/>
      <c r="M87" s="2380"/>
      <c r="N87" s="2380"/>
      <c r="O87" s="2381"/>
      <c r="P87" s="2380"/>
      <c r="Q87" s="2380"/>
      <c r="R87" s="2382"/>
    </row>
    <row r="88" spans="2:18" s="2352" customFormat="1">
      <c r="B88" s="2380"/>
      <c r="C88" s="2380"/>
      <c r="D88" s="2380"/>
      <c r="E88" s="2380"/>
      <c r="F88" s="2380"/>
      <c r="G88" s="2381"/>
      <c r="H88" s="2380"/>
      <c r="I88" s="2381"/>
      <c r="J88" s="2380"/>
      <c r="K88" s="2380"/>
      <c r="L88" s="2381"/>
      <c r="M88" s="2380"/>
      <c r="N88" s="2380"/>
      <c r="O88" s="2381"/>
      <c r="P88" s="2380"/>
      <c r="Q88" s="2380"/>
      <c r="R88" s="2382"/>
    </row>
    <row r="89" spans="2:18" s="2352" customFormat="1">
      <c r="B89" s="2380"/>
      <c r="C89" s="2380"/>
      <c r="D89" s="2380"/>
      <c r="E89" s="2380"/>
      <c r="F89" s="2380"/>
      <c r="G89" s="2381"/>
      <c r="H89" s="2380"/>
      <c r="I89" s="2381"/>
      <c r="J89" s="2380"/>
      <c r="K89" s="2380"/>
      <c r="L89" s="2381"/>
      <c r="M89" s="2380"/>
      <c r="N89" s="2380"/>
      <c r="O89" s="2381"/>
      <c r="P89" s="2380"/>
      <c r="Q89" s="2380"/>
      <c r="R89" s="2382"/>
    </row>
    <row r="90" spans="2:18" s="2352" customFormat="1">
      <c r="B90" s="2380"/>
      <c r="C90" s="2380"/>
      <c r="D90" s="2380"/>
      <c r="E90" s="2380"/>
      <c r="F90" s="2380"/>
      <c r="G90" s="2381"/>
      <c r="H90" s="2380"/>
      <c r="I90" s="2381"/>
      <c r="J90" s="2380"/>
      <c r="K90" s="2380"/>
      <c r="L90" s="2381"/>
      <c r="M90" s="2380"/>
      <c r="N90" s="2380"/>
      <c r="O90" s="2381"/>
      <c r="P90" s="2380"/>
      <c r="Q90" s="2380"/>
      <c r="R90" s="2382"/>
    </row>
    <row r="91" spans="2:18" s="2352" customFormat="1">
      <c r="B91" s="2380"/>
      <c r="C91" s="2380"/>
      <c r="D91" s="2380"/>
      <c r="E91" s="2380"/>
      <c r="F91" s="2380"/>
      <c r="G91" s="2381"/>
      <c r="H91" s="2380"/>
      <c r="I91" s="2381"/>
      <c r="J91" s="2380"/>
      <c r="K91" s="2380"/>
      <c r="L91" s="2381"/>
      <c r="M91" s="2380"/>
      <c r="N91" s="2380"/>
      <c r="O91" s="2381"/>
      <c r="P91" s="2380"/>
      <c r="Q91" s="2380"/>
      <c r="R91" s="2382"/>
    </row>
    <row r="92" spans="2:18" s="2352" customFormat="1">
      <c r="B92" s="2380"/>
      <c r="C92" s="2380"/>
      <c r="D92" s="2380"/>
      <c r="E92" s="2380"/>
      <c r="F92" s="2380"/>
      <c r="G92" s="2381"/>
      <c r="H92" s="2380"/>
      <c r="I92" s="2381"/>
      <c r="J92" s="2380"/>
      <c r="K92" s="2380"/>
      <c r="L92" s="2381"/>
      <c r="M92" s="2380"/>
      <c r="N92" s="2380"/>
      <c r="O92" s="2381"/>
      <c r="P92" s="2380"/>
      <c r="Q92" s="2380"/>
      <c r="R92" s="2382"/>
    </row>
    <row r="93" spans="2:18" s="2352" customFormat="1">
      <c r="B93" s="2380"/>
      <c r="C93" s="2380"/>
      <c r="D93" s="2380"/>
      <c r="E93" s="2380"/>
      <c r="F93" s="2380"/>
      <c r="G93" s="2381"/>
      <c r="H93" s="2380"/>
      <c r="I93" s="2381"/>
      <c r="J93" s="2380"/>
      <c r="K93" s="2380"/>
      <c r="L93" s="2381"/>
      <c r="M93" s="2380"/>
      <c r="N93" s="2380"/>
      <c r="O93" s="2381"/>
      <c r="P93" s="2380"/>
      <c r="Q93" s="2380"/>
      <c r="R93" s="2382"/>
    </row>
    <row r="94" spans="2:18" s="2352" customFormat="1">
      <c r="B94" s="2380"/>
      <c r="C94" s="2380"/>
      <c r="D94" s="2380"/>
      <c r="E94" s="2380"/>
      <c r="F94" s="2380"/>
      <c r="G94" s="2381"/>
      <c r="H94" s="2380"/>
      <c r="I94" s="2381"/>
      <c r="J94" s="2380"/>
      <c r="K94" s="2380"/>
      <c r="L94" s="2381"/>
      <c r="M94" s="2380"/>
      <c r="N94" s="2380"/>
      <c r="O94" s="2381"/>
      <c r="P94" s="2380"/>
      <c r="Q94" s="2380"/>
      <c r="R94" s="2382"/>
    </row>
    <row r="95" spans="2:18" s="2352" customFormat="1">
      <c r="B95" s="2380"/>
      <c r="C95" s="2380"/>
      <c r="D95" s="2380"/>
      <c r="E95" s="2380"/>
      <c r="F95" s="2380"/>
      <c r="G95" s="2381"/>
      <c r="H95" s="2380"/>
      <c r="I95" s="2381"/>
      <c r="J95" s="2380"/>
      <c r="K95" s="2380"/>
      <c r="L95" s="2381"/>
      <c r="M95" s="2380"/>
      <c r="N95" s="2380"/>
      <c r="O95" s="2381"/>
      <c r="P95" s="2380"/>
      <c r="Q95" s="2380"/>
      <c r="R95" s="2382"/>
    </row>
    <row r="96" spans="2:18" s="2352" customFormat="1">
      <c r="B96" s="2380"/>
      <c r="C96" s="2380"/>
      <c r="D96" s="2380"/>
      <c r="E96" s="2380"/>
      <c r="F96" s="2380"/>
      <c r="G96" s="2381"/>
      <c r="H96" s="2380"/>
      <c r="I96" s="2381"/>
      <c r="J96" s="2380"/>
      <c r="K96" s="2380"/>
      <c r="L96" s="2381"/>
      <c r="M96" s="2380"/>
      <c r="N96" s="2380"/>
      <c r="O96" s="2381"/>
      <c r="P96" s="2380"/>
      <c r="Q96" s="2380"/>
      <c r="R96" s="2382"/>
    </row>
    <row r="97" spans="2:18" s="2352" customFormat="1">
      <c r="B97" s="2380"/>
      <c r="C97" s="2380"/>
      <c r="D97" s="2380"/>
      <c r="E97" s="2380"/>
      <c r="F97" s="2380"/>
      <c r="G97" s="2381"/>
      <c r="H97" s="2380"/>
      <c r="I97" s="2381"/>
      <c r="J97" s="2380"/>
      <c r="K97" s="2380"/>
      <c r="L97" s="2381"/>
      <c r="M97" s="2380"/>
      <c r="N97" s="2380"/>
      <c r="O97" s="2381"/>
      <c r="P97" s="2380"/>
      <c r="Q97" s="2380"/>
      <c r="R97" s="2382"/>
    </row>
    <row r="98" spans="2:18" s="2352" customFormat="1">
      <c r="B98" s="2380"/>
      <c r="C98" s="2380"/>
      <c r="D98" s="2380"/>
      <c r="E98" s="2380"/>
      <c r="F98" s="2380"/>
      <c r="G98" s="2381"/>
      <c r="H98" s="2380"/>
      <c r="I98" s="2381"/>
      <c r="J98" s="2380"/>
      <c r="K98" s="2380"/>
      <c r="L98" s="2381"/>
      <c r="M98" s="2380"/>
      <c r="N98" s="2380"/>
      <c r="O98" s="2381"/>
      <c r="P98" s="2380"/>
      <c r="Q98" s="2380"/>
      <c r="R98" s="2382"/>
    </row>
    <row r="99" spans="2:18" s="2352" customFormat="1">
      <c r="B99" s="2380"/>
      <c r="C99" s="2380"/>
      <c r="D99" s="2380"/>
      <c r="E99" s="2380"/>
      <c r="F99" s="2380"/>
      <c r="G99" s="2381"/>
      <c r="H99" s="2380"/>
      <c r="I99" s="2381"/>
      <c r="J99" s="2380"/>
      <c r="K99" s="2380"/>
      <c r="L99" s="2381"/>
      <c r="M99" s="2380"/>
      <c r="N99" s="2380"/>
      <c r="O99" s="2381"/>
      <c r="P99" s="2380"/>
      <c r="Q99" s="2380"/>
      <c r="R99" s="2382"/>
    </row>
    <row r="100" spans="2:18" s="2352" customFormat="1">
      <c r="B100" s="2380"/>
      <c r="C100" s="2380"/>
      <c r="D100" s="2380"/>
      <c r="E100" s="2380"/>
      <c r="F100" s="2380"/>
      <c r="G100" s="2381"/>
      <c r="H100" s="2380"/>
      <c r="I100" s="2381"/>
      <c r="J100" s="2380"/>
      <c r="K100" s="2380"/>
      <c r="L100" s="2381"/>
      <c r="M100" s="2380"/>
      <c r="N100" s="2380"/>
      <c r="O100" s="2381"/>
      <c r="P100" s="2380"/>
      <c r="Q100" s="2380"/>
      <c r="R100" s="2382"/>
    </row>
    <row r="101" spans="2:18" s="2352" customFormat="1">
      <c r="B101" s="2380"/>
      <c r="C101" s="2380"/>
      <c r="D101" s="2380"/>
      <c r="E101" s="2380"/>
      <c r="F101" s="2380"/>
      <c r="G101" s="2381"/>
      <c r="H101" s="2380"/>
      <c r="I101" s="2381"/>
      <c r="J101" s="2380"/>
      <c r="K101" s="2380"/>
      <c r="L101" s="2381"/>
      <c r="M101" s="2380"/>
      <c r="N101" s="2380"/>
      <c r="O101" s="2381"/>
      <c r="P101" s="2380"/>
      <c r="Q101" s="2380"/>
      <c r="R101" s="2382"/>
    </row>
    <row r="102" spans="2:18" s="2352" customFormat="1">
      <c r="B102" s="2380"/>
      <c r="C102" s="2380"/>
      <c r="D102" s="2380"/>
      <c r="E102" s="2380"/>
      <c r="F102" s="2380"/>
      <c r="G102" s="2381"/>
      <c r="H102" s="2380"/>
      <c r="I102" s="2381"/>
      <c r="J102" s="2380"/>
      <c r="K102" s="2380"/>
      <c r="L102" s="2381"/>
      <c r="M102" s="2380"/>
      <c r="N102" s="2380"/>
      <c r="O102" s="2381"/>
      <c r="P102" s="2380"/>
      <c r="Q102" s="2380"/>
      <c r="R102" s="2382"/>
    </row>
    <row r="103" spans="2:18" s="2352" customFormat="1">
      <c r="B103" s="2380"/>
      <c r="C103" s="2380"/>
      <c r="D103" s="2380"/>
      <c r="E103" s="2380"/>
      <c r="F103" s="2380"/>
      <c r="G103" s="2381"/>
      <c r="H103" s="2380"/>
      <c r="I103" s="2381"/>
      <c r="J103" s="2380"/>
      <c r="K103" s="2380"/>
      <c r="L103" s="2381"/>
      <c r="M103" s="2380"/>
      <c r="N103" s="2380"/>
      <c r="O103" s="2381"/>
      <c r="P103" s="2380"/>
      <c r="Q103" s="2380"/>
      <c r="R103" s="2382"/>
    </row>
    <row r="104" spans="2:18" s="2352" customFormat="1">
      <c r="B104" s="2380"/>
      <c r="C104" s="2380"/>
      <c r="D104" s="2380"/>
      <c r="E104" s="2380"/>
      <c r="F104" s="2380"/>
      <c r="G104" s="2381"/>
      <c r="H104" s="2380"/>
      <c r="I104" s="2381"/>
      <c r="J104" s="2380"/>
      <c r="K104" s="2380"/>
      <c r="L104" s="2381"/>
      <c r="M104" s="2380"/>
      <c r="N104" s="2380"/>
      <c r="O104" s="2381"/>
      <c r="P104" s="2380"/>
      <c r="Q104" s="2380"/>
      <c r="R104" s="2382"/>
    </row>
    <row r="105" spans="2:18" s="2352" customFormat="1">
      <c r="B105" s="2380"/>
      <c r="C105" s="2380"/>
      <c r="D105" s="2380"/>
      <c r="E105" s="2380"/>
      <c r="F105" s="2380"/>
      <c r="G105" s="2381"/>
      <c r="H105" s="2380"/>
      <c r="I105" s="2381"/>
      <c r="J105" s="2380"/>
      <c r="K105" s="2380"/>
      <c r="L105" s="2381"/>
      <c r="M105" s="2380"/>
      <c r="N105" s="2380"/>
      <c r="O105" s="2381"/>
      <c r="P105" s="2380"/>
      <c r="Q105" s="2380"/>
      <c r="R105" s="2382"/>
    </row>
    <row r="106" spans="2:18" s="2352" customFormat="1">
      <c r="B106" s="2380"/>
      <c r="C106" s="2380"/>
      <c r="D106" s="2380"/>
      <c r="E106" s="2380"/>
      <c r="F106" s="2380"/>
      <c r="G106" s="2381"/>
      <c r="H106" s="2380"/>
      <c r="I106" s="2381"/>
      <c r="J106" s="2380"/>
      <c r="K106" s="2380"/>
      <c r="L106" s="2381"/>
      <c r="M106" s="2380"/>
      <c r="N106" s="2380"/>
      <c r="O106" s="2381"/>
      <c r="P106" s="2380"/>
      <c r="Q106" s="2380"/>
      <c r="R106" s="2382"/>
    </row>
    <row r="107" spans="2:18" s="2352" customFormat="1">
      <c r="B107" s="2380"/>
      <c r="C107" s="2380"/>
      <c r="D107" s="2380"/>
      <c r="E107" s="2380"/>
      <c r="F107" s="2380"/>
      <c r="G107" s="2381"/>
      <c r="H107" s="2380"/>
      <c r="I107" s="2381"/>
      <c r="J107" s="2380"/>
      <c r="K107" s="2380"/>
      <c r="L107" s="2381"/>
      <c r="M107" s="2380"/>
      <c r="N107" s="2380"/>
      <c r="O107" s="2381"/>
      <c r="P107" s="2380"/>
      <c r="Q107" s="2380"/>
      <c r="R107" s="2382"/>
    </row>
    <row r="108" spans="2:18" s="2352" customFormat="1">
      <c r="B108" s="2380"/>
      <c r="C108" s="2380"/>
      <c r="D108" s="2380"/>
      <c r="E108" s="2380"/>
      <c r="F108" s="2380"/>
      <c r="G108" s="2381"/>
      <c r="H108" s="2380"/>
      <c r="I108" s="2381"/>
      <c r="J108" s="2380"/>
      <c r="K108" s="2380"/>
      <c r="L108" s="2381"/>
      <c r="M108" s="2380"/>
      <c r="N108" s="2380"/>
      <c r="O108" s="2381"/>
      <c r="P108" s="2380"/>
      <c r="Q108" s="2380"/>
      <c r="R108" s="2382"/>
    </row>
    <row r="109" spans="2:18" s="2352" customFormat="1">
      <c r="B109" s="2380"/>
      <c r="C109" s="2380"/>
      <c r="D109" s="2380"/>
      <c r="E109" s="2380"/>
      <c r="F109" s="2380"/>
      <c r="G109" s="2381"/>
      <c r="H109" s="2380"/>
      <c r="I109" s="2381"/>
      <c r="J109" s="2380"/>
      <c r="K109" s="2380"/>
      <c r="L109" s="2381"/>
      <c r="M109" s="2380"/>
      <c r="N109" s="2380"/>
      <c r="O109" s="2381"/>
      <c r="P109" s="2380"/>
      <c r="Q109" s="2380"/>
      <c r="R109" s="2382"/>
    </row>
    <row r="110" spans="2:18" s="2352" customFormat="1">
      <c r="B110" s="2380"/>
      <c r="C110" s="2380"/>
      <c r="D110" s="2380"/>
      <c r="E110" s="2380"/>
      <c r="F110" s="2380"/>
      <c r="G110" s="2381"/>
      <c r="H110" s="2380"/>
      <c r="I110" s="2381"/>
      <c r="J110" s="2380"/>
      <c r="K110" s="2380"/>
      <c r="L110" s="2381"/>
      <c r="M110" s="2380"/>
      <c r="N110" s="2380"/>
      <c r="O110" s="2381"/>
      <c r="P110" s="2380"/>
      <c r="Q110" s="2380"/>
      <c r="R110" s="2382"/>
    </row>
    <row r="111" spans="2:18" s="2352" customFormat="1">
      <c r="B111" s="2380"/>
      <c r="C111" s="2380"/>
      <c r="D111" s="2380"/>
      <c r="E111" s="2380"/>
      <c r="F111" s="2380"/>
      <c r="G111" s="2381"/>
      <c r="H111" s="2380"/>
      <c r="I111" s="2381"/>
      <c r="J111" s="2380"/>
      <c r="K111" s="2380"/>
      <c r="L111" s="2381"/>
      <c r="M111" s="2380"/>
      <c r="N111" s="2380"/>
      <c r="O111" s="2381"/>
      <c r="P111" s="2380"/>
      <c r="Q111" s="2380"/>
      <c r="R111" s="2382"/>
    </row>
    <row r="112" spans="2:18" s="2352" customFormat="1">
      <c r="B112" s="2380"/>
      <c r="C112" s="2380"/>
      <c r="D112" s="2380"/>
      <c r="E112" s="2380"/>
      <c r="F112" s="2380"/>
      <c r="G112" s="2381"/>
      <c r="H112" s="2380"/>
      <c r="I112" s="2381"/>
      <c r="J112" s="2380"/>
      <c r="K112" s="2380"/>
      <c r="L112" s="2381"/>
      <c r="M112" s="2380"/>
      <c r="N112" s="2380"/>
      <c r="O112" s="2381"/>
      <c r="P112" s="2380"/>
      <c r="Q112" s="2380"/>
      <c r="R112" s="2382"/>
    </row>
    <row r="113" spans="2:18" s="2352" customFormat="1">
      <c r="B113" s="2380"/>
      <c r="C113" s="2380"/>
      <c r="D113" s="2380"/>
      <c r="E113" s="2380"/>
      <c r="F113" s="2380"/>
      <c r="G113" s="2381"/>
      <c r="H113" s="2380"/>
      <c r="I113" s="2381"/>
      <c r="J113" s="2380"/>
      <c r="K113" s="2380"/>
      <c r="L113" s="2381"/>
      <c r="M113" s="2380"/>
      <c r="N113" s="2380"/>
      <c r="O113" s="2381"/>
      <c r="P113" s="2380"/>
      <c r="Q113" s="2380"/>
      <c r="R113" s="2382"/>
    </row>
    <row r="114" spans="2:18" s="2352" customFormat="1">
      <c r="B114" s="2380"/>
      <c r="C114" s="2380"/>
      <c r="D114" s="2380"/>
      <c r="E114" s="2380"/>
      <c r="F114" s="2380"/>
      <c r="G114" s="2381"/>
      <c r="H114" s="2380"/>
      <c r="I114" s="2381"/>
      <c r="J114" s="2380"/>
      <c r="K114" s="2380"/>
      <c r="L114" s="2381"/>
      <c r="M114" s="2380"/>
      <c r="N114" s="2380"/>
      <c r="O114" s="2381"/>
      <c r="P114" s="2380"/>
      <c r="Q114" s="2380"/>
      <c r="R114" s="2382"/>
    </row>
    <row r="115" spans="2:18" s="2352" customFormat="1">
      <c r="B115" s="2380"/>
      <c r="C115" s="2380"/>
      <c r="D115" s="2380"/>
      <c r="E115" s="2380"/>
      <c r="F115" s="2380"/>
      <c r="G115" s="2381"/>
      <c r="H115" s="2380"/>
      <c r="I115" s="2381"/>
      <c r="J115" s="2380"/>
      <c r="K115" s="2380"/>
      <c r="L115" s="2381"/>
      <c r="M115" s="2380"/>
      <c r="N115" s="2380"/>
      <c r="O115" s="2381"/>
      <c r="P115" s="2380"/>
      <c r="Q115" s="2380"/>
      <c r="R115" s="2382"/>
    </row>
    <row r="116" spans="2:18" s="2352" customFormat="1">
      <c r="B116" s="2380"/>
      <c r="C116" s="2380"/>
      <c r="D116" s="2380"/>
      <c r="E116" s="2380"/>
      <c r="F116" s="2380"/>
      <c r="G116" s="2381"/>
      <c r="H116" s="2380"/>
      <c r="I116" s="2381"/>
      <c r="J116" s="2380"/>
      <c r="K116" s="2380"/>
      <c r="L116" s="2381"/>
      <c r="M116" s="2380"/>
      <c r="N116" s="2380"/>
      <c r="O116" s="2381"/>
      <c r="P116" s="2380"/>
      <c r="Q116" s="2380"/>
      <c r="R116" s="2382"/>
    </row>
    <row r="117" spans="2:18" s="2352" customFormat="1">
      <c r="B117" s="2380"/>
      <c r="C117" s="2380"/>
      <c r="D117" s="2380"/>
      <c r="E117" s="2380"/>
      <c r="F117" s="2380"/>
      <c r="G117" s="2381"/>
      <c r="H117" s="2380"/>
      <c r="I117" s="2381"/>
      <c r="J117" s="2380"/>
      <c r="K117" s="2380"/>
      <c r="L117" s="2381"/>
      <c r="M117" s="2380"/>
      <c r="N117" s="2380"/>
      <c r="O117" s="2381"/>
      <c r="P117" s="2380"/>
      <c r="Q117" s="2380"/>
      <c r="R117" s="2382"/>
    </row>
    <row r="118" spans="2:18" s="2352" customFormat="1">
      <c r="B118" s="2380"/>
      <c r="C118" s="2380"/>
      <c r="D118" s="2380"/>
      <c r="E118" s="2380"/>
      <c r="F118" s="2380"/>
      <c r="G118" s="2381"/>
      <c r="H118" s="2380"/>
      <c r="I118" s="2381"/>
      <c r="J118" s="2380"/>
      <c r="K118" s="2380"/>
      <c r="L118" s="2381"/>
      <c r="M118" s="2380"/>
      <c r="N118" s="2380"/>
      <c r="O118" s="2381"/>
      <c r="P118" s="2380"/>
      <c r="Q118" s="2380"/>
      <c r="R118" s="2382"/>
    </row>
    <row r="119" spans="2:18" s="2352" customFormat="1">
      <c r="B119" s="2380"/>
      <c r="C119" s="2380"/>
      <c r="D119" s="2380"/>
      <c r="E119" s="2380"/>
      <c r="F119" s="2380"/>
      <c r="G119" s="2381"/>
      <c r="H119" s="2380"/>
      <c r="I119" s="2381"/>
      <c r="J119" s="2380"/>
      <c r="K119" s="2380"/>
      <c r="L119" s="2381"/>
      <c r="M119" s="2380"/>
      <c r="N119" s="2380"/>
      <c r="O119" s="2381"/>
      <c r="P119" s="2380"/>
      <c r="Q119" s="2380"/>
      <c r="R119" s="2382"/>
    </row>
    <row r="120" spans="2:18" s="2352" customFormat="1">
      <c r="B120" s="2380"/>
      <c r="C120" s="2380"/>
      <c r="D120" s="2380"/>
      <c r="E120" s="2380"/>
      <c r="F120" s="2380"/>
      <c r="G120" s="2381"/>
      <c r="H120" s="2380"/>
      <c r="I120" s="2381"/>
      <c r="J120" s="2380"/>
      <c r="K120" s="2380"/>
      <c r="L120" s="2381"/>
      <c r="M120" s="2380"/>
      <c r="N120" s="2380"/>
      <c r="O120" s="2381"/>
      <c r="P120" s="2380"/>
      <c r="Q120" s="2380"/>
      <c r="R120" s="2382"/>
    </row>
    <row r="121" spans="2:18" s="2352" customFormat="1">
      <c r="B121" s="2380"/>
      <c r="C121" s="2380"/>
      <c r="D121" s="2380"/>
      <c r="E121" s="2380"/>
      <c r="F121" s="2380"/>
      <c r="G121" s="2381"/>
      <c r="H121" s="2380"/>
      <c r="I121" s="2381"/>
      <c r="J121" s="2380"/>
      <c r="K121" s="2380"/>
      <c r="L121" s="2381"/>
      <c r="M121" s="2380"/>
      <c r="N121" s="2380"/>
      <c r="O121" s="2381"/>
      <c r="P121" s="2380"/>
      <c r="Q121" s="2380"/>
      <c r="R121" s="2382"/>
    </row>
    <row r="122" spans="2:18" s="2352" customFormat="1">
      <c r="B122" s="2380"/>
      <c r="C122" s="2380"/>
      <c r="D122" s="2380"/>
      <c r="E122" s="2380"/>
      <c r="F122" s="2380"/>
      <c r="G122" s="2381"/>
      <c r="H122" s="2380"/>
      <c r="I122" s="2381"/>
      <c r="J122" s="2380"/>
      <c r="K122" s="2380"/>
      <c r="L122" s="2381"/>
      <c r="M122" s="2380"/>
      <c r="N122" s="2380"/>
      <c r="O122" s="2381"/>
      <c r="P122" s="2380"/>
      <c r="Q122" s="2380"/>
      <c r="R122" s="2382"/>
    </row>
    <row r="123" spans="2:18" s="2352" customFormat="1">
      <c r="B123" s="2380"/>
      <c r="C123" s="2380"/>
      <c r="D123" s="2380"/>
      <c r="E123" s="2380"/>
      <c r="F123" s="2380"/>
      <c r="G123" s="2381"/>
      <c r="H123" s="2380"/>
      <c r="I123" s="2381"/>
      <c r="J123" s="2380"/>
      <c r="K123" s="2380"/>
      <c r="L123" s="2381"/>
      <c r="M123" s="2380"/>
      <c r="N123" s="2380"/>
      <c r="O123" s="2381"/>
      <c r="P123" s="2380"/>
      <c r="Q123" s="2380"/>
      <c r="R123" s="2382"/>
    </row>
    <row r="124" spans="2:18" s="2352" customFormat="1">
      <c r="B124" s="2380"/>
      <c r="C124" s="2380"/>
      <c r="D124" s="2380"/>
      <c r="E124" s="2380"/>
      <c r="F124" s="2380"/>
      <c r="G124" s="2381"/>
      <c r="H124" s="2380"/>
      <c r="I124" s="2381"/>
      <c r="J124" s="2380"/>
      <c r="K124" s="2380"/>
      <c r="L124" s="2381"/>
      <c r="M124" s="2380"/>
      <c r="N124" s="2380"/>
      <c r="O124" s="2381"/>
      <c r="P124" s="2380"/>
      <c r="Q124" s="2380"/>
      <c r="R124" s="2382"/>
    </row>
    <row r="125" spans="2:18" s="2352" customFormat="1">
      <c r="B125" s="2380"/>
      <c r="C125" s="2380"/>
      <c r="D125" s="2380"/>
      <c r="E125" s="2380"/>
      <c r="F125" s="2380"/>
      <c r="G125" s="2381"/>
      <c r="H125" s="2380"/>
      <c r="I125" s="2381"/>
      <c r="J125" s="2380"/>
      <c r="K125" s="2380"/>
      <c r="L125" s="2381"/>
      <c r="M125" s="2380"/>
      <c r="N125" s="2380"/>
      <c r="O125" s="2381"/>
      <c r="P125" s="2380"/>
      <c r="Q125" s="2380"/>
      <c r="R125" s="2382"/>
    </row>
    <row r="126" spans="2:18" s="2352" customFormat="1">
      <c r="B126" s="2380"/>
      <c r="C126" s="2380"/>
      <c r="D126" s="2380"/>
      <c r="E126" s="2380"/>
      <c r="F126" s="2380"/>
      <c r="G126" s="2381"/>
      <c r="H126" s="2380"/>
      <c r="I126" s="2381"/>
      <c r="J126" s="2380"/>
      <c r="K126" s="2380"/>
      <c r="L126" s="2381"/>
      <c r="M126" s="2380"/>
      <c r="N126" s="2380"/>
      <c r="O126" s="2381"/>
      <c r="P126" s="2380"/>
      <c r="Q126" s="2380"/>
      <c r="R126" s="2382"/>
    </row>
    <row r="127" spans="2:18" s="2352" customFormat="1">
      <c r="B127" s="2380"/>
      <c r="C127" s="2380"/>
      <c r="D127" s="2380"/>
      <c r="E127" s="2380"/>
      <c r="F127" s="2380"/>
      <c r="G127" s="2381"/>
      <c r="H127" s="2380"/>
      <c r="I127" s="2381"/>
      <c r="J127" s="2380"/>
      <c r="K127" s="2380"/>
      <c r="L127" s="2381"/>
      <c r="M127" s="2380"/>
      <c r="N127" s="2380"/>
      <c r="O127" s="2381"/>
      <c r="P127" s="2380"/>
      <c r="Q127" s="2380"/>
      <c r="R127" s="2382"/>
    </row>
    <row r="128" spans="2:18" s="2352" customFormat="1">
      <c r="B128" s="2380"/>
      <c r="C128" s="2380"/>
      <c r="D128" s="2380"/>
      <c r="E128" s="2380"/>
      <c r="F128" s="2380"/>
      <c r="G128" s="2381"/>
      <c r="H128" s="2380"/>
      <c r="I128" s="2381"/>
      <c r="J128" s="2380"/>
      <c r="K128" s="2380"/>
      <c r="L128" s="2381"/>
      <c r="M128" s="2380"/>
      <c r="N128" s="2380"/>
      <c r="O128" s="2381"/>
      <c r="P128" s="2380"/>
      <c r="Q128" s="2380"/>
      <c r="R128" s="2382"/>
    </row>
    <row r="129" spans="2:18" s="2352" customFormat="1">
      <c r="B129" s="2380"/>
      <c r="C129" s="2380"/>
      <c r="D129" s="2380"/>
      <c r="E129" s="2380"/>
      <c r="F129" s="2380"/>
      <c r="G129" s="2381"/>
      <c r="H129" s="2380"/>
      <c r="I129" s="2381"/>
      <c r="J129" s="2380"/>
      <c r="K129" s="2380"/>
      <c r="L129" s="2381"/>
      <c r="M129" s="2380"/>
      <c r="N129" s="2380"/>
      <c r="O129" s="2381"/>
      <c r="P129" s="2380"/>
      <c r="Q129" s="2380"/>
      <c r="R129" s="2382"/>
    </row>
    <row r="130" spans="2:18" s="2352" customFormat="1">
      <c r="B130" s="2380"/>
      <c r="C130" s="2380"/>
      <c r="D130" s="2380"/>
      <c r="E130" s="2380"/>
      <c r="F130" s="2380"/>
      <c r="G130" s="2381"/>
      <c r="H130" s="2380"/>
      <c r="I130" s="2381"/>
      <c r="J130" s="2380"/>
      <c r="K130" s="2380"/>
      <c r="L130" s="2381"/>
      <c r="M130" s="2380"/>
      <c r="N130" s="2380"/>
      <c r="O130" s="2381"/>
      <c r="P130" s="2380"/>
      <c r="Q130" s="2380"/>
      <c r="R130" s="2382"/>
    </row>
    <row r="131" spans="2:18" s="2352" customFormat="1">
      <c r="B131" s="2380"/>
      <c r="C131" s="2380"/>
      <c r="D131" s="2380"/>
      <c r="E131" s="2380"/>
      <c r="F131" s="2380"/>
      <c r="G131" s="2381"/>
      <c r="H131" s="2380"/>
      <c r="I131" s="2381"/>
      <c r="J131" s="2380"/>
      <c r="K131" s="2380"/>
      <c r="L131" s="2381"/>
      <c r="M131" s="2380"/>
      <c r="N131" s="2380"/>
      <c r="O131" s="2381"/>
      <c r="P131" s="2380"/>
      <c r="Q131" s="2380"/>
      <c r="R131" s="2382"/>
    </row>
    <row r="132" spans="2:18" s="2352" customFormat="1">
      <c r="B132" s="2380"/>
      <c r="C132" s="2380"/>
      <c r="D132" s="2380"/>
      <c r="E132" s="2380"/>
      <c r="F132" s="2380"/>
      <c r="G132" s="2381"/>
      <c r="H132" s="2380"/>
      <c r="I132" s="2381"/>
      <c r="J132" s="2380"/>
      <c r="K132" s="2380"/>
      <c r="L132" s="2381"/>
      <c r="M132" s="2380"/>
      <c r="N132" s="2380"/>
      <c r="O132" s="2381"/>
      <c r="P132" s="2380"/>
      <c r="Q132" s="2380"/>
      <c r="R132" s="2382"/>
    </row>
    <row r="133" spans="2:18" s="2352" customFormat="1">
      <c r="B133" s="2380"/>
      <c r="C133" s="2380"/>
      <c r="D133" s="2380"/>
      <c r="E133" s="2380"/>
      <c r="F133" s="2380"/>
      <c r="G133" s="2381"/>
      <c r="H133" s="2380"/>
      <c r="I133" s="2381"/>
      <c r="J133" s="2380"/>
      <c r="K133" s="2380"/>
      <c r="L133" s="2381"/>
      <c r="M133" s="2380"/>
      <c r="N133" s="2380"/>
      <c r="O133" s="2381"/>
      <c r="P133" s="2380"/>
      <c r="Q133" s="2380"/>
      <c r="R133" s="2382"/>
    </row>
    <row r="134" spans="2:18" s="2352" customFormat="1">
      <c r="B134" s="2380"/>
      <c r="C134" s="2380"/>
      <c r="D134" s="2380"/>
      <c r="E134" s="2380"/>
      <c r="F134" s="2380"/>
      <c r="G134" s="2381"/>
      <c r="H134" s="2380"/>
      <c r="I134" s="2381"/>
      <c r="J134" s="2380"/>
      <c r="K134" s="2380"/>
      <c r="L134" s="2381"/>
      <c r="M134" s="2380"/>
      <c r="N134" s="2380"/>
      <c r="O134" s="2381"/>
      <c r="P134" s="2380"/>
      <c r="Q134" s="2380"/>
      <c r="R134" s="2382"/>
    </row>
    <row r="135" spans="2:18" s="2352" customFormat="1">
      <c r="B135" s="2380"/>
      <c r="C135" s="2380"/>
      <c r="D135" s="2380"/>
      <c r="E135" s="2380"/>
      <c r="F135" s="2380"/>
      <c r="G135" s="2381"/>
      <c r="H135" s="2380"/>
      <c r="I135" s="2381"/>
      <c r="J135" s="2380"/>
      <c r="K135" s="2380"/>
      <c r="L135" s="2381"/>
      <c r="M135" s="2380"/>
      <c r="N135" s="2380"/>
      <c r="O135" s="2381"/>
      <c r="P135" s="2380"/>
      <c r="Q135" s="2380"/>
      <c r="R135" s="2382"/>
    </row>
    <row r="136" spans="2:18" s="2352" customFormat="1">
      <c r="B136" s="2380"/>
      <c r="C136" s="2380"/>
      <c r="D136" s="2380"/>
      <c r="E136" s="2380"/>
      <c r="F136" s="2380"/>
      <c r="G136" s="2381"/>
      <c r="H136" s="2380"/>
      <c r="I136" s="2381"/>
      <c r="J136" s="2380"/>
      <c r="K136" s="2380"/>
      <c r="L136" s="2381"/>
      <c r="M136" s="2380"/>
      <c r="N136" s="2380"/>
      <c r="O136" s="2381"/>
      <c r="P136" s="2380"/>
      <c r="Q136" s="2380"/>
      <c r="R136" s="2382"/>
    </row>
    <row r="137" spans="2:18" s="2352" customFormat="1">
      <c r="B137" s="2380"/>
      <c r="C137" s="2380"/>
      <c r="D137" s="2380"/>
      <c r="E137" s="2380"/>
      <c r="F137" s="2380"/>
      <c r="G137" s="2381"/>
      <c r="H137" s="2380"/>
      <c r="I137" s="2381"/>
      <c r="J137" s="2380"/>
      <c r="K137" s="2380"/>
      <c r="L137" s="2381"/>
      <c r="M137" s="2380"/>
      <c r="N137" s="2380"/>
      <c r="O137" s="2381"/>
      <c r="P137" s="2380"/>
      <c r="Q137" s="2380"/>
      <c r="R137" s="2382"/>
    </row>
    <row r="138" spans="2:18" s="2352" customFormat="1">
      <c r="B138" s="2380"/>
      <c r="C138" s="2380"/>
      <c r="D138" s="2380"/>
      <c r="E138" s="2380"/>
      <c r="F138" s="2380"/>
      <c r="G138" s="2381"/>
      <c r="H138" s="2380"/>
      <c r="I138" s="2381"/>
      <c r="J138" s="2380"/>
      <c r="K138" s="2380"/>
      <c r="L138" s="2381"/>
      <c r="M138" s="2380"/>
      <c r="N138" s="2380"/>
      <c r="O138" s="2381"/>
      <c r="P138" s="2380"/>
      <c r="Q138" s="2380"/>
      <c r="R138" s="2382"/>
    </row>
    <row r="139" spans="2:18" s="2352" customFormat="1">
      <c r="B139" s="2380"/>
      <c r="C139" s="2380"/>
      <c r="D139" s="2380"/>
      <c r="E139" s="2380"/>
      <c r="F139" s="2380"/>
      <c r="G139" s="2381"/>
      <c r="H139" s="2380"/>
      <c r="I139" s="2381"/>
      <c r="J139" s="2380"/>
      <c r="K139" s="2380"/>
      <c r="L139" s="2381"/>
      <c r="M139" s="2380"/>
      <c r="N139" s="2380"/>
      <c r="O139" s="2381"/>
      <c r="P139" s="2380"/>
      <c r="Q139" s="2380"/>
      <c r="R139" s="2382"/>
    </row>
    <row r="140" spans="2:18" s="2352" customFormat="1">
      <c r="B140" s="2380"/>
      <c r="C140" s="2380"/>
      <c r="D140" s="2380"/>
      <c r="E140" s="2380"/>
      <c r="F140" s="2380"/>
      <c r="G140" s="2381"/>
      <c r="H140" s="2380"/>
      <c r="I140" s="2381"/>
      <c r="J140" s="2380"/>
      <c r="K140" s="2380"/>
      <c r="L140" s="2381"/>
      <c r="M140" s="2380"/>
      <c r="N140" s="2380"/>
      <c r="O140" s="2381"/>
      <c r="P140" s="2380"/>
      <c r="Q140" s="2380"/>
      <c r="R140" s="2382"/>
    </row>
    <row r="141" spans="2:18" s="2352" customFormat="1">
      <c r="B141" s="2380"/>
      <c r="C141" s="2380"/>
      <c r="D141" s="2380"/>
      <c r="E141" s="2380"/>
      <c r="F141" s="2380"/>
      <c r="G141" s="2381"/>
      <c r="H141" s="2380"/>
      <c r="I141" s="2381"/>
      <c r="J141" s="2380"/>
      <c r="K141" s="2380"/>
      <c r="L141" s="2381"/>
      <c r="M141" s="2380"/>
      <c r="N141" s="2380"/>
      <c r="O141" s="2381"/>
      <c r="P141" s="2380"/>
      <c r="Q141" s="2380"/>
      <c r="R141" s="2382"/>
    </row>
    <row r="142" spans="2:18" s="2352" customFormat="1">
      <c r="B142" s="2380"/>
      <c r="C142" s="2380"/>
      <c r="D142" s="2380"/>
      <c r="E142" s="2380"/>
      <c r="F142" s="2380"/>
      <c r="G142" s="2381"/>
      <c r="H142" s="2380"/>
      <c r="I142" s="2381"/>
      <c r="J142" s="2380"/>
      <c r="K142" s="2380"/>
      <c r="L142" s="2381"/>
      <c r="M142" s="2380"/>
      <c r="N142" s="2380"/>
      <c r="O142" s="2381"/>
      <c r="P142" s="2380"/>
      <c r="Q142" s="2380"/>
      <c r="R142" s="2382"/>
    </row>
    <row r="143" spans="2:18" s="2352" customFormat="1">
      <c r="B143" s="2380"/>
      <c r="C143" s="2380"/>
      <c r="D143" s="2380"/>
      <c r="E143" s="2380"/>
      <c r="F143" s="2380"/>
      <c r="G143" s="2381"/>
      <c r="H143" s="2380"/>
      <c r="I143" s="2381"/>
      <c r="J143" s="2380"/>
      <c r="K143" s="2380"/>
      <c r="L143" s="2381"/>
      <c r="M143" s="2380"/>
      <c r="N143" s="2380"/>
      <c r="O143" s="2381"/>
      <c r="P143" s="2380"/>
      <c r="Q143" s="2380"/>
      <c r="R143" s="2382"/>
    </row>
    <row r="144" spans="2:18" s="2352" customFormat="1">
      <c r="B144" s="2380"/>
      <c r="C144" s="2380"/>
      <c r="D144" s="2380"/>
      <c r="E144" s="2380"/>
      <c r="F144" s="2380"/>
      <c r="G144" s="2381"/>
      <c r="H144" s="2380"/>
      <c r="I144" s="2381"/>
      <c r="J144" s="2380"/>
      <c r="K144" s="2380"/>
      <c r="L144" s="2381"/>
      <c r="M144" s="2380"/>
      <c r="N144" s="2380"/>
      <c r="O144" s="2381"/>
      <c r="P144" s="2380"/>
      <c r="Q144" s="2380"/>
      <c r="R144" s="2382"/>
    </row>
    <row r="145" spans="2:18" s="2352" customFormat="1">
      <c r="B145" s="2380"/>
      <c r="C145" s="2380"/>
      <c r="D145" s="2380"/>
      <c r="E145" s="2380"/>
      <c r="F145" s="2380"/>
      <c r="G145" s="2381"/>
      <c r="H145" s="2380"/>
      <c r="I145" s="2381"/>
      <c r="J145" s="2380"/>
      <c r="K145" s="2380"/>
      <c r="L145" s="2381"/>
      <c r="M145" s="2380"/>
      <c r="N145" s="2380"/>
      <c r="O145" s="2381"/>
      <c r="P145" s="2380"/>
      <c r="Q145" s="2380"/>
      <c r="R145" s="2382"/>
    </row>
    <row r="146" spans="2:18" s="2352" customFormat="1">
      <c r="B146" s="2380"/>
      <c r="C146" s="2380"/>
      <c r="D146" s="2380"/>
      <c r="E146" s="2380"/>
      <c r="F146" s="2380"/>
      <c r="G146" s="2381"/>
      <c r="H146" s="2380"/>
      <c r="I146" s="2381"/>
      <c r="J146" s="2380"/>
      <c r="K146" s="2380"/>
      <c r="L146" s="2381"/>
      <c r="M146" s="2380"/>
      <c r="N146" s="2380"/>
      <c r="O146" s="2381"/>
      <c r="P146" s="2380"/>
      <c r="Q146" s="2380"/>
      <c r="R146" s="2382"/>
    </row>
    <row r="147" spans="2:18" s="2352" customFormat="1">
      <c r="B147" s="2380"/>
      <c r="C147" s="2380"/>
      <c r="D147" s="2380"/>
      <c r="E147" s="2380"/>
      <c r="F147" s="2380"/>
      <c r="G147" s="2381"/>
      <c r="H147" s="2380"/>
      <c r="I147" s="2381"/>
      <c r="J147" s="2380"/>
      <c r="K147" s="2380"/>
      <c r="L147" s="2381"/>
      <c r="M147" s="2380"/>
      <c r="N147" s="2380"/>
      <c r="O147" s="2381"/>
      <c r="P147" s="2380"/>
      <c r="Q147" s="2380"/>
      <c r="R147" s="2382"/>
    </row>
    <row r="148" spans="2:18" s="2352" customFormat="1">
      <c r="B148" s="2380"/>
      <c r="C148" s="2380"/>
      <c r="D148" s="2380"/>
      <c r="E148" s="2380"/>
      <c r="F148" s="2380"/>
      <c r="G148" s="2381"/>
      <c r="H148" s="2380"/>
      <c r="I148" s="2381"/>
      <c r="J148" s="2380"/>
      <c r="K148" s="2380"/>
      <c r="L148" s="2381"/>
      <c r="M148" s="2380"/>
      <c r="N148" s="2380"/>
      <c r="O148" s="2381"/>
      <c r="P148" s="2380"/>
      <c r="Q148" s="2380"/>
      <c r="R148" s="2382"/>
    </row>
    <row r="149" spans="2:18" s="2352" customFormat="1">
      <c r="B149" s="2380"/>
      <c r="C149" s="2380"/>
      <c r="D149" s="2380"/>
      <c r="E149" s="2380"/>
      <c r="F149" s="2380"/>
      <c r="G149" s="2381"/>
      <c r="H149" s="2380"/>
      <c r="I149" s="2381"/>
      <c r="J149" s="2380"/>
      <c r="K149" s="2380"/>
      <c r="L149" s="2381"/>
      <c r="M149" s="2380"/>
      <c r="N149" s="2380"/>
      <c r="O149" s="2381"/>
      <c r="P149" s="2380"/>
      <c r="Q149" s="2380"/>
      <c r="R149" s="2382"/>
    </row>
    <row r="150" spans="2:18" s="2352" customFormat="1">
      <c r="B150" s="2380"/>
      <c r="C150" s="2380"/>
      <c r="D150" s="2380"/>
      <c r="E150" s="2380"/>
      <c r="F150" s="2380"/>
      <c r="G150" s="2381"/>
      <c r="H150" s="2380"/>
      <c r="I150" s="2381"/>
      <c r="J150" s="2380"/>
      <c r="K150" s="2380"/>
      <c r="L150" s="2381"/>
      <c r="M150" s="2380"/>
      <c r="N150" s="2380"/>
      <c r="O150" s="2381"/>
      <c r="P150" s="2380"/>
      <c r="Q150" s="2380"/>
      <c r="R150" s="2382"/>
    </row>
    <row r="151" spans="2:18" s="2352" customFormat="1">
      <c r="B151" s="2380"/>
      <c r="C151" s="2380"/>
      <c r="D151" s="2380"/>
      <c r="E151" s="2380"/>
      <c r="F151" s="2380"/>
      <c r="G151" s="2381"/>
      <c r="H151" s="2380"/>
      <c r="I151" s="2381"/>
      <c r="J151" s="2380"/>
      <c r="K151" s="2380"/>
      <c r="L151" s="2381"/>
      <c r="M151" s="2380"/>
      <c r="N151" s="2380"/>
      <c r="O151" s="2381"/>
      <c r="P151" s="2380"/>
      <c r="Q151" s="2380"/>
      <c r="R151" s="2382"/>
    </row>
    <row r="152" spans="2:18" s="2352" customFormat="1">
      <c r="B152" s="2380"/>
      <c r="C152" s="2380"/>
      <c r="D152" s="2380"/>
      <c r="E152" s="2380"/>
      <c r="F152" s="2380"/>
      <c r="G152" s="2381"/>
      <c r="H152" s="2380"/>
      <c r="I152" s="2381"/>
      <c r="J152" s="2380"/>
      <c r="K152" s="2380"/>
      <c r="L152" s="2381"/>
      <c r="M152" s="2380"/>
      <c r="N152" s="2380"/>
      <c r="O152" s="2381"/>
      <c r="P152" s="2380"/>
      <c r="Q152" s="2380"/>
      <c r="R152" s="2382"/>
    </row>
    <row r="153" spans="2:18" s="2352" customFormat="1">
      <c r="B153" s="2380"/>
      <c r="C153" s="2380"/>
      <c r="D153" s="2380"/>
      <c r="E153" s="2380"/>
      <c r="F153" s="2380"/>
      <c r="G153" s="2381"/>
      <c r="H153" s="2380"/>
      <c r="I153" s="2381"/>
      <c r="J153" s="2380"/>
      <c r="K153" s="2380"/>
      <c r="L153" s="2381"/>
      <c r="M153" s="2380"/>
      <c r="N153" s="2380"/>
      <c r="O153" s="2381"/>
      <c r="P153" s="2380"/>
      <c r="Q153" s="2380"/>
      <c r="R153" s="2382"/>
    </row>
    <row r="154" spans="2:18" s="2352" customFormat="1">
      <c r="B154" s="2380"/>
      <c r="C154" s="2380"/>
      <c r="D154" s="2380"/>
      <c r="E154" s="2380"/>
      <c r="F154" s="2380"/>
      <c r="G154" s="2381"/>
      <c r="H154" s="2380"/>
      <c r="I154" s="2381"/>
      <c r="J154" s="2380"/>
      <c r="K154" s="2380"/>
      <c r="L154" s="2381"/>
      <c r="M154" s="2380"/>
      <c r="N154" s="2380"/>
      <c r="O154" s="2381"/>
      <c r="P154" s="2380"/>
      <c r="Q154" s="2380"/>
      <c r="R154" s="2382"/>
    </row>
    <row r="155" spans="2:18" s="2352" customFormat="1">
      <c r="B155" s="2380"/>
      <c r="C155" s="2380"/>
      <c r="D155" s="2380"/>
      <c r="E155" s="2380"/>
      <c r="F155" s="2380"/>
      <c r="G155" s="2381"/>
      <c r="H155" s="2380"/>
      <c r="I155" s="2381"/>
      <c r="J155" s="2380"/>
      <c r="K155" s="2380"/>
      <c r="L155" s="2381"/>
      <c r="M155" s="2380"/>
      <c r="N155" s="2380"/>
      <c r="O155" s="2381"/>
      <c r="P155" s="2380"/>
      <c r="Q155" s="2380"/>
      <c r="R155" s="2382"/>
    </row>
    <row r="156" spans="2:18" s="2352" customFormat="1">
      <c r="B156" s="2380"/>
      <c r="C156" s="2380"/>
      <c r="D156" s="2380"/>
      <c r="E156" s="2380"/>
      <c r="F156" s="2380"/>
      <c r="G156" s="2381"/>
      <c r="H156" s="2380"/>
      <c r="I156" s="2381"/>
      <c r="J156" s="2380"/>
      <c r="K156" s="2380"/>
      <c r="L156" s="2381"/>
      <c r="M156" s="2380"/>
      <c r="N156" s="2380"/>
      <c r="O156" s="2381"/>
      <c r="P156" s="2380"/>
      <c r="Q156" s="2380"/>
      <c r="R156" s="2382"/>
    </row>
    <row r="157" spans="2:18" s="2352" customFormat="1">
      <c r="B157" s="2380"/>
      <c r="C157" s="2380"/>
      <c r="D157" s="2380"/>
      <c r="E157" s="2380"/>
      <c r="F157" s="2380"/>
      <c r="G157" s="2381"/>
      <c r="H157" s="2380"/>
      <c r="I157" s="2381"/>
      <c r="J157" s="2380"/>
      <c r="K157" s="2380"/>
      <c r="L157" s="2381"/>
      <c r="M157" s="2380"/>
      <c r="N157" s="2380"/>
      <c r="O157" s="2381"/>
      <c r="P157" s="2380"/>
      <c r="Q157" s="2380"/>
      <c r="R157" s="2382"/>
    </row>
    <row r="158" spans="2:18" s="2352" customFormat="1">
      <c r="B158" s="2380"/>
      <c r="C158" s="2380"/>
      <c r="D158" s="2380"/>
      <c r="E158" s="2380"/>
      <c r="F158" s="2380"/>
      <c r="G158" s="2381"/>
      <c r="H158" s="2380"/>
      <c r="I158" s="2381"/>
      <c r="J158" s="2380"/>
      <c r="K158" s="2380"/>
      <c r="L158" s="2381"/>
      <c r="M158" s="2380"/>
      <c r="N158" s="2380"/>
      <c r="O158" s="2381"/>
      <c r="P158" s="2380"/>
      <c r="Q158" s="2380"/>
      <c r="R158" s="2382"/>
    </row>
    <row r="159" spans="2:18" s="2352" customFormat="1">
      <c r="B159" s="2380"/>
      <c r="C159" s="2380"/>
      <c r="D159" s="2380"/>
      <c r="E159" s="2380"/>
      <c r="F159" s="2380"/>
      <c r="G159" s="2381"/>
      <c r="H159" s="2380"/>
      <c r="I159" s="2381"/>
      <c r="J159" s="2380"/>
      <c r="K159" s="2380"/>
      <c r="L159" s="2381"/>
      <c r="M159" s="2380"/>
      <c r="N159" s="2380"/>
      <c r="O159" s="2381"/>
      <c r="P159" s="2380"/>
      <c r="Q159" s="2380"/>
      <c r="R159" s="2382"/>
    </row>
    <row r="160" spans="2:18" s="2352" customFormat="1">
      <c r="B160" s="2380"/>
      <c r="C160" s="2380"/>
      <c r="D160" s="2380"/>
      <c r="E160" s="2380"/>
      <c r="F160" s="2380"/>
      <c r="G160" s="2381"/>
      <c r="H160" s="2380"/>
      <c r="I160" s="2381"/>
      <c r="J160" s="2380"/>
      <c r="K160" s="2380"/>
      <c r="L160" s="2381"/>
      <c r="M160" s="2380"/>
      <c r="N160" s="2380"/>
      <c r="O160" s="2381"/>
      <c r="P160" s="2380"/>
      <c r="Q160" s="2380"/>
      <c r="R160" s="2382"/>
    </row>
    <row r="161" spans="2:18" s="2352" customFormat="1">
      <c r="B161" s="2380"/>
      <c r="C161" s="2380"/>
      <c r="D161" s="2380"/>
      <c r="E161" s="2380"/>
      <c r="F161" s="2380"/>
      <c r="G161" s="2381"/>
      <c r="H161" s="2380"/>
      <c r="I161" s="2381"/>
      <c r="J161" s="2380"/>
      <c r="K161" s="2380"/>
      <c r="L161" s="2381"/>
      <c r="M161" s="2380"/>
      <c r="N161" s="2380"/>
      <c r="O161" s="2381"/>
      <c r="P161" s="2380"/>
      <c r="Q161" s="2380"/>
      <c r="R161" s="2382"/>
    </row>
    <row r="162" spans="2:18" s="2352" customFormat="1">
      <c r="B162" s="2380"/>
      <c r="C162" s="2380"/>
      <c r="D162" s="2380"/>
      <c r="E162" s="2380"/>
      <c r="F162" s="2380"/>
      <c r="G162" s="2381"/>
      <c r="H162" s="2380"/>
      <c r="I162" s="2381"/>
      <c r="J162" s="2380"/>
      <c r="K162" s="2380"/>
      <c r="L162" s="2381"/>
      <c r="M162" s="2380"/>
      <c r="N162" s="2380"/>
      <c r="O162" s="2381"/>
      <c r="P162" s="2380"/>
      <c r="Q162" s="2380"/>
      <c r="R162" s="2382"/>
    </row>
    <row r="163" spans="2:18" s="2352" customFormat="1">
      <c r="B163" s="2380"/>
      <c r="C163" s="2380"/>
      <c r="D163" s="2380"/>
      <c r="E163" s="2380"/>
      <c r="F163" s="2380"/>
      <c r="G163" s="2381"/>
      <c r="H163" s="2380"/>
      <c r="I163" s="2381"/>
      <c r="J163" s="2380"/>
      <c r="K163" s="2380"/>
      <c r="L163" s="2381"/>
      <c r="M163" s="2380"/>
      <c r="N163" s="2380"/>
      <c r="O163" s="2381"/>
      <c r="P163" s="2380"/>
      <c r="Q163" s="2380"/>
      <c r="R163" s="2382"/>
    </row>
    <row r="164" spans="2:18" s="2352" customFormat="1">
      <c r="B164" s="2380"/>
      <c r="C164" s="2380"/>
      <c r="D164" s="2380"/>
      <c r="E164" s="2380"/>
      <c r="F164" s="2380"/>
      <c r="G164" s="2381"/>
      <c r="H164" s="2380"/>
      <c r="I164" s="2381"/>
      <c r="J164" s="2380"/>
      <c r="K164" s="2380"/>
      <c r="L164" s="2381"/>
      <c r="M164" s="2380"/>
      <c r="N164" s="2380"/>
      <c r="O164" s="2381"/>
      <c r="P164" s="2380"/>
      <c r="Q164" s="2380"/>
      <c r="R164" s="2382"/>
    </row>
    <row r="165" spans="2:18" s="2352" customFormat="1">
      <c r="B165" s="2380"/>
      <c r="C165" s="2380"/>
      <c r="D165" s="2380"/>
      <c r="E165" s="2380"/>
      <c r="F165" s="2380"/>
      <c r="G165" s="2381"/>
      <c r="H165" s="2380"/>
      <c r="I165" s="2381"/>
      <c r="J165" s="2380"/>
      <c r="K165" s="2380"/>
      <c r="L165" s="2381"/>
      <c r="M165" s="2380"/>
      <c r="N165" s="2380"/>
      <c r="O165" s="2381"/>
      <c r="P165" s="2380"/>
      <c r="Q165" s="2380"/>
      <c r="R165" s="2382"/>
    </row>
    <row r="166" spans="2:18" s="2352" customFormat="1">
      <c r="B166" s="2380"/>
      <c r="C166" s="2380"/>
      <c r="D166" s="2380"/>
      <c r="E166" s="2380"/>
      <c r="F166" s="2380"/>
      <c r="G166" s="2381"/>
      <c r="H166" s="2380"/>
      <c r="I166" s="2381"/>
      <c r="J166" s="2380"/>
      <c r="K166" s="2380"/>
      <c r="L166" s="2381"/>
      <c r="M166" s="2380"/>
      <c r="N166" s="2380"/>
      <c r="O166" s="2381"/>
      <c r="P166" s="2380"/>
      <c r="Q166" s="2380"/>
      <c r="R166" s="2382"/>
    </row>
    <row r="167" spans="2:18" s="2352" customFormat="1">
      <c r="B167" s="2380"/>
      <c r="C167" s="2380"/>
      <c r="D167" s="2380"/>
      <c r="E167" s="2380"/>
      <c r="F167" s="2380"/>
      <c r="G167" s="2381"/>
      <c r="H167" s="2380"/>
      <c r="I167" s="2381"/>
      <c r="J167" s="2380"/>
      <c r="K167" s="2380"/>
      <c r="L167" s="2381"/>
      <c r="M167" s="2380"/>
      <c r="N167" s="2380"/>
      <c r="O167" s="2381"/>
      <c r="P167" s="2380"/>
      <c r="Q167" s="2380"/>
      <c r="R167" s="2382"/>
    </row>
    <row r="168" spans="2:18" s="2352" customFormat="1">
      <c r="B168" s="2380"/>
      <c r="C168" s="2380"/>
      <c r="D168" s="2380"/>
      <c r="E168" s="2380"/>
      <c r="F168" s="2380"/>
      <c r="G168" s="2381"/>
      <c r="H168" s="2380"/>
      <c r="I168" s="2381"/>
      <c r="J168" s="2380"/>
      <c r="K168" s="2380"/>
      <c r="L168" s="2381"/>
      <c r="M168" s="2380"/>
      <c r="N168" s="2380"/>
      <c r="O168" s="2381"/>
      <c r="P168" s="2380"/>
      <c r="Q168" s="2380"/>
      <c r="R168" s="2382"/>
    </row>
    <row r="169" spans="2:18" s="2352" customFormat="1">
      <c r="B169" s="2380"/>
      <c r="C169" s="2380"/>
      <c r="D169" s="2380"/>
      <c r="E169" s="2380"/>
      <c r="F169" s="2380"/>
      <c r="G169" s="2381"/>
      <c r="H169" s="2380"/>
      <c r="I169" s="2381"/>
      <c r="J169" s="2380"/>
      <c r="K169" s="2380"/>
      <c r="L169" s="2381"/>
      <c r="M169" s="2380"/>
      <c r="N169" s="2380"/>
      <c r="O169" s="2381"/>
      <c r="P169" s="2380"/>
      <c r="Q169" s="2380"/>
      <c r="R169" s="2382"/>
    </row>
    <row r="170" spans="2:18" s="2352" customFormat="1">
      <c r="B170" s="2380"/>
      <c r="C170" s="2380"/>
      <c r="D170" s="2380"/>
      <c r="E170" s="2380"/>
      <c r="F170" s="2380"/>
      <c r="G170" s="2381"/>
      <c r="H170" s="2380"/>
      <c r="I170" s="2381"/>
      <c r="J170" s="2380"/>
      <c r="K170" s="2380"/>
      <c r="L170" s="2381"/>
      <c r="M170" s="2380"/>
      <c r="N170" s="2380"/>
      <c r="O170" s="2381"/>
      <c r="P170" s="2380"/>
      <c r="Q170" s="2380"/>
      <c r="R170" s="2382"/>
    </row>
    <row r="171" spans="2:18" s="2352" customFormat="1">
      <c r="B171" s="2380"/>
      <c r="C171" s="2380"/>
      <c r="D171" s="2380"/>
      <c r="E171" s="2380"/>
      <c r="F171" s="2380"/>
      <c r="G171" s="2381"/>
      <c r="H171" s="2380"/>
      <c r="I171" s="2381"/>
      <c r="J171" s="2380"/>
      <c r="K171" s="2380"/>
      <c r="L171" s="2381"/>
      <c r="M171" s="2380"/>
      <c r="N171" s="2380"/>
      <c r="O171" s="2381"/>
      <c r="P171" s="2380"/>
      <c r="Q171" s="2380"/>
      <c r="R171" s="2382"/>
    </row>
    <row r="172" spans="2:18" s="2352" customFormat="1">
      <c r="B172" s="2380"/>
      <c r="C172" s="2380"/>
      <c r="D172" s="2380"/>
      <c r="E172" s="2380"/>
      <c r="F172" s="2380"/>
      <c r="G172" s="2381"/>
      <c r="H172" s="2380"/>
      <c r="I172" s="2381"/>
      <c r="J172" s="2380"/>
      <c r="K172" s="2380"/>
      <c r="L172" s="2381"/>
      <c r="M172" s="2380"/>
      <c r="N172" s="2380"/>
      <c r="O172" s="2381"/>
      <c r="P172" s="2380"/>
      <c r="Q172" s="2380"/>
      <c r="R172" s="2382"/>
    </row>
    <row r="173" spans="2:18" s="2352" customFormat="1">
      <c r="B173" s="2380"/>
      <c r="C173" s="2380"/>
      <c r="D173" s="2380"/>
      <c r="E173" s="2380"/>
      <c r="F173" s="2380"/>
      <c r="G173" s="2381"/>
      <c r="H173" s="2380"/>
      <c r="I173" s="2381"/>
      <c r="J173" s="2380"/>
      <c r="K173" s="2380"/>
      <c r="L173" s="2381"/>
      <c r="M173" s="2380"/>
      <c r="N173" s="2380"/>
      <c r="O173" s="2381"/>
      <c r="P173" s="2380"/>
      <c r="Q173" s="2380"/>
      <c r="R173" s="2382"/>
    </row>
    <row r="174" spans="2:18" s="2352" customFormat="1">
      <c r="B174" s="2380"/>
      <c r="C174" s="2380"/>
      <c r="D174" s="2380"/>
      <c r="E174" s="2380"/>
      <c r="F174" s="2380"/>
      <c r="G174" s="2381"/>
      <c r="H174" s="2380"/>
      <c r="I174" s="2381"/>
      <c r="J174" s="2380"/>
      <c r="K174" s="2380"/>
      <c r="L174" s="2381"/>
      <c r="M174" s="2380"/>
      <c r="N174" s="2380"/>
      <c r="O174" s="2381"/>
      <c r="P174" s="2380"/>
      <c r="Q174" s="2380"/>
      <c r="R174" s="2382"/>
    </row>
    <row r="175" spans="2:18" s="2352" customFormat="1">
      <c r="B175" s="2380"/>
      <c r="C175" s="2380"/>
      <c r="D175" s="2380"/>
      <c r="E175" s="2380"/>
      <c r="F175" s="2380"/>
      <c r="G175" s="2381"/>
      <c r="H175" s="2380"/>
      <c r="I175" s="2381"/>
      <c r="J175" s="2380"/>
      <c r="K175" s="2380"/>
      <c r="L175" s="2381"/>
      <c r="M175" s="2380"/>
      <c r="N175" s="2380"/>
      <c r="O175" s="2381"/>
      <c r="P175" s="2380"/>
      <c r="Q175" s="2380"/>
      <c r="R175" s="2382"/>
    </row>
    <row r="176" spans="2:18" s="2352" customFormat="1">
      <c r="B176" s="2380"/>
      <c r="C176" s="2380"/>
      <c r="D176" s="2380"/>
      <c r="E176" s="2380"/>
      <c r="F176" s="2380"/>
      <c r="G176" s="2381"/>
      <c r="H176" s="2380"/>
      <c r="I176" s="2381"/>
      <c r="J176" s="2380"/>
      <c r="K176" s="2380"/>
      <c r="L176" s="2381"/>
      <c r="M176" s="2380"/>
      <c r="N176" s="2380"/>
      <c r="O176" s="2381"/>
      <c r="P176" s="2380"/>
      <c r="Q176" s="2380"/>
      <c r="R176" s="2382"/>
    </row>
    <row r="177" spans="1:18" s="2352" customFormat="1">
      <c r="B177" s="2380"/>
      <c r="C177" s="2380"/>
      <c r="D177" s="2380"/>
      <c r="E177" s="2380"/>
      <c r="F177" s="2380"/>
      <c r="G177" s="2381"/>
      <c r="H177" s="2380"/>
      <c r="I177" s="2381"/>
      <c r="J177" s="2380"/>
      <c r="K177" s="2380"/>
      <c r="L177" s="2381"/>
      <c r="M177" s="2380"/>
      <c r="N177" s="2380"/>
      <c r="O177" s="2381"/>
      <c r="P177" s="2380"/>
      <c r="Q177" s="2380"/>
      <c r="R177" s="2382"/>
    </row>
    <row r="178" spans="1:18" s="2352" customFormat="1">
      <c r="B178" s="2380"/>
      <c r="C178" s="2380"/>
      <c r="D178" s="2380"/>
      <c r="E178" s="2380"/>
      <c r="F178" s="2380"/>
      <c r="G178" s="2381"/>
      <c r="H178" s="2380"/>
      <c r="I178" s="2381"/>
      <c r="J178" s="2380"/>
      <c r="K178" s="2380"/>
      <c r="L178" s="2381"/>
      <c r="M178" s="2380"/>
      <c r="N178" s="2380"/>
      <c r="O178" s="2381"/>
      <c r="P178" s="2380"/>
      <c r="Q178" s="2380"/>
      <c r="R178" s="2382"/>
    </row>
    <row r="179" spans="1:18" s="2352" customFormat="1">
      <c r="B179" s="2380"/>
      <c r="C179" s="2380"/>
      <c r="D179" s="2380"/>
      <c r="E179" s="2380"/>
      <c r="F179" s="2380"/>
      <c r="G179" s="2381"/>
      <c r="H179" s="2380"/>
      <c r="I179" s="2381"/>
      <c r="J179" s="2380"/>
      <c r="K179" s="2380"/>
      <c r="L179" s="2381"/>
      <c r="M179" s="2380"/>
      <c r="N179" s="2380"/>
      <c r="O179" s="2381"/>
      <c r="P179" s="2380"/>
      <c r="Q179" s="2380"/>
      <c r="R179" s="2382"/>
    </row>
    <row r="180" spans="1:18" s="2352" customFormat="1">
      <c r="B180" s="2380"/>
      <c r="C180" s="2380"/>
      <c r="D180" s="2380"/>
      <c r="E180" s="2380"/>
      <c r="F180" s="2380"/>
      <c r="G180" s="2381"/>
      <c r="H180" s="2380"/>
      <c r="I180" s="2381"/>
      <c r="J180" s="2380"/>
      <c r="K180" s="2380"/>
      <c r="L180" s="2381"/>
      <c r="M180" s="2380"/>
      <c r="N180" s="2380"/>
      <c r="O180" s="2381"/>
      <c r="P180" s="2380"/>
      <c r="Q180" s="2380"/>
      <c r="R180" s="2382"/>
    </row>
    <row r="181" spans="1:18" s="2352" customFormat="1">
      <c r="B181" s="2380"/>
      <c r="C181" s="2380"/>
      <c r="D181" s="2380"/>
      <c r="E181" s="2380"/>
      <c r="F181" s="2380"/>
      <c r="G181" s="2381"/>
      <c r="H181" s="2380"/>
      <c r="I181" s="2381"/>
      <c r="J181" s="2380"/>
      <c r="K181" s="2380"/>
      <c r="L181" s="2381"/>
      <c r="M181" s="2380"/>
      <c r="N181" s="2380"/>
      <c r="O181" s="2381"/>
      <c r="P181" s="2380"/>
      <c r="Q181" s="2380"/>
      <c r="R181" s="2382"/>
    </row>
    <row r="182" spans="1:18" s="2352" customFormat="1">
      <c r="B182" s="2380"/>
      <c r="C182" s="2380"/>
      <c r="D182" s="2380"/>
      <c r="E182" s="2380"/>
      <c r="F182" s="2380"/>
      <c r="G182" s="2381"/>
      <c r="H182" s="2380"/>
      <c r="I182" s="2381"/>
      <c r="J182" s="2380"/>
      <c r="K182" s="2380"/>
      <c r="L182" s="2381"/>
      <c r="M182" s="2380"/>
      <c r="N182" s="2380"/>
      <c r="O182" s="2381"/>
      <c r="P182" s="2380"/>
      <c r="Q182" s="2380"/>
      <c r="R182" s="2382"/>
    </row>
    <row r="183" spans="1:18" s="2352" customFormat="1">
      <c r="B183" s="2380"/>
      <c r="C183" s="2380"/>
      <c r="D183" s="2380"/>
      <c r="E183" s="2380"/>
      <c r="F183" s="2380"/>
      <c r="G183" s="2381"/>
      <c r="H183" s="2380"/>
      <c r="I183" s="2381"/>
      <c r="J183" s="2380"/>
      <c r="K183" s="2380"/>
      <c r="L183" s="2381"/>
      <c r="M183" s="2380"/>
      <c r="N183" s="2380"/>
      <c r="O183" s="2381"/>
      <c r="P183" s="2380"/>
      <c r="Q183" s="2380"/>
      <c r="R183" s="2382"/>
    </row>
    <row r="184" spans="1:18" s="2352" customFormat="1">
      <c r="B184" s="2380"/>
      <c r="C184" s="2380"/>
      <c r="D184" s="2380"/>
      <c r="E184" s="2380"/>
      <c r="F184" s="2380"/>
      <c r="G184" s="2381"/>
      <c r="H184" s="2380"/>
      <c r="I184" s="2381"/>
      <c r="J184" s="2380"/>
      <c r="K184" s="2380"/>
      <c r="L184" s="2381"/>
      <c r="M184" s="2380"/>
      <c r="N184" s="2380"/>
      <c r="O184" s="2381"/>
      <c r="P184" s="2380"/>
      <c r="Q184" s="2380"/>
      <c r="R184" s="2382"/>
    </row>
    <row r="185" spans="1:18" s="2352" customFormat="1">
      <c r="B185" s="2380"/>
      <c r="C185" s="2380"/>
      <c r="D185" s="2380"/>
      <c r="E185" s="2380"/>
      <c r="F185" s="2380"/>
      <c r="G185" s="2381"/>
      <c r="H185" s="2380"/>
      <c r="I185" s="2381"/>
      <c r="J185" s="2380"/>
      <c r="K185" s="2380"/>
      <c r="L185" s="2381"/>
      <c r="M185" s="2380"/>
      <c r="N185" s="2380"/>
      <c r="O185" s="2381"/>
      <c r="P185" s="2380"/>
      <c r="Q185" s="2380"/>
      <c r="R185" s="2382"/>
    </row>
    <row r="186" spans="1:18">
      <c r="A186" s="2352"/>
      <c r="B186" s="2380"/>
      <c r="C186" s="2380"/>
      <c r="E186" s="2380"/>
      <c r="F186" s="2380"/>
      <c r="G186" s="2381"/>
    </row>
    <row r="187" spans="1:18">
      <c r="A187" s="2352"/>
      <c r="B187" s="2380"/>
      <c r="C187" s="2380"/>
      <c r="E187" s="2380"/>
      <c r="F187" s="2380"/>
      <c r="G187" s="238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26" sqref="G26"/>
    </sheetView>
  </sheetViews>
  <sheetFormatPr defaultColWidth="9" defaultRowHeight="13.5"/>
  <cols>
    <col min="1" max="1" width="23.375" style="2943" customWidth="1"/>
    <col min="2" max="9" width="15.75" style="2943" customWidth="1"/>
    <col min="10" max="16384" width="9" style="2943"/>
  </cols>
  <sheetData>
    <row r="1" spans="1:10" ht="16.5">
      <c r="A1" s="2944" t="s">
        <v>1360</v>
      </c>
      <c r="B1" s="2944">
        <f>SUM(B14:B23)</f>
        <v>53427.520000000004</v>
      </c>
      <c r="C1" s="2941"/>
      <c r="D1" s="2941"/>
      <c r="E1" s="2941"/>
      <c r="F1" s="2941"/>
      <c r="G1" s="2942"/>
    </row>
    <row r="2" spans="1:10" ht="16.5">
      <c r="A2" s="2944" t="s">
        <v>1348</v>
      </c>
      <c r="B2" s="2944">
        <f>SUM(C14:C23)</f>
        <v>26771.46</v>
      </c>
      <c r="C2" s="2941"/>
      <c r="D2" s="2941"/>
      <c r="E2" s="2941"/>
      <c r="F2" s="2941"/>
      <c r="G2" s="2942"/>
    </row>
    <row r="3" spans="1:10" ht="16.5">
      <c r="A3" s="2944" t="s">
        <v>1357</v>
      </c>
      <c r="B3" s="2945">
        <f>项目基本情况!D3</f>
        <v>43962</v>
      </c>
      <c r="C3" s="2941"/>
      <c r="D3" s="2941"/>
      <c r="E3" s="2941"/>
      <c r="F3" s="2941"/>
      <c r="G3" s="2942"/>
    </row>
    <row r="4" spans="1:10" ht="33">
      <c r="A4" s="2944" t="s">
        <v>1356</v>
      </c>
      <c r="B4" s="2944" t="s">
        <v>1355</v>
      </c>
      <c r="C4" s="2944" t="s">
        <v>1354</v>
      </c>
      <c r="D4" s="2944" t="s">
        <v>1353</v>
      </c>
      <c r="E4" s="2941"/>
      <c r="F4" s="2942"/>
      <c r="G4" s="2942"/>
    </row>
    <row r="5" spans="1:10" ht="16.5">
      <c r="A5" s="2944" t="s">
        <v>1352</v>
      </c>
      <c r="B5" s="2944">
        <f ca="1">SUM(D14:D23)</f>
        <v>100792</v>
      </c>
      <c r="C5" s="2944">
        <f ca="1">ROUND(B5*10000/$B$1,0)</f>
        <v>18865</v>
      </c>
      <c r="D5" s="2944">
        <f ca="1">ROUND(B5*10000/$B$2,0)</f>
        <v>37649</v>
      </c>
      <c r="E5" s="2941"/>
      <c r="F5" s="2942"/>
      <c r="G5" s="2942"/>
    </row>
    <row r="6" spans="1:10" ht="16.5">
      <c r="A6" s="2944" t="s">
        <v>1351</v>
      </c>
      <c r="B6" s="2944">
        <f ca="1">SUM(G14:G23)</f>
        <v>100792</v>
      </c>
      <c r="C6" s="2944">
        <f ca="1">ROUND(B6*10000/$B$1,0)</f>
        <v>18865</v>
      </c>
      <c r="D6" s="2944">
        <f ca="1">ROUND(B6*10000/$B$2,0)</f>
        <v>37649</v>
      </c>
      <c r="E6" s="2941"/>
      <c r="F6" s="2942"/>
      <c r="G6" s="2942"/>
    </row>
    <row r="7" spans="1:10" ht="16.5">
      <c r="A7" s="2944" t="s">
        <v>1359</v>
      </c>
      <c r="B7" s="2944">
        <f>SUM(H14:H23)</f>
        <v>0</v>
      </c>
      <c r="C7" s="2944">
        <f>ROUND(B7*10000/$B$1,0)</f>
        <v>0</v>
      </c>
      <c r="D7" s="2944">
        <f>ROUND(B7*10000/$B$2,0)</f>
        <v>0</v>
      </c>
      <c r="E7" s="2941"/>
      <c r="F7" s="2942"/>
      <c r="G7" s="2942"/>
    </row>
    <row r="8" spans="1:10" ht="16.5">
      <c r="A8" s="2944" t="s">
        <v>1280</v>
      </c>
      <c r="B8" s="2944">
        <f>SUM(I14:I23)</f>
        <v>0</v>
      </c>
      <c r="C8" s="2944">
        <f>ROUND(B8*10000/$B$1,0)</f>
        <v>0</v>
      </c>
      <c r="D8" s="2944">
        <f>ROUND(B8*10000/$B$2,0)</f>
        <v>0</v>
      </c>
      <c r="E8" s="2941"/>
      <c r="F8" s="2942"/>
      <c r="G8" s="2942"/>
    </row>
    <row r="9" spans="1:10" ht="16.5">
      <c r="A9" s="2944" t="s">
        <v>1350</v>
      </c>
      <c r="B9" s="1735"/>
      <c r="C9" s="2941"/>
      <c r="D9" s="2941"/>
      <c r="E9" s="2941"/>
      <c r="F9" s="2942"/>
      <c r="G9" s="2942"/>
    </row>
    <row r="10" spans="1:10" ht="16.5">
      <c r="A10" s="2944" t="s">
        <v>1349</v>
      </c>
      <c r="B10" s="1735"/>
      <c r="C10" s="2941"/>
      <c r="D10" s="2941"/>
      <c r="E10" s="2941"/>
      <c r="F10" s="2942"/>
      <c r="G10" s="2942"/>
    </row>
    <row r="11" spans="1:10" ht="16.5">
      <c r="A11" s="2944" t="s">
        <v>1365</v>
      </c>
      <c r="B11" s="1735"/>
      <c r="C11" s="2941"/>
      <c r="D11" s="2941"/>
      <c r="E11" s="2941"/>
      <c r="F11" s="2942"/>
      <c r="G11" s="2942"/>
    </row>
    <row r="12" spans="1:10" ht="16.5">
      <c r="A12" s="2941"/>
      <c r="B12" s="2941"/>
      <c r="C12" s="2941"/>
      <c r="D12" s="2941"/>
      <c r="E12" s="2941"/>
      <c r="F12" s="2942"/>
      <c r="G12" s="2942"/>
    </row>
    <row r="13" spans="1:10" ht="33">
      <c r="A13" s="2946" t="s">
        <v>1364</v>
      </c>
      <c r="B13" s="2947" t="s">
        <v>1361</v>
      </c>
      <c r="C13" s="2947" t="s">
        <v>1363</v>
      </c>
      <c r="D13" s="2947" t="s">
        <v>1362</v>
      </c>
      <c r="E13" s="2944" t="s">
        <v>1354</v>
      </c>
      <c r="F13" s="2944" t="s">
        <v>1353</v>
      </c>
      <c r="G13" s="2947" t="s">
        <v>1347</v>
      </c>
      <c r="H13" s="2947" t="s">
        <v>1358</v>
      </c>
      <c r="I13" s="2947" t="s">
        <v>1346</v>
      </c>
      <c r="J13" s="2942"/>
    </row>
    <row r="14" spans="1:10" ht="16.5">
      <c r="A14" s="2948" t="s">
        <v>1345</v>
      </c>
      <c r="B14" s="2949">
        <f>结果表!B118</f>
        <v>43490.38</v>
      </c>
      <c r="C14" s="2949">
        <f>结果表!C118</f>
        <v>22468.9</v>
      </c>
      <c r="D14" s="2949">
        <f ca="1">结果表!H118</f>
        <v>85559</v>
      </c>
      <c r="E14" s="2947">
        <f ca="1">ROUND(D14*10000/B14,0)</f>
        <v>19673</v>
      </c>
      <c r="F14" s="2947">
        <f ca="1">ROUND(D14*10000/C14,0)</f>
        <v>38079</v>
      </c>
      <c r="G14" s="2949">
        <f ca="1">D14</f>
        <v>85559</v>
      </c>
      <c r="H14" s="2949" t="str">
        <f>结果表!D124</f>
        <v>——</v>
      </c>
      <c r="I14" s="2949" t="str">
        <f>结果表!D126</f>
        <v>——</v>
      </c>
      <c r="J14" s="2942" t="s">
        <v>3353</v>
      </c>
    </row>
    <row r="15" spans="1:10" ht="16.5">
      <c r="A15" s="2948" t="s">
        <v>1344</v>
      </c>
      <c r="B15" s="1736">
        <f>'[2]数据-汇总表'!$E$3</f>
        <v>1248.94</v>
      </c>
      <c r="C15" s="1736">
        <f>[2]系统读取表!$C$14</f>
        <v>596.73</v>
      </c>
      <c r="D15" s="1736">
        <f ca="1">[2]结果表!$G$19</f>
        <v>3515</v>
      </c>
      <c r="E15" s="2947">
        <f t="shared" ref="E15:E23" ca="1" si="0">ROUND(D15*10000/B15,0)</f>
        <v>28144</v>
      </c>
      <c r="F15" s="2947">
        <f t="shared" ref="F15:F23" ca="1" si="1">ROUND(D15*10000/C15,0)</f>
        <v>58904</v>
      </c>
      <c r="G15" s="2949">
        <f ca="1">D15</f>
        <v>3515</v>
      </c>
      <c r="H15" s="1737"/>
      <c r="I15" s="1736"/>
      <c r="J15" s="2942" t="s">
        <v>3354</v>
      </c>
    </row>
    <row r="16" spans="1:10" ht="16.5">
      <c r="A16" s="2948" t="s">
        <v>1343</v>
      </c>
      <c r="B16" s="1736">
        <f>[1]结果表!$B$118</f>
        <v>8688.2000000000007</v>
      </c>
      <c r="C16" s="1736">
        <f>[1]结果表!$C$118</f>
        <v>3705.83</v>
      </c>
      <c r="D16" s="1736">
        <f ca="1">[1]结果表!$H$118</f>
        <v>11718</v>
      </c>
      <c r="E16" s="2947">
        <f t="shared" ca="1" si="0"/>
        <v>13487</v>
      </c>
      <c r="F16" s="2947">
        <f t="shared" ca="1" si="1"/>
        <v>31620</v>
      </c>
      <c r="G16" s="2949">
        <f ca="1">D16</f>
        <v>11718</v>
      </c>
      <c r="H16" s="1737"/>
      <c r="I16" s="1736"/>
      <c r="J16" s="2943" t="s">
        <v>3355</v>
      </c>
    </row>
    <row r="17" spans="1:9" ht="16.5">
      <c r="A17" s="2948" t="s">
        <v>1342</v>
      </c>
      <c r="B17" s="1736"/>
      <c r="C17" s="1736"/>
      <c r="D17" s="1736"/>
      <c r="E17" s="2947" t="e">
        <f t="shared" si="0"/>
        <v>#DIV/0!</v>
      </c>
      <c r="F17" s="2947" t="e">
        <f t="shared" si="1"/>
        <v>#DIV/0!</v>
      </c>
      <c r="G17" s="1737"/>
      <c r="H17" s="1737"/>
      <c r="I17" s="1736"/>
    </row>
    <row r="18" spans="1:9" ht="16.5">
      <c r="A18" s="2948" t="s">
        <v>1341</v>
      </c>
      <c r="B18" s="1736"/>
      <c r="C18" s="1736"/>
      <c r="D18" s="1736"/>
      <c r="E18" s="2947" t="e">
        <f t="shared" si="0"/>
        <v>#DIV/0!</v>
      </c>
      <c r="F18" s="2947" t="e">
        <f t="shared" si="1"/>
        <v>#DIV/0!</v>
      </c>
      <c r="G18" s="1736"/>
      <c r="H18" s="1736"/>
      <c r="I18" s="1736"/>
    </row>
    <row r="19" spans="1:9" ht="16.5">
      <c r="A19" s="2948" t="s">
        <v>1340</v>
      </c>
      <c r="B19" s="1736"/>
      <c r="C19" s="1736"/>
      <c r="D19" s="1736"/>
      <c r="E19" s="2947" t="e">
        <f t="shared" si="0"/>
        <v>#DIV/0!</v>
      </c>
      <c r="F19" s="2947" t="e">
        <f t="shared" si="1"/>
        <v>#DIV/0!</v>
      </c>
      <c r="G19" s="1736"/>
      <c r="H19" s="1736"/>
      <c r="I19" s="1736"/>
    </row>
    <row r="20" spans="1:9" ht="16.5">
      <c r="A20" s="2948" t="s">
        <v>1339</v>
      </c>
      <c r="B20" s="1736"/>
      <c r="C20" s="1736"/>
      <c r="D20" s="1736"/>
      <c r="E20" s="2947" t="e">
        <f t="shared" si="0"/>
        <v>#DIV/0!</v>
      </c>
      <c r="F20" s="2947" t="e">
        <f t="shared" si="1"/>
        <v>#DIV/0!</v>
      </c>
      <c r="G20" s="1736"/>
      <c r="H20" s="1736"/>
      <c r="I20" s="1736"/>
    </row>
    <row r="21" spans="1:9" ht="16.5">
      <c r="A21" s="2948" t="s">
        <v>1338</v>
      </c>
      <c r="B21" s="1736"/>
      <c r="C21" s="1736"/>
      <c r="D21" s="1736"/>
      <c r="E21" s="2947" t="e">
        <f t="shared" si="0"/>
        <v>#DIV/0!</v>
      </c>
      <c r="F21" s="2947" t="e">
        <f t="shared" si="1"/>
        <v>#DIV/0!</v>
      </c>
      <c r="G21" s="1736"/>
      <c r="H21" s="1736"/>
      <c r="I21" s="1736"/>
    </row>
    <row r="22" spans="1:9" ht="16.5">
      <c r="A22" s="2948" t="s">
        <v>1337</v>
      </c>
      <c r="B22" s="1736"/>
      <c r="C22" s="1736"/>
      <c r="D22" s="1736"/>
      <c r="E22" s="2947" t="e">
        <f t="shared" si="0"/>
        <v>#DIV/0!</v>
      </c>
      <c r="F22" s="2947" t="e">
        <f t="shared" si="1"/>
        <v>#DIV/0!</v>
      </c>
      <c r="G22" s="1736"/>
      <c r="H22" s="1736"/>
      <c r="I22" s="1736"/>
    </row>
    <row r="23" spans="1:9" ht="16.5">
      <c r="A23" s="2948" t="s">
        <v>1336</v>
      </c>
      <c r="B23" s="1736"/>
      <c r="C23" s="1736"/>
      <c r="D23" s="1736"/>
      <c r="E23" s="2944" t="e">
        <f t="shared" si="0"/>
        <v>#DIV/0!</v>
      </c>
      <c r="F23" s="2944" t="e">
        <f t="shared" si="1"/>
        <v>#DIV/0!</v>
      </c>
      <c r="G23" s="1736"/>
      <c r="H23" s="1736"/>
      <c r="I23" s="173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L29" sqref="L29"/>
    </sheetView>
  </sheetViews>
  <sheetFormatPr defaultColWidth="12.625" defaultRowHeight="21.75" customHeight="1"/>
  <cols>
    <col min="1" max="2" width="12.625" style="2409"/>
    <col min="3" max="4" width="12.625" style="2409" customWidth="1"/>
    <col min="5" max="9" width="12.625" style="2409"/>
    <col min="10" max="11" width="12.625" style="794" customWidth="1"/>
    <col min="12" max="12" width="12.625" style="794"/>
    <col min="13" max="13" width="14.125" style="794" bestFit="1" customWidth="1"/>
    <col min="14" max="26" width="12.625" style="794"/>
    <col min="27" max="35" width="12.625" style="2408"/>
    <col min="36" max="16384" width="12.625" style="2409"/>
  </cols>
  <sheetData>
    <row r="1" spans="1:12" ht="21.75" customHeight="1" thickBot="1">
      <c r="A1" s="2211" t="s">
        <v>2114</v>
      </c>
      <c r="B1" s="2403"/>
      <c r="C1" s="2404"/>
      <c r="D1" s="2403"/>
      <c r="E1" s="2403"/>
      <c r="F1" s="2405" t="s">
        <v>2115</v>
      </c>
      <c r="G1" s="2057" t="s">
        <v>2116</v>
      </c>
      <c r="H1" s="2406" t="str">
        <f>IF(G1="现房","——","估价对象范围")</f>
        <v>估价对象范围</v>
      </c>
      <c r="I1" s="2407"/>
    </row>
    <row r="2" spans="1:12" ht="21.75" customHeight="1" thickBot="1">
      <c r="A2" s="3157" t="str">
        <f>项目基本情况!S2</f>
        <v>北京市房山区青龙湖中心区01-0010地块R2二类居住用地出让国有建设用地使用权及在建建筑物房地产</v>
      </c>
      <c r="B2" s="3158"/>
      <c r="C2" s="3158"/>
      <c r="D2" s="3158"/>
      <c r="E2" s="3158"/>
      <c r="F2" s="3158"/>
      <c r="G2" s="3158"/>
      <c r="H2" s="3158"/>
      <c r="I2" s="3159"/>
    </row>
    <row r="3" spans="1:12" ht="12.75">
      <c r="A3" s="3160" t="s">
        <v>2117</v>
      </c>
      <c r="B3" s="3161"/>
      <c r="C3" s="3161"/>
      <c r="D3" s="3161"/>
      <c r="E3" s="3161"/>
      <c r="F3" s="3161"/>
      <c r="G3" s="3161"/>
      <c r="H3" s="3161"/>
      <c r="I3" s="3161"/>
    </row>
    <row r="4" spans="1:12" ht="14.25">
      <c r="A4" s="2410" t="s">
        <v>2118</v>
      </c>
      <c r="B4" s="2411" t="s">
        <v>2119</v>
      </c>
      <c r="C4" s="2412" t="s">
        <v>3258</v>
      </c>
      <c r="D4" s="2412" t="s">
        <v>3259</v>
      </c>
      <c r="E4" s="3141" t="s">
        <v>2120</v>
      </c>
      <c r="F4" s="3154"/>
      <c r="G4" s="3154"/>
      <c r="H4" s="3154"/>
      <c r="I4" s="3142"/>
      <c r="K4" s="2413" t="str">
        <f>IF(ISNUMBER(FIND("比较法",结果表!C4)),"比较法",IF(ISNUMBER(FIND("成本法",结果表!C4)),"成本法",IF(ISNUMBER(FIND("假设开发法",结果表!C4)),"假设开发法",IF(ISNUMBER(FIND("收益法",结果表!C4)),"收益法","基准地价系数修正法"))))</f>
        <v>成本法</v>
      </c>
      <c r="L4" s="2413" t="str">
        <f>IF(ISNUMBER(FIND("比较法",结果表!D4)),"比较法",IF(ISNUMBER(FIND("成本法",结果表!D4)),"成本法",IF(ISNUMBER(FIND("假设开发法",结果表!D4)),"假设开发法",IF(ISNUMBER(FIND("收益法",结果表!D4)),"收益法","基准地价系数修正法"))))</f>
        <v>假设开发法</v>
      </c>
    </row>
    <row r="5" spans="1:12" ht="12.75">
      <c r="A5" s="3132" t="s">
        <v>2121</v>
      </c>
      <c r="B5" s="3055">
        <v>25</v>
      </c>
      <c r="C5" s="3162"/>
      <c r="D5" s="3150"/>
      <c r="E5" s="140" t="s">
        <v>2122</v>
      </c>
      <c r="F5" s="2414"/>
      <c r="G5" s="2414"/>
      <c r="H5" s="2414"/>
      <c r="I5" s="1820"/>
    </row>
    <row r="6" spans="1:12" ht="12.75">
      <c r="A6" s="3132"/>
      <c r="B6" s="3055"/>
      <c r="C6" s="3164"/>
      <c r="D6" s="3150"/>
      <c r="E6" s="140" t="s">
        <v>2123</v>
      </c>
      <c r="F6" s="2414"/>
      <c r="G6" s="2414"/>
      <c r="H6" s="2414"/>
      <c r="I6" s="1820"/>
    </row>
    <row r="7" spans="1:12" ht="12.75">
      <c r="A7" s="3132"/>
      <c r="B7" s="3055"/>
      <c r="C7" s="3163"/>
      <c r="D7" s="3150"/>
      <c r="E7" s="140" t="s">
        <v>2124</v>
      </c>
      <c r="F7" s="2414"/>
      <c r="G7" s="2414"/>
      <c r="H7" s="2414"/>
      <c r="I7" s="1820"/>
    </row>
    <row r="8" spans="1:12" ht="12.75">
      <c r="A8" s="3132" t="s">
        <v>2125</v>
      </c>
      <c r="B8" s="3055">
        <v>15</v>
      </c>
      <c r="C8" s="3162"/>
      <c r="D8" s="3150"/>
      <c r="E8" s="140" t="s">
        <v>2126</v>
      </c>
      <c r="F8" s="2414"/>
      <c r="G8" s="2414"/>
      <c r="H8" s="2414"/>
      <c r="I8" s="1820"/>
    </row>
    <row r="9" spans="1:12" ht="12.75">
      <c r="A9" s="3132"/>
      <c r="B9" s="3055"/>
      <c r="C9" s="3163"/>
      <c r="D9" s="3150"/>
      <c r="E9" s="140" t="s">
        <v>2127</v>
      </c>
      <c r="F9" s="2414"/>
      <c r="G9" s="2414"/>
      <c r="H9" s="2414"/>
      <c r="I9" s="1820"/>
    </row>
    <row r="10" spans="1:12" ht="12.75">
      <c r="A10" s="3132" t="s">
        <v>2128</v>
      </c>
      <c r="B10" s="3055">
        <v>15</v>
      </c>
      <c r="C10" s="3162"/>
      <c r="D10" s="3150"/>
      <c r="E10" s="140" t="s">
        <v>2129</v>
      </c>
      <c r="F10" s="2414"/>
      <c r="G10" s="2414"/>
      <c r="H10" s="2414"/>
      <c r="I10" s="1820"/>
    </row>
    <row r="11" spans="1:12" ht="12.75">
      <c r="A11" s="3132"/>
      <c r="B11" s="3055"/>
      <c r="C11" s="3163"/>
      <c r="D11" s="3150"/>
      <c r="E11" s="140" t="s">
        <v>2130</v>
      </c>
      <c r="F11" s="2414"/>
      <c r="G11" s="2414"/>
      <c r="H11" s="2414"/>
      <c r="I11" s="1820"/>
    </row>
    <row r="12" spans="1:12" ht="12.75">
      <c r="A12" s="3132" t="s">
        <v>2131</v>
      </c>
      <c r="B12" s="3055">
        <v>15</v>
      </c>
      <c r="C12" s="3162"/>
      <c r="D12" s="3150"/>
      <c r="E12" s="140" t="s">
        <v>2132</v>
      </c>
      <c r="F12" s="2414"/>
      <c r="G12" s="2414"/>
      <c r="H12" s="2414"/>
      <c r="I12" s="1820"/>
    </row>
    <row r="13" spans="1:12" ht="12.75">
      <c r="A13" s="3132"/>
      <c r="B13" s="3055"/>
      <c r="C13" s="3163"/>
      <c r="D13" s="3150"/>
      <c r="E13" s="140" t="s">
        <v>2133</v>
      </c>
      <c r="F13" s="2414"/>
      <c r="G13" s="2414"/>
      <c r="H13" s="2414"/>
      <c r="I13" s="1820"/>
    </row>
    <row r="14" spans="1:12" ht="12.75">
      <c r="A14" s="3132" t="s">
        <v>2134</v>
      </c>
      <c r="B14" s="3055">
        <v>30</v>
      </c>
      <c r="C14" s="3162">
        <v>5</v>
      </c>
      <c r="D14" s="3150">
        <v>5</v>
      </c>
      <c r="E14" s="140" t="s">
        <v>2135</v>
      </c>
      <c r="F14" s="2414"/>
      <c r="G14" s="2414"/>
      <c r="H14" s="2414"/>
      <c r="I14" s="1820"/>
    </row>
    <row r="15" spans="1:12" ht="12.75">
      <c r="A15" s="3132"/>
      <c r="B15" s="3055"/>
      <c r="C15" s="3164"/>
      <c r="D15" s="3150"/>
      <c r="E15" s="140" t="s">
        <v>2136</v>
      </c>
      <c r="F15" s="2414"/>
      <c r="G15" s="2414"/>
      <c r="H15" s="2414"/>
      <c r="I15" s="1820"/>
    </row>
    <row r="16" spans="1:12" ht="12.75">
      <c r="A16" s="3132"/>
      <c r="B16" s="3055"/>
      <c r="C16" s="3163"/>
      <c r="D16" s="3150"/>
      <c r="E16" s="140" t="s">
        <v>2137</v>
      </c>
      <c r="F16" s="2414"/>
      <c r="G16" s="2414"/>
      <c r="H16" s="2414"/>
      <c r="I16" s="1820"/>
    </row>
    <row r="17" spans="1:35" ht="15">
      <c r="A17" s="2415" t="s">
        <v>2138</v>
      </c>
      <c r="B17" s="64"/>
      <c r="C17" s="141">
        <f>SUM(C5:C16)</f>
        <v>5</v>
      </c>
      <c r="D17" s="141">
        <f>SUM(D5:D16)</f>
        <v>5</v>
      </c>
      <c r="E17" s="138"/>
      <c r="F17" s="138"/>
      <c r="G17" s="138"/>
      <c r="H17" s="138"/>
      <c r="I17" s="138"/>
      <c r="K17" s="2413"/>
      <c r="L17" s="2416" t="s">
        <v>2139</v>
      </c>
      <c r="M17" s="2416" t="s">
        <v>2140</v>
      </c>
    </row>
    <row r="18" spans="1:35" ht="15.75" thickBot="1">
      <c r="A18" s="2417" t="s">
        <v>2141</v>
      </c>
      <c r="B18" s="2418"/>
      <c r="C18" s="142">
        <f>ROUND(C17/SUM(C17:D17),2)</f>
        <v>0.5</v>
      </c>
      <c r="D18" s="142">
        <f>1-C18</f>
        <v>0.5</v>
      </c>
      <c r="E18" s="138"/>
      <c r="F18" s="138"/>
      <c r="G18" s="138"/>
      <c r="H18" s="138"/>
      <c r="I18" s="138"/>
      <c r="K18" s="2413" t="s">
        <v>2142</v>
      </c>
      <c r="L18" s="2413">
        <f>IF(C1="",'数据-汇总表'!E3,SUMIF(项目类型,C1,'数据-汇总表'!E17:E26)+SUMIF(项目类型,C1,'数据-汇总表'!I17:I26))</f>
        <v>43490.38</v>
      </c>
      <c r="M18" s="2413">
        <f>IF(C1="",'数据-汇总表'!E3,SUMIF(项目类型,C1,'数据-汇总表'!E17:E26))</f>
        <v>43490.38</v>
      </c>
    </row>
    <row r="19" spans="1:35" ht="15">
      <c r="A19" s="2419" t="s">
        <v>2143</v>
      </c>
      <c r="B19" s="2420" t="s">
        <v>2144</v>
      </c>
      <c r="C19" s="143">
        <f ca="1">SUMIF(INDIRECT("'"&amp;C4&amp;"'"&amp;"!A:A"),结果表!B19,INDIRECT("'"&amp;C4&amp;"'"&amp;"!B:B"))</f>
        <v>86036</v>
      </c>
      <c r="D19" s="144">
        <f ca="1">SUMIF(INDIRECT("'"&amp;D4&amp;"'"&amp;"!A:A"),结果表!B19,INDIRECT("'"&amp;D4&amp;"'"&amp;"!B:B"))</f>
        <v>85082</v>
      </c>
      <c r="E19" s="2419" t="s">
        <v>2145</v>
      </c>
      <c r="F19" s="2420" t="s">
        <v>2144</v>
      </c>
      <c r="G19" s="145">
        <f ca="1">ROUND(C19*$C$18+D19*$D$18,0)</f>
        <v>85559</v>
      </c>
      <c r="H19" s="2421" t="s">
        <v>2146</v>
      </c>
      <c r="I19" s="138"/>
      <c r="K19" s="2413" t="s">
        <v>2147</v>
      </c>
      <c r="L19" s="2413">
        <f>IF(C1="",'数据-汇总表'!D3,SUMIF(项目类型,C1,'数据-汇总表'!D17:D26)+SUMIF(项目类型,C1,'数据-汇总表'!H17:H27))</f>
        <v>22468.9</v>
      </c>
      <c r="M19" s="2413">
        <f>IF(C1="",'数据-汇总表'!D3,SUMIF(项目类型,C1,'数据-汇总表'!D17:D26))</f>
        <v>22468.9</v>
      </c>
    </row>
    <row r="20" spans="1:35" ht="15">
      <c r="A20" s="2422"/>
      <c r="B20" s="1246" t="s">
        <v>2148</v>
      </c>
      <c r="C20" s="146">
        <f ca="1">SUMIF(INDIRECT("'"&amp;C4&amp;"'"&amp;"!A:A"),结果表!B20,INDIRECT("'"&amp;C4&amp;"'"&amp;"!B:B"))</f>
        <v>19783</v>
      </c>
      <c r="D20" s="147">
        <f ca="1">SUMIF(INDIRECT("'"&amp;D4&amp;"'"&amp;"!A:A"),结果表!B20,INDIRECT("'"&amp;D4&amp;"'"&amp;"!B:B"))</f>
        <v>19563</v>
      </c>
      <c r="E20" s="2422"/>
      <c r="F20" s="1246" t="s">
        <v>2148</v>
      </c>
      <c r="G20" s="148">
        <f ca="1">ROUND(C20*$C$18+D20*$D$18,0)</f>
        <v>19673</v>
      </c>
      <c r="H20" s="979" t="s">
        <v>2149</v>
      </c>
      <c r="I20" s="138"/>
    </row>
    <row r="21" spans="1:35" ht="15" customHeight="1" thickBot="1">
      <c r="A21" s="999"/>
      <c r="B21" s="2423" t="s">
        <v>2150</v>
      </c>
      <c r="C21" s="788">
        <f ca="1">ROUND(C19*10000/L19,0)</f>
        <v>38291</v>
      </c>
      <c r="D21" s="789">
        <f ca="1">ROUND(D19*10000/L19,0)</f>
        <v>37867</v>
      </c>
      <c r="E21" s="999"/>
      <c r="F21" s="2423" t="s">
        <v>2150</v>
      </c>
      <c r="G21" s="149">
        <f ca="1">ROUND(G19*10000/L19,0)</f>
        <v>38079</v>
      </c>
      <c r="H21" s="2424" t="s">
        <v>2149</v>
      </c>
      <c r="I21" s="138"/>
    </row>
    <row r="22" spans="1:35" ht="15" thickBot="1">
      <c r="A22" s="2266" t="s">
        <v>2151</v>
      </c>
      <c r="B22" s="2425"/>
      <c r="C22" s="2426"/>
      <c r="D22" s="790">
        <f ca="1">IF(C19&lt;D19,D19/C19-1,C19/D19-1)</f>
        <v>1.1212712442114636E-2</v>
      </c>
      <c r="E22" s="138"/>
      <c r="F22" s="138"/>
      <c r="G22" s="138"/>
      <c r="H22" s="138"/>
      <c r="I22" s="138"/>
    </row>
    <row r="23" spans="1:35" ht="13.5" thickBot="1">
      <c r="A23" s="2403"/>
      <c r="B23" s="2403"/>
      <c r="C23" s="2403"/>
      <c r="D23" s="2403"/>
      <c r="E23" s="138"/>
      <c r="F23" s="138"/>
      <c r="G23" s="138"/>
      <c r="H23" s="138"/>
      <c r="I23" s="138"/>
    </row>
    <row r="24" spans="1:35" ht="14.25">
      <c r="A24" s="3171" t="s">
        <v>2152</v>
      </c>
      <c r="B24" s="2420" t="s">
        <v>2144</v>
      </c>
      <c r="C24" s="145">
        <f>IF(B30=0,0,D30)</f>
        <v>0</v>
      </c>
      <c r="D24" s="2427"/>
      <c r="E24" s="138"/>
      <c r="F24" s="138"/>
      <c r="G24" s="138"/>
      <c r="H24" s="138"/>
      <c r="I24" s="138"/>
    </row>
    <row r="25" spans="1:35" ht="14.25">
      <c r="A25" s="3172"/>
      <c r="B25" s="1246" t="s">
        <v>2148</v>
      </c>
      <c r="C25" s="150">
        <f>IF(B30=0,0,C30)</f>
        <v>0</v>
      </c>
      <c r="D25" s="2428"/>
      <c r="E25" s="138"/>
      <c r="F25" s="138"/>
      <c r="G25" s="138"/>
      <c r="H25" s="138"/>
      <c r="I25" s="138"/>
    </row>
    <row r="26" spans="1:35" ht="13.5" customHeight="1">
      <c r="A26" s="2429" t="s">
        <v>2153</v>
      </c>
      <c r="B26" s="151" t="s">
        <v>2154</v>
      </c>
      <c r="C26" s="151" t="s">
        <v>2155</v>
      </c>
      <c r="D26" s="152" t="s">
        <v>2156</v>
      </c>
      <c r="E26" s="138"/>
      <c r="F26" s="138"/>
      <c r="G26" s="138"/>
      <c r="H26" s="138"/>
      <c r="I26" s="138"/>
    </row>
    <row r="27" spans="1:35" ht="14.25">
      <c r="A27" s="2429"/>
      <c r="B27" s="151">
        <v>0</v>
      </c>
      <c r="C27" s="151">
        <v>0</v>
      </c>
      <c r="D27" s="152"/>
      <c r="E27" s="138"/>
      <c r="F27" s="138"/>
      <c r="G27" s="138"/>
      <c r="H27" s="138"/>
      <c r="I27" s="138"/>
    </row>
    <row r="28" spans="1:35" ht="14.25">
      <c r="A28" s="2429"/>
      <c r="B28" s="151"/>
      <c r="C28" s="151"/>
      <c r="D28" s="152"/>
      <c r="E28" s="138"/>
      <c r="F28" s="138"/>
      <c r="G28" s="138"/>
      <c r="H28" s="138"/>
      <c r="I28" s="138"/>
    </row>
    <row r="29" spans="1:35" ht="14.25">
      <c r="A29" s="2429"/>
      <c r="B29" s="151"/>
      <c r="C29" s="151"/>
      <c r="D29" s="152"/>
      <c r="E29" s="138"/>
      <c r="F29" s="138"/>
      <c r="G29" s="138"/>
      <c r="H29" s="138"/>
      <c r="I29" s="138"/>
    </row>
    <row r="30" spans="1:35" ht="14.25">
      <c r="A30" s="151" t="s">
        <v>2157</v>
      </c>
      <c r="B30" s="151"/>
      <c r="C30" s="151"/>
      <c r="D30" s="151"/>
      <c r="E30" s="2900" t="s">
        <v>3031</v>
      </c>
      <c r="F30" s="138"/>
      <c r="G30" s="138"/>
      <c r="H30" s="138"/>
      <c r="I30" s="138"/>
    </row>
    <row r="31" spans="1:35" s="2431" customFormat="1" ht="15" thickBot="1">
      <c r="A31" s="2430"/>
      <c r="B31" s="2430"/>
      <c r="C31" s="2430"/>
      <c r="D31" s="2430"/>
      <c r="E31" s="138"/>
      <c r="F31" s="138"/>
      <c r="G31" s="138"/>
      <c r="H31" s="138"/>
      <c r="I31" s="138"/>
      <c r="J31" s="794"/>
      <c r="K31" s="794"/>
      <c r="L31" s="794"/>
      <c r="M31" s="794"/>
      <c r="N31" s="794"/>
      <c r="O31" s="794"/>
      <c r="P31" s="794"/>
      <c r="Q31" s="794"/>
      <c r="R31" s="794"/>
      <c r="S31" s="794"/>
      <c r="T31" s="794"/>
      <c r="U31" s="794"/>
      <c r="V31" s="794"/>
      <c r="W31" s="794"/>
      <c r="X31" s="794"/>
      <c r="Y31" s="794"/>
      <c r="Z31" s="794"/>
      <c r="AA31" s="2408"/>
      <c r="AB31" s="2408"/>
      <c r="AC31" s="2408"/>
      <c r="AD31" s="2408"/>
      <c r="AE31" s="2408"/>
      <c r="AF31" s="2408"/>
      <c r="AG31" s="2408"/>
      <c r="AH31" s="2408"/>
      <c r="AI31" s="2408"/>
    </row>
    <row r="32" spans="1:35" ht="15.75" thickBot="1">
      <c r="A32" s="2432" t="s">
        <v>2158</v>
      </c>
      <c r="B32" s="2433"/>
      <c r="C32" s="153">
        <f ca="1">IF(D32="总价",G19-C24,G20-C25)</f>
        <v>85559</v>
      </c>
      <c r="D32" s="2434" t="s">
        <v>2159</v>
      </c>
      <c r="E32" s="138"/>
      <c r="F32" s="138"/>
      <c r="G32" s="138"/>
      <c r="H32" s="138"/>
      <c r="I32" s="138"/>
    </row>
    <row r="33" spans="1:15" ht="15">
      <c r="A33" s="956" t="s">
        <v>2160</v>
      </c>
      <c r="B33" s="2435"/>
      <c r="C33" s="2436" t="s">
        <v>3357</v>
      </c>
      <c r="D33" s="2437" t="s">
        <v>3258</v>
      </c>
      <c r="E33" s="2438" t="s">
        <v>2161</v>
      </c>
      <c r="F33" s="2439" t="str">
        <f>IF(D32="楼面单价","取值（单价）","取值（总价）")</f>
        <v>取值（总价）</v>
      </c>
      <c r="G33" s="138"/>
      <c r="H33" s="138"/>
      <c r="I33" s="138"/>
    </row>
    <row r="34" spans="1:15" ht="15">
      <c r="A34" s="2440"/>
      <c r="B34" s="2441" t="s">
        <v>2162</v>
      </c>
      <c r="C34" s="157">
        <f ca="1">IF(C33="自定义",F34,C32-C35)</f>
        <v>73153</v>
      </c>
      <c r="D34" s="1054">
        <f ca="1">IF(C33="自定义",ROUND(C34/C32,3),IF(C33="收益比率",SUMIF(INDIRECT("'"&amp;D33&amp;"'"&amp;"!b:b"),"土地收益比率",INDIRECT("'"&amp;D33&amp;"'"&amp;"!c:c")),SUMIF(INDIRECT("'"&amp;D33&amp;"'"&amp;"!b:b"),"土地成本比率",INDIRECT("'"&amp;D33&amp;"'"&amp;"!c:c"))))</f>
        <v>0.85499999999999998</v>
      </c>
      <c r="E34" s="2442" t="s">
        <v>2163</v>
      </c>
      <c r="F34" s="1733"/>
      <c r="G34" s="138"/>
      <c r="H34" s="138"/>
      <c r="I34" s="138"/>
    </row>
    <row r="35" spans="1:15" ht="15.75" thickBot="1">
      <c r="A35" s="2443"/>
      <c r="B35" s="2444" t="s">
        <v>2164</v>
      </c>
      <c r="C35" s="1438">
        <f ca="1">IF(C33="自定义",F35,ROUND(C32*D35,0))</f>
        <v>12406</v>
      </c>
      <c r="D35" s="1439">
        <f ca="1">IF(C33="自定义",ROUND(C35/C32,3),IF(C33="收益比率",SUMIF(INDIRECT("'"&amp;D33&amp;"'"&amp;"!b:b"),"建筑物收益比率",INDIRECT("'"&amp;D33&amp;"'"&amp;"!c:c")),SUMIF(INDIRECT("'"&amp;D33&amp;"'"&amp;"!b:b"),"建筑物成本比率",INDIRECT("'"&amp;D33&amp;"'"&amp;"!c:c"))))</f>
        <v>0.14499999999999999</v>
      </c>
      <c r="E35" s="2445" t="s">
        <v>2165</v>
      </c>
      <c r="F35" s="163"/>
      <c r="G35" s="138"/>
      <c r="H35" s="138"/>
      <c r="I35" s="138"/>
    </row>
    <row r="36" spans="1:15" ht="15.75" thickBot="1">
      <c r="A36" s="3151" t="s">
        <v>2166</v>
      </c>
      <c r="B36" s="2446" t="s">
        <v>2167</v>
      </c>
      <c r="C36" s="154"/>
      <c r="D36" s="2447"/>
      <c r="E36" s="2448"/>
      <c r="F36" s="2449"/>
      <c r="G36" s="138"/>
      <c r="H36" s="138"/>
      <c r="I36" s="138"/>
    </row>
    <row r="37" spans="1:15" ht="15.75" thickBot="1">
      <c r="A37" s="3152"/>
      <c r="B37" s="2252" t="s">
        <v>2168</v>
      </c>
      <c r="C37" s="156"/>
      <c r="D37" s="1389"/>
      <c r="E37" s="1389"/>
      <c r="F37" s="2449"/>
      <c r="G37" s="138"/>
      <c r="H37" s="138"/>
      <c r="I37" s="138"/>
    </row>
    <row r="38" spans="1:15" ht="15.75" thickBot="1">
      <c r="A38" s="3153"/>
      <c r="B38" s="2450" t="s">
        <v>2169</v>
      </c>
      <c r="C38" s="726"/>
      <c r="D38" s="2451" t="s">
        <v>2170</v>
      </c>
      <c r="E38" s="1389"/>
      <c r="F38" s="2449"/>
      <c r="G38" s="138"/>
      <c r="H38" s="138"/>
      <c r="I38" s="138"/>
    </row>
    <row r="39" spans="1:15" ht="15">
      <c r="A39" s="2422" t="s">
        <v>2171</v>
      </c>
      <c r="B39" s="2452" t="s">
        <v>2172</v>
      </c>
      <c r="C39" s="2453" t="s">
        <v>2173</v>
      </c>
      <c r="D39" s="2453" t="s">
        <v>2174</v>
      </c>
      <c r="E39" s="2454" t="s">
        <v>2175</v>
      </c>
      <c r="F39" s="2449"/>
      <c r="G39" s="138"/>
      <c r="H39" s="138"/>
      <c r="I39" s="138"/>
    </row>
    <row r="40" spans="1:15" ht="14.25">
      <c r="A40" s="2455" t="s">
        <v>2176</v>
      </c>
      <c r="B40" s="158"/>
      <c r="C40" s="159"/>
      <c r="D40" s="159"/>
      <c r="E40" s="160"/>
      <c r="F40" s="2449"/>
      <c r="G40" s="138"/>
      <c r="H40" s="138"/>
      <c r="I40" s="138"/>
    </row>
    <row r="41" spans="1:15" ht="14.25">
      <c r="A41" s="2455" t="s">
        <v>2177</v>
      </c>
      <c r="B41" s="158"/>
      <c r="C41" s="159"/>
      <c r="D41" s="159"/>
      <c r="E41" s="160"/>
      <c r="F41" s="2449"/>
      <c r="G41" s="138"/>
      <c r="H41" s="138"/>
      <c r="I41" s="138"/>
    </row>
    <row r="42" spans="1:15" ht="15" thickBot="1">
      <c r="A42" s="2456"/>
      <c r="B42" s="161"/>
      <c r="C42" s="162"/>
      <c r="D42" s="162"/>
      <c r="E42" s="163"/>
      <c r="F42" s="2449"/>
      <c r="G42" s="138"/>
      <c r="H42" s="138"/>
      <c r="I42" s="138"/>
    </row>
    <row r="43" spans="1:15" ht="12.75">
      <c r="A43" s="2151"/>
      <c r="B43" s="2151"/>
      <c r="C43" s="2151"/>
      <c r="D43" s="2151"/>
      <c r="E43" s="2151"/>
      <c r="F43" s="2457"/>
      <c r="G43" s="2457"/>
      <c r="H43" s="2457"/>
      <c r="I43" s="2458"/>
    </row>
    <row r="44" spans="1:15" ht="18.75">
      <c r="A44" s="2459" t="s">
        <v>2178</v>
      </c>
      <c r="B44" s="2460"/>
      <c r="C44" s="2460"/>
      <c r="D44" s="2461"/>
      <c r="E44" s="2461"/>
      <c r="F44" s="2462"/>
      <c r="G44" s="2462"/>
      <c r="H44" s="2462"/>
      <c r="I44" s="2462"/>
      <c r="J44" s="2463" t="s">
        <v>2179</v>
      </c>
      <c r="K44" s="2464"/>
      <c r="L44" s="2464"/>
      <c r="M44" s="2464"/>
      <c r="N44" s="2464"/>
      <c r="O44" s="2464"/>
    </row>
    <row r="45" spans="1:15" ht="14.25" customHeight="1" thickBot="1">
      <c r="A45" s="3168" t="s">
        <v>2180</v>
      </c>
      <c r="B45" s="3169"/>
      <c r="C45" s="3170"/>
      <c r="D45" s="164">
        <f ca="1">ROUND(H101*F45,0)</f>
        <v>85559</v>
      </c>
      <c r="E45" s="165" t="s">
        <v>2181</v>
      </c>
      <c r="F45" s="166">
        <v>1</v>
      </c>
      <c r="G45" s="167" t="s">
        <v>2182</v>
      </c>
      <c r="H45" s="138"/>
      <c r="I45" s="138"/>
      <c r="J45" s="3085" t="s">
        <v>2183</v>
      </c>
      <c r="K45" s="3085"/>
      <c r="L45" s="3085"/>
      <c r="M45" s="3085"/>
      <c r="N45" s="3085"/>
      <c r="O45" s="3085"/>
    </row>
    <row r="46" spans="1:15" ht="14.25" customHeight="1">
      <c r="A46" s="3165" t="s">
        <v>2184</v>
      </c>
      <c r="B46" s="3166"/>
      <c r="C46" s="3166"/>
      <c r="D46" s="3166"/>
      <c r="E46" s="3166"/>
      <c r="F46" s="3166"/>
      <c r="G46" s="3167"/>
      <c r="H46" s="2465"/>
      <c r="I46" s="168"/>
      <c r="J46" s="1798">
        <v>1</v>
      </c>
      <c r="K46" s="3085" t="s">
        <v>2185</v>
      </c>
      <c r="L46" s="3085"/>
      <c r="M46" s="3086"/>
      <c r="N46" s="3086"/>
      <c r="O46" s="3086"/>
    </row>
    <row r="47" spans="1:15" ht="12" customHeight="1">
      <c r="A47" s="169" t="s">
        <v>2186</v>
      </c>
      <c r="B47" s="170"/>
      <c r="C47" s="171"/>
      <c r="D47" s="172" t="s">
        <v>2187</v>
      </c>
      <c r="E47" s="24" t="s">
        <v>2188</v>
      </c>
      <c r="F47" s="173" t="s">
        <v>2189</v>
      </c>
      <c r="G47" s="174" t="s">
        <v>2190</v>
      </c>
      <c r="H47" s="2465"/>
      <c r="I47" s="168"/>
      <c r="J47" s="1798">
        <v>2</v>
      </c>
      <c r="K47" s="3085" t="s">
        <v>2191</v>
      </c>
      <c r="L47" s="3085"/>
      <c r="M47" s="3087">
        <f>'数据-取费表'!B2</f>
        <v>43962</v>
      </c>
      <c r="N47" s="3087"/>
      <c r="O47" s="3087"/>
    </row>
    <row r="48" spans="1:15" ht="25.5">
      <c r="A48" s="3155" t="s">
        <v>2192</v>
      </c>
      <c r="B48" s="3156"/>
      <c r="C48" s="3156"/>
      <c r="D48" s="140">
        <f>IF(H48="情况1",0,IF(H48="情况2",D52,IF(H48="情况3",D53,IF(H48="情况4",D54))))</f>
        <v>0</v>
      </c>
      <c r="E48" s="1787" t="str">
        <f>IF(H48="情况4","(销售额-原购置价)×税（费）率","销售额×税（费）率")</f>
        <v>销售额×税（费）率</v>
      </c>
      <c r="F48" s="175" t="str">
        <f>IF(H48="情况1","免征",'数据-取费表'!B41)</f>
        <v>免征</v>
      </c>
      <c r="G48" s="2466" t="s">
        <v>2193</v>
      </c>
      <c r="H48" s="2467" t="s">
        <v>2194</v>
      </c>
      <c r="I48" s="2465"/>
      <c r="J48" s="1798">
        <v>3</v>
      </c>
      <c r="K48" s="3085" t="s">
        <v>2195</v>
      </c>
      <c r="L48" s="3085"/>
      <c r="M48" s="3088">
        <f ca="1">H101</f>
        <v>85559</v>
      </c>
      <c r="N48" s="3088"/>
      <c r="O48" s="3088"/>
    </row>
    <row r="49" spans="1:35" ht="25.5" customHeight="1">
      <c r="A49" s="176" t="s">
        <v>2196</v>
      </c>
      <c r="B49" s="3135" t="s">
        <v>2197</v>
      </c>
      <c r="C49" s="3135"/>
      <c r="D49" s="177">
        <v>0</v>
      </c>
      <c r="E49" s="23" t="s">
        <v>2198</v>
      </c>
      <c r="F49" s="28" t="s">
        <v>34</v>
      </c>
      <c r="G49" s="3116"/>
      <c r="H49" s="138"/>
      <c r="I49" s="2468"/>
      <c r="J49" s="1798">
        <v>4</v>
      </c>
      <c r="K49" s="3085" t="str">
        <f>IF(项目基本情况!E8="房地产抵押价值","房地产抵押价值","抵押担保权已注销时的房地产抵押价值")</f>
        <v>房地产抵押价值</v>
      </c>
      <c r="L49" s="3085"/>
      <c r="M49" s="3088">
        <f ca="1">IF(项目基本情况!E8="房地产抵押价值",H107,H109)</f>
        <v>85559</v>
      </c>
      <c r="N49" s="3088"/>
      <c r="O49" s="3088"/>
    </row>
    <row r="50" spans="1:35" ht="25.5" customHeight="1">
      <c r="A50" s="178"/>
      <c r="B50" s="3135" t="s">
        <v>2199</v>
      </c>
      <c r="C50" s="3135"/>
      <c r="D50" s="179"/>
      <c r="E50" s="31"/>
      <c r="F50" s="180"/>
      <c r="G50" s="3117"/>
      <c r="H50" s="138"/>
      <c r="I50" s="2468"/>
      <c r="J50" s="3085" t="s">
        <v>2200</v>
      </c>
      <c r="K50" s="3085"/>
      <c r="L50" s="3085"/>
      <c r="M50" s="3085"/>
      <c r="N50" s="3085"/>
      <c r="O50" s="3085"/>
    </row>
    <row r="51" spans="1:35" ht="12" customHeight="1">
      <c r="A51" s="181"/>
      <c r="B51" s="3135" t="s">
        <v>2201</v>
      </c>
      <c r="C51" s="3135"/>
      <c r="D51" s="182"/>
      <c r="E51" s="30"/>
      <c r="F51" s="180"/>
      <c r="G51" s="3118"/>
      <c r="H51" s="138"/>
      <c r="I51" s="2468"/>
      <c r="J51" s="2469" t="s">
        <v>2202</v>
      </c>
      <c r="K51" s="3085" t="s">
        <v>2203</v>
      </c>
      <c r="L51" s="3085"/>
      <c r="M51" s="2469" t="s">
        <v>2204</v>
      </c>
      <c r="N51" s="2469" t="s">
        <v>2205</v>
      </c>
      <c r="O51" s="2469" t="s">
        <v>2206</v>
      </c>
    </row>
    <row r="52" spans="1:35" ht="24" customHeight="1">
      <c r="A52" s="183" t="s">
        <v>2207</v>
      </c>
      <c r="B52" s="3135" t="s">
        <v>2208</v>
      </c>
      <c r="C52" s="3135"/>
      <c r="D52" s="182">
        <f ca="1">ROUND(D45*'数据-取费表'!B41/(1+'数据-取费表'!C42),0)</f>
        <v>4482</v>
      </c>
      <c r="E52" s="11" t="s">
        <v>2209</v>
      </c>
      <c r="F52" s="184">
        <f>'数据-取费表'!B41</f>
        <v>5.5000000000000007E-2</v>
      </c>
      <c r="G52" s="2470"/>
      <c r="H52" s="138"/>
      <c r="I52" s="2468"/>
      <c r="J52" s="1798">
        <v>1</v>
      </c>
      <c r="K52" s="3110" t="s">
        <v>2210</v>
      </c>
      <c r="L52" s="3110"/>
      <c r="M52" s="1740">
        <f>D48</f>
        <v>0</v>
      </c>
      <c r="N52" s="1798" t="str">
        <f>E48</f>
        <v>销售额×税（费）率</v>
      </c>
      <c r="O52" s="1741" t="str">
        <f>F48</f>
        <v>免征</v>
      </c>
    </row>
    <row r="53" spans="1:35" ht="12" customHeight="1">
      <c r="A53" s="183" t="s">
        <v>2211</v>
      </c>
      <c r="B53" s="3136" t="s">
        <v>2212</v>
      </c>
      <c r="C53" s="3137"/>
      <c r="D53" s="182">
        <f ca="1">ROUND(D45*'数据-取费表'!B41/(1+'数据-取费表'!C42),0)</f>
        <v>4482</v>
      </c>
      <c r="E53" s="11" t="s">
        <v>2209</v>
      </c>
      <c r="F53" s="184">
        <f>'数据-取费表'!B41</f>
        <v>5.5000000000000007E-2</v>
      </c>
      <c r="G53" s="2470"/>
      <c r="H53" s="138"/>
      <c r="I53" s="2468"/>
      <c r="J53" s="1798">
        <v>2</v>
      </c>
      <c r="K53" s="3110" t="s">
        <v>2213</v>
      </c>
      <c r="L53" s="3110"/>
      <c r="M53" s="1740">
        <f t="shared" ref="M53:O54" ca="1" si="0">D55</f>
        <v>43</v>
      </c>
      <c r="N53" s="1798" t="str">
        <f t="shared" si="0"/>
        <v>销售额×税（费）率</v>
      </c>
      <c r="O53" s="1741">
        <f t="shared" si="0"/>
        <v>5.0000000000000001E-4</v>
      </c>
    </row>
    <row r="54" spans="1:35" ht="12" customHeight="1">
      <c r="A54" s="183" t="s">
        <v>2214</v>
      </c>
      <c r="B54" s="3136" t="s">
        <v>2215</v>
      </c>
      <c r="C54" s="3137"/>
      <c r="D54" s="182">
        <f ca="1">C68</f>
        <v>4482</v>
      </c>
      <c r="E54" s="30" t="s">
        <v>2216</v>
      </c>
      <c r="F54" s="184">
        <f>'数据-取费表'!B41</f>
        <v>5.5000000000000007E-2</v>
      </c>
      <c r="G54" s="2470"/>
      <c r="H54" s="2471"/>
      <c r="I54" s="2468"/>
      <c r="J54" s="1798">
        <v>3</v>
      </c>
      <c r="K54" s="3110" t="s">
        <v>2217</v>
      </c>
      <c r="L54" s="3110"/>
      <c r="M54" s="1740">
        <f t="shared" ca="1" si="0"/>
        <v>48504</v>
      </c>
      <c r="N54" s="1798" t="str">
        <f t="shared" si="0"/>
        <v>增值额×税（费）率</v>
      </c>
      <c r="O54" s="1742" t="str">
        <f t="shared" si="0"/>
        <v>——</v>
      </c>
    </row>
    <row r="55" spans="1:35" ht="24" customHeight="1">
      <c r="A55" s="3174" t="s">
        <v>2218</v>
      </c>
      <c r="B55" s="3156"/>
      <c r="C55" s="3156"/>
      <c r="D55" s="185">
        <f ca="1">IF(H55="个人住宅",0,ROUND(D45*I55,0))</f>
        <v>43</v>
      </c>
      <c r="E55" s="11" t="s">
        <v>2219</v>
      </c>
      <c r="F55" s="184">
        <f>IF(H55="正常",I55,"免征")</f>
        <v>5.0000000000000001E-4</v>
      </c>
      <c r="G55" s="2470"/>
      <c r="H55" s="2467" t="s">
        <v>2220</v>
      </c>
      <c r="I55" s="186">
        <f>'数据-取费表'!B49</f>
        <v>5.0000000000000001E-4</v>
      </c>
      <c r="J55" s="1798" t="str">
        <f>IF(H59="非个人房产","",4)</f>
        <v/>
      </c>
      <c r="K55" s="3110" t="str">
        <f>IF(H59="非个人房产","——","个人所得税")</f>
        <v>——</v>
      </c>
      <c r="L55" s="3110"/>
      <c r="M55" s="1743" t="str">
        <f>D59</f>
        <v>——</v>
      </c>
      <c r="N55" s="1796" t="str">
        <f>E59</f>
        <v>——</v>
      </c>
      <c r="O55" s="1744" t="str">
        <f>F59</f>
        <v>——</v>
      </c>
    </row>
    <row r="56" spans="1:35" ht="24.75">
      <c r="A56" s="3174" t="s">
        <v>2221</v>
      </c>
      <c r="B56" s="3156"/>
      <c r="C56" s="3156"/>
      <c r="D56" s="185">
        <f ca="1">IF(H56="个人住宅",D57,D58)</f>
        <v>48504</v>
      </c>
      <c r="E56" s="11" t="s">
        <v>2222</v>
      </c>
      <c r="F56" s="184" t="str">
        <f>IF(H56="正常",F58,"免征")</f>
        <v>——</v>
      </c>
      <c r="G56" s="2472" t="s">
        <v>2223</v>
      </c>
      <c r="H56" s="2473" t="s">
        <v>2220</v>
      </c>
      <c r="I56" s="2474"/>
      <c r="J56" s="1798" t="str">
        <f>IF(项目基本情况!K6="上海银行",IF(J55="",4,J55+1),"")</f>
        <v/>
      </c>
      <c r="K56" s="3091" t="str">
        <f>IF(项目基本情况!K6="上海银行","其他处置费用","")</f>
        <v/>
      </c>
      <c r="L56" s="3092"/>
      <c r="M56" s="1740" t="str">
        <f>IF(项目基本情况!K6="上海银行",M69,"")</f>
        <v/>
      </c>
      <c r="N56" s="3094" t="str">
        <f>IF(项目基本情况!K6="上海银行","包含处置中涉及的律师、诉讼、拍卖、评估等费用","")</f>
        <v/>
      </c>
      <c r="O56" s="3095"/>
    </row>
    <row r="57" spans="1:35" ht="12.75">
      <c r="A57" s="183" t="s">
        <v>2196</v>
      </c>
      <c r="B57" s="3141" t="s">
        <v>2224</v>
      </c>
      <c r="C57" s="3142"/>
      <c r="D57" s="187">
        <v>0</v>
      </c>
      <c r="E57" s="23" t="s">
        <v>2198</v>
      </c>
      <c r="F57" s="155"/>
      <c r="G57" s="2470"/>
      <c r="H57" s="2474"/>
      <c r="I57" s="2474"/>
      <c r="J57" s="3110">
        <f>IF(AND(J55="",J56=""),4,IF(项目基本情况!K6="上海银行",结果表!J56+1,结果表!J55+1))</f>
        <v>4</v>
      </c>
      <c r="K57" s="3110" t="s">
        <v>2225</v>
      </c>
      <c r="L57" s="2475" t="s">
        <v>2226</v>
      </c>
      <c r="M57" s="1745"/>
      <c r="N57" s="1746">
        <f ca="1">SUMIF(M52:M56,"&lt;9e307")</f>
        <v>48547</v>
      </c>
      <c r="O57" s="2476"/>
      <c r="P57" s="1739">
        <f ca="1">N57/M49</f>
        <v>0.56740962376839377</v>
      </c>
    </row>
    <row r="58" spans="1:35" ht="24.75">
      <c r="A58" s="183" t="s">
        <v>2207</v>
      </c>
      <c r="B58" s="3141" t="s">
        <v>2227</v>
      </c>
      <c r="C58" s="3154"/>
      <c r="D58" s="185">
        <f ca="1">IF(H58="转让取得",C81,C97)</f>
        <v>48504</v>
      </c>
      <c r="E58" s="11" t="s">
        <v>2222</v>
      </c>
      <c r="F58" s="24" t="s">
        <v>34</v>
      </c>
      <c r="G58" s="2470"/>
      <c r="H58" s="2473" t="s">
        <v>2228</v>
      </c>
      <c r="I58" s="2474"/>
      <c r="J58" s="3110"/>
      <c r="K58" s="3110"/>
      <c r="L58" s="2475" t="s">
        <v>2229</v>
      </c>
      <c r="M58" s="1747"/>
      <c r="N58" s="2477" t="str">
        <f ca="1">NUMBERSTRING(INT(N57*10000),2)&amp;"元整"</f>
        <v>肆亿捌仟伍佰肆拾柒万元整</v>
      </c>
      <c r="O58" s="2478"/>
    </row>
    <row r="59" spans="1:35" ht="24.75" thickBot="1">
      <c r="A59" s="3114" t="s">
        <v>2230</v>
      </c>
      <c r="B59" s="3115"/>
      <c r="C59" s="3115"/>
      <c r="D59" s="188" t="str">
        <f>IF(H59="非个人房产","——",IF(H59="个人住宅",0,ROUND(D45*I59,0)))</f>
        <v>——</v>
      </c>
      <c r="E59" s="189" t="str">
        <f>IF(H59="非个人房产","——","销售额×税（费）率")</f>
        <v>——</v>
      </c>
      <c r="F59" s="190" t="str">
        <f>IF(H59="非个人房产","——",IF(H59="个人住宅","免征",I59))</f>
        <v>——</v>
      </c>
      <c r="G59" s="2479" t="s">
        <v>2223</v>
      </c>
      <c r="H59" s="2473" t="s">
        <v>2231</v>
      </c>
      <c r="I59" s="191">
        <v>0.01</v>
      </c>
      <c r="J59" s="3112">
        <f>J57+1</f>
        <v>5</v>
      </c>
      <c r="K59" s="3110" t="s">
        <v>2232</v>
      </c>
      <c r="L59" s="1798" t="s">
        <v>2226</v>
      </c>
      <c r="M59" s="1748"/>
      <c r="N59" s="1749">
        <f ca="1">M49-N57</f>
        <v>37012</v>
      </c>
      <c r="O59" s="2480"/>
    </row>
    <row r="60" spans="1:35" ht="12" customHeight="1">
      <c r="A60" s="2481"/>
      <c r="B60" s="2403"/>
      <c r="C60" s="2403"/>
      <c r="D60" s="2403"/>
      <c r="E60" s="2152"/>
      <c r="F60" s="2474"/>
      <c r="G60" s="2474"/>
      <c r="H60" s="2482"/>
      <c r="I60" s="138"/>
      <c r="J60" s="3113"/>
      <c r="K60" s="3110"/>
      <c r="L60" s="2475" t="s">
        <v>2229</v>
      </c>
      <c r="M60" s="1747"/>
      <c r="N60" s="2477" t="str">
        <f ca="1">NUMBERSTRING(INT(N59*10000),2)&amp;"元整"</f>
        <v>叁亿柒仟零壹拾贰万元整</v>
      </c>
      <c r="O60" s="2478"/>
    </row>
    <row r="61" spans="1:35" ht="13.5" thickBot="1">
      <c r="A61" s="3173" t="s">
        <v>2233</v>
      </c>
      <c r="B61" s="3173"/>
      <c r="C61" s="3173"/>
      <c r="D61" s="3173"/>
      <c r="E61" s="3173"/>
      <c r="F61" s="2474"/>
      <c r="G61" s="2474"/>
      <c r="H61" s="2482"/>
      <c r="I61" s="138"/>
      <c r="J61" s="1798">
        <f>J59+1</f>
        <v>6</v>
      </c>
      <c r="K61" s="3110" t="s">
        <v>2234</v>
      </c>
      <c r="L61" s="3110"/>
      <c r="M61" s="1750"/>
      <c r="N61" s="1751">
        <f ca="1">ROUND(N59*10000/'数据-汇总表'!E3,0)</f>
        <v>8510</v>
      </c>
      <c r="O61" s="2483"/>
    </row>
    <row r="62" spans="1:35" ht="12.75">
      <c r="A62" s="3130" t="s">
        <v>2235</v>
      </c>
      <c r="B62" s="3131"/>
      <c r="C62" s="1790"/>
      <c r="D62" s="1790" t="s">
        <v>2236</v>
      </c>
      <c r="E62" s="192" t="s">
        <v>2237</v>
      </c>
      <c r="F62" s="2474"/>
      <c r="G62" s="2474"/>
      <c r="H62" s="2482"/>
      <c r="I62" s="138"/>
    </row>
    <row r="63" spans="1:35" ht="12.75">
      <c r="A63" s="203" t="s">
        <v>775</v>
      </c>
      <c r="B63" s="193" t="s">
        <v>2238</v>
      </c>
      <c r="C63" s="194">
        <f ca="1">ROUND((C64+C65)/(1+'数据-取费表'!C42),0)</f>
        <v>81485</v>
      </c>
      <c r="D63" s="195"/>
      <c r="E63" s="196"/>
      <c r="F63" s="2474"/>
      <c r="G63" s="2474"/>
      <c r="H63" s="2482"/>
      <c r="I63" s="138"/>
      <c r="J63" s="3093" t="s">
        <v>2239</v>
      </c>
      <c r="K63" s="2484" t="s">
        <v>2240</v>
      </c>
      <c r="L63" s="1738">
        <f ca="1">IF(M49&gt;10000,M49*0.5%,IF(AND(M49&gt;1000,M49&lt;=10000),M49*1%,IF(AND(M49&gt;100,M49&lt;=1000),M49*3%,IF(AND(M49&gt;10,M49&lt;=100),M49*5%,M49*8%))))</f>
        <v>427.79500000000002</v>
      </c>
      <c r="M63" s="24">
        <f ca="1">ROUND(L63,1)</f>
        <v>427.8</v>
      </c>
      <c r="Z63" s="2408"/>
      <c r="AI63" s="2409"/>
    </row>
    <row r="64" spans="1:35" ht="14.25" customHeight="1">
      <c r="A64" s="197" t="s">
        <v>770</v>
      </c>
      <c r="B64" s="198" t="s">
        <v>2241</v>
      </c>
      <c r="C64" s="199">
        <f ca="1">D45</f>
        <v>85559</v>
      </c>
      <c r="D64" s="200" t="s">
        <v>32</v>
      </c>
      <c r="E64" s="201"/>
      <c r="F64" s="2474"/>
      <c r="G64" s="2474"/>
      <c r="H64" s="2482"/>
      <c r="I64" s="138"/>
      <c r="J64" s="3093"/>
      <c r="K64" s="2484" t="s">
        <v>2242</v>
      </c>
      <c r="L64" s="1738">
        <f ca="1">IF(M49&gt;2000,M49*0.5%,IF(AND(M49&gt;1000,M49&lt;=2000),M49*0.6%,IF(AND(M49&gt;500,M49&lt;=1000),M49*0.7%,IF(AND(M49&gt;200,M49&lt;=500),M49*0.8%,IF(AND(M49&gt;100,M49&lt;=200),M49*0.9%,IF(AND(M49&gt;50,M49&lt;=100),M49*1%,IF(AND(M49&gt;20,M49&lt;=50),M49*1.5%,IF(AND(M49&gt;10,M49&lt;=20),M49*2%,IF(AND(M49&gt;1,M49&lt;=10),M49*2.5%)))))))))</f>
        <v>427.79500000000002</v>
      </c>
      <c r="M64" s="24">
        <f t="shared" ref="M64:M65" ca="1" si="1">ROUND(L64,1)</f>
        <v>427.8</v>
      </c>
      <c r="N64" s="138" t="s">
        <v>2243</v>
      </c>
      <c r="Z64" s="2408"/>
      <c r="AI64" s="2409"/>
    </row>
    <row r="65" spans="1:35" ht="14.25" customHeight="1">
      <c r="A65" s="197" t="s">
        <v>771</v>
      </c>
      <c r="B65" s="198" t="s">
        <v>2244</v>
      </c>
      <c r="C65" s="202"/>
      <c r="D65" s="200"/>
      <c r="E65" s="201"/>
      <c r="F65" s="2474"/>
      <c r="G65" s="2474"/>
      <c r="H65" s="2482"/>
      <c r="I65" s="138"/>
      <c r="J65" s="3093"/>
      <c r="K65" s="2484" t="s">
        <v>2245</v>
      </c>
      <c r="L65" s="1738">
        <f ca="1">IF(M49&gt;1000,M49*0.1%,IF(AND(M49&gt;500,M49&lt;=1000),M49*0.5%,IF(AND(M49&gt;50,M49&lt;=500),M49*1%,IF(AND(M49&gt;1,M49&lt;=50),M49*1.5%))))</f>
        <v>85.558999999999997</v>
      </c>
      <c r="M65" s="24">
        <f t="shared" ca="1" si="1"/>
        <v>85.6</v>
      </c>
      <c r="N65" s="138" t="s">
        <v>2243</v>
      </c>
      <c r="Z65" s="2408"/>
      <c r="AI65" s="2409"/>
    </row>
    <row r="66" spans="1:35" ht="14.25" customHeight="1">
      <c r="A66" s="203" t="s">
        <v>772</v>
      </c>
      <c r="B66" s="204" t="s">
        <v>2246</v>
      </c>
      <c r="C66" s="205"/>
      <c r="D66" s="206" t="s">
        <v>32</v>
      </c>
      <c r="E66" s="1762" t="s">
        <v>1366</v>
      </c>
      <c r="F66" s="2474"/>
      <c r="G66" s="2474"/>
      <c r="H66" s="2482"/>
      <c r="I66" s="138"/>
      <c r="J66" s="3093"/>
      <c r="K66" s="2484" t="s">
        <v>2247</v>
      </c>
      <c r="L66" s="1738">
        <f ca="1">M49*0.5%</f>
        <v>427.79500000000002</v>
      </c>
      <c r="M66" s="24">
        <f ca="1">IF(L66&gt;0.5,0.5,ROUND(L66,0))</f>
        <v>0.5</v>
      </c>
      <c r="N66" s="138" t="s">
        <v>2248</v>
      </c>
      <c r="Z66" s="2408"/>
      <c r="AI66" s="2409"/>
    </row>
    <row r="67" spans="1:35" ht="14.25" customHeight="1">
      <c r="A67" s="203" t="s">
        <v>773</v>
      </c>
      <c r="B67" s="204" t="s">
        <v>2249</v>
      </c>
      <c r="C67" s="207">
        <f ca="1">C63-C66</f>
        <v>81485</v>
      </c>
      <c r="D67" s="200" t="s">
        <v>32</v>
      </c>
      <c r="E67" s="201"/>
      <c r="F67" s="2474"/>
      <c r="G67" s="2474"/>
      <c r="H67" s="2482"/>
      <c r="I67" s="138"/>
      <c r="J67" s="3093"/>
      <c r="K67" s="2484" t="s">
        <v>2250</v>
      </c>
      <c r="L67" s="1738">
        <f ca="1">IF(M49&gt;=10000,(8.25+(M49-10000)*0.01%),IF(AND(M49&gt;=8000,M49&lt;10000),(7.85+(M49-8000)*0.02%),IF(AND(M49&gt;=5000,M49&lt;8000),(6.65+(M49-5000)*0.04%),IF(AND(M49&gt;=2000,M49&lt;5000),(4.25+(PM49-2000)*0.08%),IF(AND(M49&gt;=1000,M49&lt;2000),(2.75+(M49-1000)*0.15%),IF(AND(M49&gt;=100,M49&lt;1000),(0.5+(M49-100)*0.25%),IF(AND(M49&gt;0,M49&lt;100),M49*0.5%)))))))</f>
        <v>15.805900000000001</v>
      </c>
      <c r="M67" s="24">
        <f ca="1">ROUND(L67*0.9,1)</f>
        <v>14.2</v>
      </c>
      <c r="Z67" s="2408"/>
      <c r="AI67" s="2409"/>
    </row>
    <row r="68" spans="1:35" ht="14.25" customHeight="1" thickBot="1">
      <c r="A68" s="208" t="s">
        <v>774</v>
      </c>
      <c r="B68" s="209" t="s">
        <v>2251</v>
      </c>
      <c r="C68" s="210">
        <f ca="1">IF(C67&lt;=0,0,ROUND(C67*D68,0))</f>
        <v>4482</v>
      </c>
      <c r="D68" s="211">
        <f>'数据-取费表'!B41</f>
        <v>5.5000000000000007E-2</v>
      </c>
      <c r="E68" s="212"/>
      <c r="F68" s="2474"/>
      <c r="G68" s="2474"/>
      <c r="H68" s="2482"/>
      <c r="I68" s="138"/>
      <c r="J68" s="3093"/>
      <c r="K68" s="2484" t="s">
        <v>2252</v>
      </c>
      <c r="L68" s="1738">
        <f ca="1">IF(M49&gt;10000,M49*0.5%,IF(AND(M49&gt;5000,M49&lt;=10000),M49*1%,IF(AND(M49&gt;1000,M49&lt;=5000),M49*2%,IF(AND(M49&gt;200,M49&lt;=1000),M49*3%,M49*5%))))</f>
        <v>427.79500000000002</v>
      </c>
      <c r="M68" s="24">
        <f ca="1">ROUND(L68,1)</f>
        <v>427.8</v>
      </c>
      <c r="Z68" s="2408"/>
      <c r="AI68" s="2409"/>
    </row>
    <row r="69" spans="1:35" s="2431" customFormat="1" ht="16.5" customHeight="1">
      <c r="A69" s="2485"/>
      <c r="B69" s="2486"/>
      <c r="C69" s="2487"/>
      <c r="D69" s="2488"/>
      <c r="E69" s="2489"/>
      <c r="F69" s="2152"/>
      <c r="G69" s="2152"/>
      <c r="H69" s="2151"/>
      <c r="I69" s="2403"/>
      <c r="J69" s="3093"/>
      <c r="K69" s="2484" t="s">
        <v>2253</v>
      </c>
      <c r="L69" s="2490"/>
      <c r="M69" s="24">
        <f ca="1">ROUND(SUM(M63:M68),0)</f>
        <v>1384</v>
      </c>
      <c r="N69" s="1739">
        <f ca="1">M69/M49</f>
        <v>1.6175972136186725E-2</v>
      </c>
      <c r="O69" s="794"/>
      <c r="P69" s="794"/>
      <c r="Q69" s="794"/>
      <c r="R69" s="794"/>
      <c r="S69" s="794"/>
      <c r="T69" s="794"/>
      <c r="U69" s="794"/>
      <c r="V69" s="794"/>
      <c r="W69" s="794"/>
      <c r="X69" s="794"/>
      <c r="Y69" s="794"/>
      <c r="Z69" s="2408"/>
      <c r="AA69" s="2408"/>
      <c r="AB69" s="2408"/>
      <c r="AC69" s="2408"/>
      <c r="AD69" s="2408"/>
      <c r="AE69" s="2408"/>
      <c r="AF69" s="2408"/>
      <c r="AG69" s="2408"/>
      <c r="AH69" s="2408"/>
    </row>
    <row r="70" spans="1:35" s="2492" customFormat="1" ht="15" thickBot="1">
      <c r="A70" s="3139" t="s">
        <v>2254</v>
      </c>
      <c r="B70" s="3140"/>
      <c r="C70" s="3140"/>
      <c r="D70" s="3140"/>
      <c r="E70" s="3140"/>
      <c r="F70" s="3140"/>
      <c r="G70" s="3140"/>
      <c r="H70" s="3140"/>
      <c r="I70" s="2491"/>
      <c r="N70" s="2493"/>
      <c r="O70" s="2493"/>
      <c r="P70" s="2493"/>
      <c r="Q70" s="2493"/>
      <c r="R70" s="2493"/>
      <c r="S70" s="2493"/>
      <c r="T70" s="2493"/>
      <c r="U70" s="2493"/>
      <c r="V70" s="2493"/>
      <c r="W70" s="2493"/>
      <c r="X70" s="2493"/>
      <c r="Y70" s="2493"/>
      <c r="Z70" s="2493"/>
      <c r="AA70" s="2494"/>
      <c r="AB70" s="2494"/>
      <c r="AC70" s="2494"/>
      <c r="AD70" s="2494"/>
      <c r="AE70" s="2494"/>
      <c r="AF70" s="2494"/>
      <c r="AG70" s="2494"/>
      <c r="AH70" s="2494"/>
      <c r="AI70" s="2494"/>
    </row>
    <row r="71" spans="1:35" s="2492" customFormat="1" ht="14.25">
      <c r="A71" s="3130" t="s">
        <v>2235</v>
      </c>
      <c r="B71" s="3131"/>
      <c r="C71" s="1790"/>
      <c r="D71" s="1790" t="s">
        <v>2236</v>
      </c>
      <c r="E71" s="213" t="s">
        <v>2237</v>
      </c>
      <c r="F71" s="214"/>
      <c r="G71" s="214"/>
      <c r="H71" s="215"/>
      <c r="I71" s="2495"/>
      <c r="N71" s="2493"/>
      <c r="O71" s="2493"/>
      <c r="P71" s="2493"/>
      <c r="Q71" s="2493"/>
      <c r="R71" s="2493"/>
      <c r="S71" s="2493"/>
      <c r="T71" s="2493"/>
      <c r="U71" s="2493"/>
      <c r="V71" s="2493"/>
      <c r="W71" s="2493"/>
      <c r="X71" s="2493"/>
      <c r="Y71" s="2493"/>
      <c r="Z71" s="2493"/>
      <c r="AA71" s="2494"/>
      <c r="AB71" s="2494"/>
      <c r="AC71" s="2494"/>
      <c r="AD71" s="2494"/>
      <c r="AE71" s="2494"/>
      <c r="AF71" s="2494"/>
      <c r="AG71" s="2494"/>
      <c r="AH71" s="2494"/>
      <c r="AI71" s="2494"/>
    </row>
    <row r="72" spans="1:35" s="2492" customFormat="1" ht="14.25">
      <c r="A72" s="203" t="s">
        <v>775</v>
      </c>
      <c r="B72" s="204" t="s">
        <v>2255</v>
      </c>
      <c r="C72" s="207">
        <f ca="1">ROUND(D45/(1+'数据-取费表'!C42),0)</f>
        <v>81485</v>
      </c>
      <c r="D72" s="200" t="s">
        <v>32</v>
      </c>
      <c r="E72" s="1789"/>
      <c r="F72" s="1783"/>
      <c r="G72" s="1783"/>
      <c r="H72" s="216"/>
      <c r="I72" s="2495"/>
      <c r="N72" s="2493"/>
      <c r="O72" s="2493"/>
      <c r="P72" s="2493"/>
      <c r="Q72" s="2493"/>
      <c r="R72" s="2493"/>
      <c r="S72" s="2493"/>
      <c r="T72" s="2493"/>
      <c r="U72" s="2493"/>
      <c r="V72" s="2493"/>
      <c r="W72" s="2493"/>
      <c r="X72" s="2493"/>
      <c r="Y72" s="2493"/>
      <c r="Z72" s="2493"/>
      <c r="AA72" s="2494"/>
      <c r="AB72" s="2494"/>
      <c r="AC72" s="2494"/>
      <c r="AD72" s="2494"/>
      <c r="AE72" s="2494"/>
      <c r="AF72" s="2494"/>
      <c r="AG72" s="2494"/>
      <c r="AH72" s="2494"/>
      <c r="AI72" s="2494"/>
    </row>
    <row r="73" spans="1:35" s="2492" customFormat="1" ht="14.25">
      <c r="A73" s="203" t="s">
        <v>772</v>
      </c>
      <c r="B73" s="173" t="s">
        <v>2256</v>
      </c>
      <c r="C73" s="207">
        <f ca="1">C74+C78</f>
        <v>407</v>
      </c>
      <c r="D73" s="200" t="s">
        <v>32</v>
      </c>
      <c r="E73" s="1789"/>
      <c r="F73" s="1783"/>
      <c r="G73" s="1783"/>
      <c r="H73" s="216"/>
      <c r="I73" s="2495"/>
      <c r="J73" s="2493"/>
      <c r="K73" s="2493"/>
      <c r="L73" s="2493"/>
      <c r="M73" s="2493"/>
      <c r="N73" s="2493"/>
      <c r="O73" s="2493"/>
      <c r="P73" s="2493"/>
      <c r="Q73" s="2493"/>
      <c r="R73" s="2493"/>
      <c r="S73" s="2493"/>
      <c r="T73" s="2493"/>
      <c r="U73" s="2493"/>
      <c r="V73" s="2493"/>
      <c r="W73" s="2493"/>
      <c r="X73" s="2493"/>
      <c r="Y73" s="2493"/>
      <c r="Z73" s="2493"/>
      <c r="AA73" s="2494"/>
      <c r="AB73" s="2494"/>
      <c r="AC73" s="2494"/>
      <c r="AD73" s="2494"/>
      <c r="AE73" s="2494"/>
      <c r="AF73" s="2494"/>
      <c r="AG73" s="2494"/>
      <c r="AH73" s="2494"/>
      <c r="AI73" s="2494"/>
    </row>
    <row r="74" spans="1:35" s="2492" customFormat="1" ht="24">
      <c r="A74" s="217" t="s">
        <v>770</v>
      </c>
      <c r="B74" s="198" t="s">
        <v>2257</v>
      </c>
      <c r="C74" s="200">
        <f>ROUND(IF(G77="2016年5月1日后购买",C75/(1+'数据-取费表'!C42)+C76+C77,C75+C76+C77),0)</f>
        <v>0</v>
      </c>
      <c r="D74" s="200" t="s">
        <v>32</v>
      </c>
      <c r="E74" s="1789"/>
      <c r="F74" s="1783"/>
      <c r="G74" s="1783"/>
      <c r="H74" s="216"/>
      <c r="I74" s="2495"/>
      <c r="J74" s="2493"/>
      <c r="K74" s="2493"/>
      <c r="L74" s="2493"/>
      <c r="M74" s="2493"/>
      <c r="N74" s="2493"/>
      <c r="O74" s="2493"/>
      <c r="P74" s="2493"/>
      <c r="Q74" s="2493"/>
      <c r="R74" s="2493"/>
      <c r="S74" s="2493"/>
      <c r="T74" s="2493"/>
      <c r="U74" s="2493"/>
      <c r="V74" s="2493"/>
      <c r="W74" s="2493"/>
      <c r="X74" s="2493"/>
      <c r="Y74" s="2493"/>
      <c r="Z74" s="2493"/>
      <c r="AA74" s="2494"/>
      <c r="AB74" s="2494"/>
      <c r="AC74" s="2494"/>
      <c r="AD74" s="2494"/>
      <c r="AE74" s="2494"/>
      <c r="AF74" s="2494"/>
      <c r="AG74" s="2494"/>
      <c r="AH74" s="2494"/>
      <c r="AI74" s="2494"/>
    </row>
    <row r="75" spans="1:35" s="2492" customFormat="1" ht="14.25">
      <c r="A75" s="217" t="s">
        <v>776</v>
      </c>
      <c r="B75" s="198" t="s">
        <v>2258</v>
      </c>
      <c r="C75" s="218"/>
      <c r="D75" s="200" t="s">
        <v>32</v>
      </c>
      <c r="E75" s="219" t="s">
        <v>2259</v>
      </c>
      <c r="F75" s="2496" t="s">
        <v>2260</v>
      </c>
      <c r="G75" s="219" t="s">
        <v>2261</v>
      </c>
      <c r="H75" s="220"/>
      <c r="I75" s="2497"/>
      <c r="J75" s="2493"/>
      <c r="K75" s="2493"/>
      <c r="L75" s="2493"/>
      <c r="M75" s="2493"/>
      <c r="N75" s="2493"/>
      <c r="O75" s="2493"/>
      <c r="P75" s="2493"/>
      <c r="Q75" s="2493"/>
      <c r="R75" s="2493"/>
      <c r="S75" s="2493"/>
      <c r="T75" s="2493"/>
      <c r="U75" s="2493"/>
      <c r="V75" s="2493"/>
      <c r="W75" s="2493"/>
      <c r="X75" s="2493"/>
      <c r="Y75" s="2493"/>
      <c r="Z75" s="2493"/>
      <c r="AA75" s="2494"/>
      <c r="AB75" s="2494"/>
      <c r="AC75" s="2494"/>
      <c r="AD75" s="2494"/>
      <c r="AE75" s="2494"/>
      <c r="AF75" s="2494"/>
      <c r="AG75" s="2494"/>
      <c r="AH75" s="2494"/>
      <c r="AI75" s="2494"/>
    </row>
    <row r="76" spans="1:35" s="2492" customFormat="1" ht="24.75" customHeight="1">
      <c r="A76" s="217" t="s">
        <v>777</v>
      </c>
      <c r="B76" s="221" t="s">
        <v>2262</v>
      </c>
      <c r="C76" s="200">
        <f>IF(F75="购房发票",ROUND(C75*H75*D76,0),0)</f>
        <v>0</v>
      </c>
      <c r="D76" s="222">
        <v>0.05</v>
      </c>
      <c r="E76" s="3136" t="s">
        <v>2263</v>
      </c>
      <c r="F76" s="3135"/>
      <c r="G76" s="3135"/>
      <c r="H76" s="3138"/>
      <c r="I76" s="2495"/>
      <c r="J76" s="2493"/>
      <c r="K76" s="2493"/>
      <c r="L76" s="2493"/>
      <c r="M76" s="2493"/>
      <c r="N76" s="2493"/>
      <c r="O76" s="2493"/>
      <c r="P76" s="2493"/>
      <c r="Q76" s="2493"/>
      <c r="R76" s="2493"/>
      <c r="S76" s="2493"/>
      <c r="T76" s="2493"/>
      <c r="U76" s="2493"/>
      <c r="V76" s="2493"/>
      <c r="W76" s="2493"/>
      <c r="X76" s="2493"/>
      <c r="Y76" s="2493"/>
      <c r="Z76" s="2493"/>
      <c r="AA76" s="2494"/>
      <c r="AB76" s="2494"/>
      <c r="AC76" s="2494"/>
      <c r="AD76" s="2494"/>
      <c r="AE76" s="2494"/>
      <c r="AF76" s="2494"/>
      <c r="AG76" s="2494"/>
      <c r="AH76" s="2494"/>
      <c r="AI76" s="2494"/>
    </row>
    <row r="77" spans="1:35" s="2492"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498" t="s">
        <v>2266</v>
      </c>
      <c r="H77" s="1794" t="str">
        <f>IF(G77="个人买卖住房","免征印花税"," ")</f>
        <v xml:space="preserve"> </v>
      </c>
      <c r="I77" s="2495"/>
      <c r="J77" s="2493"/>
      <c r="K77" s="2493"/>
      <c r="L77" s="2493"/>
      <c r="M77" s="2493"/>
      <c r="N77" s="2493"/>
      <c r="O77" s="2493"/>
      <c r="P77" s="2493"/>
      <c r="Q77" s="2493"/>
      <c r="R77" s="2493"/>
      <c r="S77" s="2493"/>
      <c r="T77" s="2493"/>
      <c r="U77" s="2493"/>
      <c r="V77" s="2493"/>
      <c r="W77" s="2493"/>
      <c r="X77" s="2493"/>
      <c r="Y77" s="2493"/>
      <c r="Z77" s="2493"/>
      <c r="AA77" s="2494"/>
      <c r="AB77" s="2494"/>
      <c r="AC77" s="2494"/>
      <c r="AD77" s="2494"/>
      <c r="AE77" s="2494"/>
      <c r="AF77" s="2494"/>
      <c r="AG77" s="2494"/>
      <c r="AH77" s="2494"/>
      <c r="AI77" s="2494"/>
    </row>
    <row r="78" spans="1:35" s="2492" customFormat="1" ht="24.75" customHeight="1">
      <c r="A78" s="217" t="s">
        <v>771</v>
      </c>
      <c r="B78" s="198" t="s">
        <v>2267</v>
      </c>
      <c r="C78" s="225">
        <f ca="1">ROUND(D45*D78/(1+'数据-取费表'!C42),0)</f>
        <v>407</v>
      </c>
      <c r="D78" s="226">
        <f>'数据-取费表'!B43</f>
        <v>5.000000000000001E-3</v>
      </c>
      <c r="E78" s="3127" t="s">
        <v>2268</v>
      </c>
      <c r="F78" s="3128"/>
      <c r="G78" s="3128"/>
      <c r="H78" s="3129"/>
      <c r="I78" s="2499"/>
      <c r="J78" s="2493"/>
      <c r="K78" s="2493"/>
      <c r="L78" s="2493"/>
      <c r="M78" s="2493"/>
      <c r="N78" s="2493"/>
      <c r="O78" s="2493"/>
      <c r="P78" s="2493"/>
      <c r="Q78" s="2493"/>
      <c r="R78" s="2493"/>
      <c r="S78" s="2493"/>
      <c r="T78" s="2493"/>
      <c r="U78" s="2493"/>
      <c r="V78" s="2493"/>
      <c r="W78" s="2493"/>
      <c r="X78" s="2493"/>
      <c r="Y78" s="2493"/>
      <c r="Z78" s="2493"/>
      <c r="AA78" s="2494"/>
      <c r="AB78" s="2494"/>
      <c r="AC78" s="2494"/>
      <c r="AD78" s="2494"/>
      <c r="AE78" s="2494"/>
      <c r="AF78" s="2494"/>
      <c r="AG78" s="2494"/>
      <c r="AH78" s="2494"/>
      <c r="AI78" s="2494"/>
    </row>
    <row r="79" spans="1:35" s="2492" customFormat="1" ht="14.25">
      <c r="A79" s="2500" t="s">
        <v>779</v>
      </c>
      <c r="B79" s="204" t="s">
        <v>2269</v>
      </c>
      <c r="C79" s="207">
        <f ca="1">C72-C73</f>
        <v>81078</v>
      </c>
      <c r="D79" s="200" t="s">
        <v>32</v>
      </c>
      <c r="E79" s="1789"/>
      <c r="F79" s="1783"/>
      <c r="G79" s="1783"/>
      <c r="H79" s="216"/>
      <c r="I79" s="2495"/>
      <c r="J79" s="2493"/>
      <c r="K79" s="2493"/>
      <c r="L79" s="2493"/>
      <c r="M79" s="2493"/>
      <c r="N79" s="2493"/>
      <c r="O79" s="2493"/>
      <c r="P79" s="2493"/>
      <c r="Q79" s="2493"/>
      <c r="R79" s="2493"/>
      <c r="S79" s="2493"/>
      <c r="T79" s="2493"/>
      <c r="U79" s="2493"/>
      <c r="V79" s="2493"/>
      <c r="W79" s="2493"/>
      <c r="X79" s="2493"/>
      <c r="Y79" s="2493"/>
      <c r="Z79" s="2493"/>
      <c r="AA79" s="2494"/>
      <c r="AB79" s="2494"/>
      <c r="AC79" s="2494"/>
      <c r="AD79" s="2494"/>
      <c r="AE79" s="2494"/>
      <c r="AF79" s="2494"/>
      <c r="AG79" s="2494"/>
      <c r="AH79" s="2494"/>
      <c r="AI79" s="2494"/>
    </row>
    <row r="80" spans="1:35" s="2492" customFormat="1" ht="24">
      <c r="A80" s="2500" t="s">
        <v>780</v>
      </c>
      <c r="B80" s="204" t="s">
        <v>2270</v>
      </c>
      <c r="C80" s="227">
        <f ca="1">IF(C79&lt;=0,0,C79/C73)</f>
        <v>199.20884520884522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3"/>
      <c r="G80" s="1783"/>
      <c r="H80" s="216"/>
      <c r="I80" s="2495"/>
      <c r="J80" s="2493"/>
      <c r="K80" s="2493"/>
      <c r="L80" s="2493"/>
      <c r="M80" s="2493"/>
      <c r="N80" s="2493"/>
      <c r="O80" s="2493"/>
      <c r="P80" s="2493"/>
      <c r="Q80" s="2493"/>
      <c r="R80" s="2493"/>
      <c r="S80" s="2493"/>
      <c r="T80" s="2493"/>
      <c r="U80" s="2493"/>
      <c r="V80" s="2493"/>
      <c r="W80" s="2493"/>
      <c r="X80" s="2493"/>
      <c r="Y80" s="2493"/>
      <c r="Z80" s="2493"/>
      <c r="AA80" s="2494"/>
      <c r="AB80" s="2494"/>
      <c r="AC80" s="2494"/>
      <c r="AD80" s="2494"/>
      <c r="AE80" s="2494"/>
      <c r="AF80" s="2494"/>
      <c r="AG80" s="2494"/>
      <c r="AH80" s="2494"/>
      <c r="AI80" s="2494"/>
    </row>
    <row r="81" spans="1:35" s="2492" customFormat="1" ht="24.75" thickBot="1">
      <c r="A81" s="2501" t="s">
        <v>781</v>
      </c>
      <c r="B81" s="209" t="s">
        <v>2271</v>
      </c>
      <c r="C81" s="228">
        <f ca="1">ROUND(IF(C79&lt;=0,0,IF(C80&gt;=200%,C79*60%-C73*35%,IF(C80&gt;=100%,C79*50%-C73*15%,IF(C80&gt;=50%,C79*40%-C73*5%,IF(C80&lt;50%,C79*30%,0))))),0)</f>
        <v>48504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5"/>
      <c r="J81" s="2493"/>
      <c r="K81" s="2493"/>
      <c r="L81" s="2493"/>
      <c r="M81" s="2493"/>
      <c r="N81" s="2493"/>
      <c r="O81" s="2493"/>
      <c r="P81" s="2493"/>
      <c r="Q81" s="2493"/>
      <c r="R81" s="2493"/>
      <c r="S81" s="2493"/>
      <c r="T81" s="2493"/>
      <c r="U81" s="2493"/>
      <c r="V81" s="2493"/>
      <c r="W81" s="2493"/>
      <c r="X81" s="2493"/>
      <c r="Y81" s="2493"/>
      <c r="Z81" s="2493"/>
      <c r="AA81" s="2494"/>
      <c r="AB81" s="2494"/>
      <c r="AC81" s="2494"/>
      <c r="AD81" s="2494"/>
      <c r="AE81" s="2494"/>
      <c r="AF81" s="2494"/>
      <c r="AG81" s="2494"/>
      <c r="AH81" s="2494"/>
      <c r="AI81" s="2494"/>
    </row>
    <row r="82" spans="1:35" s="2492" customFormat="1" ht="7.5" customHeight="1">
      <c r="A82" s="732"/>
      <c r="B82" s="733"/>
      <c r="C82" s="7"/>
      <c r="D82" s="7"/>
      <c r="E82" s="733"/>
      <c r="F82" s="733"/>
      <c r="G82" s="733"/>
      <c r="H82" s="734"/>
      <c r="I82" s="2499"/>
      <c r="J82" s="2493"/>
      <c r="K82" s="2493"/>
      <c r="L82" s="2493"/>
      <c r="M82" s="2493"/>
      <c r="N82" s="2493"/>
      <c r="O82" s="2493"/>
      <c r="P82" s="2493"/>
      <c r="Q82" s="2493"/>
      <c r="R82" s="2493"/>
      <c r="S82" s="2493"/>
      <c r="T82" s="2493"/>
      <c r="U82" s="2493"/>
      <c r="V82" s="2493"/>
      <c r="W82" s="2493"/>
      <c r="X82" s="2493"/>
      <c r="Y82" s="2493"/>
      <c r="Z82" s="2493"/>
      <c r="AA82" s="2494"/>
      <c r="AB82" s="2494"/>
      <c r="AC82" s="2494"/>
      <c r="AD82" s="2494"/>
      <c r="AE82" s="2494"/>
      <c r="AF82" s="2494"/>
      <c r="AG82" s="2494"/>
      <c r="AH82" s="2494"/>
      <c r="AI82" s="2494"/>
    </row>
    <row r="83" spans="1:35" s="2492" customFormat="1" ht="15" thickBot="1">
      <c r="A83" s="3139" t="s">
        <v>2272</v>
      </c>
      <c r="B83" s="3140"/>
      <c r="C83" s="3140"/>
      <c r="D83" s="3140"/>
      <c r="E83" s="3140"/>
      <c r="F83" s="3140"/>
      <c r="G83" s="3140"/>
      <c r="H83" s="3140"/>
      <c r="I83" s="2497"/>
      <c r="J83" s="2493"/>
      <c r="K83" s="2493"/>
      <c r="L83" s="2493"/>
      <c r="M83" s="2493"/>
      <c r="N83" s="2493"/>
      <c r="O83" s="2493"/>
      <c r="P83" s="2493"/>
      <c r="Q83" s="2493"/>
      <c r="R83" s="2493"/>
      <c r="S83" s="2493"/>
      <c r="T83" s="2493"/>
      <c r="U83" s="2493"/>
      <c r="V83" s="2493"/>
      <c r="W83" s="2493"/>
      <c r="X83" s="2493"/>
      <c r="Y83" s="2493"/>
      <c r="Z83" s="2493"/>
      <c r="AA83" s="2494"/>
      <c r="AB83" s="2494"/>
      <c r="AC83" s="2494"/>
      <c r="AD83" s="2494"/>
      <c r="AE83" s="2494"/>
      <c r="AF83" s="2494"/>
      <c r="AG83" s="2494"/>
      <c r="AH83" s="2494"/>
      <c r="AI83" s="2494"/>
    </row>
    <row r="84" spans="1:35" s="2492" customFormat="1" ht="14.25">
      <c r="A84" s="3130" t="s">
        <v>2235</v>
      </c>
      <c r="B84" s="3131"/>
      <c r="C84" s="1790"/>
      <c r="D84" s="1790" t="s">
        <v>2236</v>
      </c>
      <c r="E84" s="213" t="s">
        <v>2237</v>
      </c>
      <c r="F84" s="214"/>
      <c r="G84" s="214"/>
      <c r="H84" s="233"/>
      <c r="I84" s="2497"/>
      <c r="J84" s="2493"/>
      <c r="K84" s="2493"/>
      <c r="L84" s="2493"/>
      <c r="M84" s="2493"/>
      <c r="N84" s="2493"/>
      <c r="O84" s="2493"/>
      <c r="P84" s="2493"/>
      <c r="Q84" s="2493"/>
      <c r="R84" s="2493"/>
      <c r="S84" s="2493"/>
      <c r="T84" s="2493"/>
      <c r="U84" s="2493"/>
      <c r="V84" s="2493"/>
      <c r="W84" s="2493"/>
      <c r="X84" s="2493"/>
      <c r="Y84" s="2493"/>
      <c r="Z84" s="2493"/>
      <c r="AA84" s="2494"/>
      <c r="AB84" s="2494"/>
      <c r="AC84" s="2494"/>
      <c r="AD84" s="2494"/>
      <c r="AE84" s="2494"/>
      <c r="AF84" s="2494"/>
      <c r="AG84" s="2494"/>
      <c r="AH84" s="2494"/>
      <c r="AI84" s="2494"/>
    </row>
    <row r="85" spans="1:35" s="2492" customFormat="1" ht="14.25">
      <c r="A85" s="203" t="s">
        <v>775</v>
      </c>
      <c r="B85" s="204" t="s">
        <v>2255</v>
      </c>
      <c r="C85" s="207">
        <f ca="1">ROUND(D45/(1+'数据-取费表'!C42),0)</f>
        <v>81485</v>
      </c>
      <c r="D85" s="200" t="s">
        <v>32</v>
      </c>
      <c r="E85" s="1789"/>
      <c r="F85" s="1783"/>
      <c r="G85" s="1783"/>
      <c r="H85" s="234"/>
      <c r="I85" s="2497"/>
      <c r="J85" s="2493"/>
      <c r="K85" s="2493"/>
      <c r="L85" s="2493"/>
      <c r="M85" s="2493"/>
      <c r="N85" s="2493"/>
      <c r="O85" s="2493"/>
      <c r="P85" s="2493"/>
      <c r="Q85" s="2493"/>
      <c r="R85" s="2493"/>
      <c r="S85" s="2493"/>
      <c r="T85" s="2493"/>
      <c r="U85" s="2493"/>
      <c r="V85" s="2493"/>
      <c r="W85" s="2493"/>
      <c r="X85" s="2493"/>
      <c r="Y85" s="2493"/>
      <c r="Z85" s="2493"/>
      <c r="AA85" s="2494"/>
      <c r="AB85" s="2494"/>
      <c r="AC85" s="2494"/>
      <c r="AD85" s="2494"/>
      <c r="AE85" s="2494"/>
      <c r="AF85" s="2494"/>
      <c r="AG85" s="2494"/>
      <c r="AH85" s="2494"/>
      <c r="AI85" s="2494"/>
    </row>
    <row r="86" spans="1:35" s="2492" customFormat="1" ht="14.25">
      <c r="A86" s="203" t="s">
        <v>772</v>
      </c>
      <c r="B86" s="173" t="s">
        <v>2256</v>
      </c>
      <c r="C86" s="207">
        <f ca="1">IF(H88="仅含出让金",C87+C90+C91+C92+C93+C94,C87+C91+C92+C93+C94)</f>
        <v>407</v>
      </c>
      <c r="D86" s="235"/>
      <c r="E86" s="1789"/>
      <c r="F86" s="1783"/>
      <c r="G86" s="1783"/>
      <c r="H86" s="234"/>
      <c r="I86" s="2497"/>
      <c r="J86" s="2493"/>
      <c r="K86" s="2493"/>
      <c r="L86" s="2493"/>
      <c r="M86" s="2493"/>
      <c r="N86" s="2493"/>
      <c r="O86" s="2493"/>
      <c r="P86" s="2493"/>
      <c r="Q86" s="2493"/>
      <c r="R86" s="2493"/>
      <c r="S86" s="2493"/>
      <c r="T86" s="2493"/>
      <c r="U86" s="2493"/>
      <c r="V86" s="2493"/>
      <c r="W86" s="2493"/>
      <c r="X86" s="2493"/>
      <c r="Y86" s="2493"/>
      <c r="Z86" s="2493"/>
      <c r="AA86" s="2494"/>
      <c r="AB86" s="2494"/>
      <c r="AC86" s="2494"/>
      <c r="AD86" s="2494"/>
      <c r="AE86" s="2494"/>
      <c r="AF86" s="2494"/>
      <c r="AG86" s="2494"/>
      <c r="AH86" s="2494"/>
      <c r="AI86" s="2494"/>
    </row>
    <row r="87" spans="1:35" s="2492" customFormat="1" ht="14.25">
      <c r="A87" s="217" t="s">
        <v>770</v>
      </c>
      <c r="B87" s="198" t="s">
        <v>2273</v>
      </c>
      <c r="C87" s="225">
        <f>C88+C89</f>
        <v>0</v>
      </c>
      <c r="D87" s="226"/>
      <c r="E87" s="1785"/>
      <c r="F87" s="1786"/>
      <c r="G87" s="1786"/>
      <c r="H87" s="1788"/>
      <c r="I87" s="2497"/>
      <c r="J87" s="2493"/>
      <c r="K87" s="2493"/>
      <c r="L87" s="2493"/>
      <c r="M87" s="2493"/>
      <c r="N87" s="2493"/>
      <c r="O87" s="2493"/>
      <c r="P87" s="2493"/>
      <c r="Q87" s="2493"/>
      <c r="R87" s="2493"/>
      <c r="S87" s="2493"/>
      <c r="T87" s="2493"/>
      <c r="U87" s="2493"/>
      <c r="V87" s="2493"/>
      <c r="W87" s="2493"/>
      <c r="X87" s="2493"/>
      <c r="Y87" s="2493"/>
      <c r="Z87" s="2493"/>
      <c r="AA87" s="2494"/>
      <c r="AB87" s="2494"/>
      <c r="AC87" s="2494"/>
      <c r="AD87" s="2494"/>
      <c r="AE87" s="2494"/>
      <c r="AF87" s="2494"/>
      <c r="AG87" s="2494"/>
      <c r="AH87" s="2494"/>
      <c r="AI87" s="2494"/>
    </row>
    <row r="88" spans="1:35" s="2492" customFormat="1" ht="14.25">
      <c r="A88" s="217" t="s">
        <v>776</v>
      </c>
      <c r="B88" s="198" t="s">
        <v>2274</v>
      </c>
      <c r="C88" s="236"/>
      <c r="D88" s="226"/>
      <c r="E88" s="237" t="s">
        <v>2275</v>
      </c>
      <c r="F88" s="1786"/>
      <c r="G88" s="238" t="s">
        <v>2276</v>
      </c>
      <c r="H88" s="2502"/>
      <c r="I88" s="2497"/>
      <c r="J88" s="2950" t="s">
        <v>3054</v>
      </c>
      <c r="K88" s="2493"/>
      <c r="L88" s="2493"/>
      <c r="M88" s="2493"/>
      <c r="N88" s="2493"/>
      <c r="O88" s="2493"/>
      <c r="P88" s="2493"/>
      <c r="Q88" s="2493"/>
      <c r="R88" s="2493"/>
      <c r="S88" s="2493"/>
      <c r="T88" s="2493"/>
      <c r="U88" s="2493"/>
      <c r="V88" s="2493"/>
      <c r="W88" s="2493"/>
      <c r="X88" s="2493"/>
      <c r="Y88" s="2493"/>
      <c r="Z88" s="2493"/>
      <c r="AA88" s="2494"/>
      <c r="AB88" s="2494"/>
      <c r="AC88" s="2494"/>
      <c r="AD88" s="2494"/>
      <c r="AE88" s="2494"/>
      <c r="AF88" s="2494"/>
      <c r="AG88" s="2494"/>
      <c r="AH88" s="2494"/>
      <c r="AI88" s="2494"/>
    </row>
    <row r="89" spans="1:35" s="2492" customFormat="1" ht="14.25">
      <c r="A89" s="217" t="s">
        <v>777</v>
      </c>
      <c r="B89" s="198" t="s">
        <v>2264</v>
      </c>
      <c r="C89" s="225">
        <f>ROUND(C88*D89,0)</f>
        <v>0</v>
      </c>
      <c r="D89" s="226">
        <f>'数据-取费表'!B48+'数据-取费表'!B49</f>
        <v>3.0499999999999999E-2</v>
      </c>
      <c r="E89" s="237" t="s">
        <v>2277</v>
      </c>
      <c r="F89" s="1786"/>
      <c r="G89" s="1786"/>
      <c r="H89" s="1788"/>
      <c r="I89" s="2497"/>
      <c r="J89" s="2493"/>
      <c r="K89" s="2493"/>
      <c r="L89" s="2493"/>
      <c r="M89" s="2493"/>
      <c r="N89" s="2493"/>
      <c r="O89" s="2493"/>
      <c r="P89" s="2493"/>
      <c r="Q89" s="2493"/>
      <c r="R89" s="2493"/>
      <c r="S89" s="2493"/>
      <c r="T89" s="2493"/>
      <c r="U89" s="2493"/>
      <c r="V89" s="2493"/>
      <c r="W89" s="2493"/>
      <c r="X89" s="2493"/>
      <c r="Y89" s="2493"/>
      <c r="Z89" s="2493"/>
      <c r="AA89" s="2494"/>
      <c r="AB89" s="2494"/>
      <c r="AC89" s="2494"/>
      <c r="AD89" s="2494"/>
      <c r="AE89" s="2494"/>
      <c r="AF89" s="2494"/>
      <c r="AG89" s="2494"/>
      <c r="AH89" s="2494"/>
      <c r="AI89" s="2494"/>
    </row>
    <row r="90" spans="1:35" s="2492" customFormat="1" ht="14.25">
      <c r="A90" s="217" t="s">
        <v>771</v>
      </c>
      <c r="B90" s="198" t="s">
        <v>2278</v>
      </c>
      <c r="C90" s="236"/>
      <c r="D90" s="226"/>
      <c r="E90" s="237" t="str">
        <f>IF(H88="-","土地取得成本中已包含该笔费用"," ")</f>
        <v xml:space="preserve"> </v>
      </c>
      <c r="F90" s="1786"/>
      <c r="G90" s="3096" t="s">
        <v>3056</v>
      </c>
      <c r="H90" s="3097"/>
      <c r="I90" s="2497"/>
      <c r="J90" s="2950" t="s">
        <v>3055</v>
      </c>
      <c r="K90" s="2493"/>
      <c r="L90" s="2493"/>
      <c r="M90" s="2493"/>
      <c r="N90" s="2493"/>
      <c r="O90" s="2493"/>
      <c r="P90" s="2493"/>
      <c r="Q90" s="2493"/>
      <c r="R90" s="2493"/>
      <c r="S90" s="2493"/>
      <c r="T90" s="2493"/>
      <c r="U90" s="2493"/>
      <c r="V90" s="2493"/>
      <c r="W90" s="2493"/>
      <c r="X90" s="2493"/>
      <c r="Y90" s="2493"/>
      <c r="Z90" s="2493"/>
      <c r="AA90" s="2494"/>
      <c r="AB90" s="2494"/>
      <c r="AC90" s="2494"/>
      <c r="AD90" s="2494"/>
      <c r="AE90" s="2494"/>
      <c r="AF90" s="2494"/>
      <c r="AG90" s="2494"/>
      <c r="AH90" s="2494"/>
      <c r="AI90" s="2494"/>
    </row>
    <row r="91" spans="1:35" s="2492" customFormat="1" ht="27.75" customHeight="1">
      <c r="A91" s="217" t="s">
        <v>2279</v>
      </c>
      <c r="B91" s="198" t="s">
        <v>2280</v>
      </c>
      <c r="C91" s="225">
        <f>IF(H91="——",成本法!C33,I91)</f>
        <v>0</v>
      </c>
      <c r="D91" s="226"/>
      <c r="E91" s="3127" t="s">
        <v>2281</v>
      </c>
      <c r="F91" s="3128"/>
      <c r="G91" s="3128"/>
      <c r="H91" s="2503" t="s">
        <v>2282</v>
      </c>
      <c r="I91" s="2504"/>
      <c r="J91" s="2493"/>
      <c r="K91" s="2493"/>
      <c r="L91" s="2493"/>
      <c r="M91" s="2493"/>
      <c r="N91" s="2493"/>
      <c r="O91" s="2493"/>
      <c r="P91" s="2493"/>
      <c r="Q91" s="2493"/>
      <c r="R91" s="2493"/>
      <c r="S91" s="2493"/>
      <c r="T91" s="2493"/>
      <c r="U91" s="2493"/>
      <c r="V91" s="2493"/>
      <c r="W91" s="2493"/>
      <c r="X91" s="2493"/>
      <c r="Y91" s="2493"/>
      <c r="Z91" s="2493"/>
      <c r="AA91" s="2494"/>
      <c r="AB91" s="2494"/>
      <c r="AC91" s="2494"/>
      <c r="AD91" s="2494"/>
      <c r="AE91" s="2494"/>
      <c r="AF91" s="2494"/>
      <c r="AG91" s="2494"/>
      <c r="AH91" s="2494"/>
      <c r="AI91" s="2494"/>
    </row>
    <row r="92" spans="1:35" s="2492" customFormat="1" ht="25.5" customHeight="1">
      <c r="A92" s="217" t="s">
        <v>2283</v>
      </c>
      <c r="B92" s="198" t="s">
        <v>2284</v>
      </c>
      <c r="C92" s="225">
        <f>ROUND((C87+C90+C91)*D92,0)</f>
        <v>0</v>
      </c>
      <c r="D92" s="226">
        <v>0.1</v>
      </c>
      <c r="E92" s="3127" t="s">
        <v>2285</v>
      </c>
      <c r="F92" s="3128"/>
      <c r="G92" s="3128"/>
      <c r="H92" s="3129"/>
      <c r="I92" s="2497"/>
      <c r="J92" s="2493"/>
      <c r="K92" s="2493"/>
      <c r="L92" s="2493"/>
      <c r="M92" s="2493"/>
      <c r="N92" s="2493"/>
      <c r="O92" s="2493"/>
      <c r="P92" s="2493"/>
      <c r="Q92" s="2493"/>
      <c r="R92" s="2493"/>
      <c r="S92" s="2493"/>
      <c r="T92" s="2493"/>
      <c r="U92" s="2493"/>
      <c r="V92" s="2493"/>
      <c r="W92" s="2493"/>
      <c r="X92" s="2493"/>
      <c r="Y92" s="2493"/>
      <c r="Z92" s="2493"/>
      <c r="AA92" s="2494"/>
      <c r="AB92" s="2494"/>
      <c r="AC92" s="2494"/>
      <c r="AD92" s="2494"/>
      <c r="AE92" s="2494"/>
      <c r="AF92" s="2494"/>
      <c r="AG92" s="2494"/>
      <c r="AH92" s="2494"/>
      <c r="AI92" s="2494"/>
    </row>
    <row r="93" spans="1:35" s="2492" customFormat="1" ht="25.5" customHeight="1">
      <c r="A93" s="217" t="s">
        <v>2286</v>
      </c>
      <c r="B93" s="198" t="s">
        <v>2267</v>
      </c>
      <c r="C93" s="225">
        <f ca="1">ROUND(D45*D93/(1+'数据-取费表'!C42),0)</f>
        <v>407</v>
      </c>
      <c r="D93" s="226">
        <f>'数据-取费表'!B43</f>
        <v>5.000000000000001E-3</v>
      </c>
      <c r="E93" s="3127" t="s">
        <v>2268</v>
      </c>
      <c r="F93" s="3128"/>
      <c r="G93" s="3128"/>
      <c r="H93" s="3129"/>
      <c r="I93" s="2497"/>
      <c r="J93" s="2493"/>
      <c r="K93" s="2493"/>
      <c r="L93" s="2493"/>
      <c r="M93" s="2493"/>
      <c r="N93" s="2493"/>
      <c r="O93" s="2493"/>
      <c r="P93" s="2493"/>
      <c r="Q93" s="2493"/>
      <c r="R93" s="2493"/>
      <c r="S93" s="2493"/>
      <c r="T93" s="2493"/>
      <c r="U93" s="2493"/>
      <c r="V93" s="2493"/>
      <c r="W93" s="2493"/>
      <c r="X93" s="2493"/>
      <c r="Y93" s="2493"/>
      <c r="Z93" s="2493"/>
      <c r="AA93" s="2494"/>
      <c r="AB93" s="2494"/>
      <c r="AC93" s="2494"/>
      <c r="AD93" s="2494"/>
      <c r="AE93" s="2494"/>
      <c r="AF93" s="2494"/>
      <c r="AG93" s="2494"/>
      <c r="AH93" s="2494"/>
      <c r="AI93" s="2494"/>
    </row>
    <row r="94" spans="1:35" s="2492" customFormat="1" ht="36.75" customHeight="1">
      <c r="A94" s="217" t="s">
        <v>2287</v>
      </c>
      <c r="B94" s="198" t="s">
        <v>2288</v>
      </c>
      <c r="C94" s="236">
        <f>ROUND((C87+C90+C91)*D94,0)</f>
        <v>0</v>
      </c>
      <c r="D94" s="226">
        <v>0.2</v>
      </c>
      <c r="E94" s="3175" t="s">
        <v>2289</v>
      </c>
      <c r="F94" s="3176"/>
      <c r="G94" s="3176"/>
      <c r="H94" s="3177"/>
      <c r="I94" s="2497"/>
      <c r="J94" s="2493"/>
      <c r="K94" s="2493"/>
      <c r="L94" s="2493"/>
      <c r="M94" s="2493"/>
      <c r="N94" s="2493"/>
      <c r="O94" s="2493"/>
      <c r="P94" s="2493"/>
      <c r="Q94" s="2493"/>
      <c r="R94" s="2493"/>
      <c r="S94" s="2493"/>
      <c r="T94" s="2493"/>
      <c r="U94" s="2493"/>
      <c r="V94" s="2493"/>
      <c r="W94" s="2493"/>
      <c r="X94" s="2493"/>
      <c r="Y94" s="2493"/>
      <c r="Z94" s="2493"/>
      <c r="AA94" s="2494"/>
      <c r="AB94" s="2494"/>
      <c r="AC94" s="2494"/>
      <c r="AD94" s="2494"/>
      <c r="AE94" s="2494"/>
      <c r="AF94" s="2494"/>
      <c r="AG94" s="2494"/>
      <c r="AH94" s="2494"/>
      <c r="AI94" s="2494"/>
    </row>
    <row r="95" spans="1:35" s="2492" customFormat="1" ht="14.25">
      <c r="A95" s="2500" t="s">
        <v>779</v>
      </c>
      <c r="B95" s="204" t="s">
        <v>2269</v>
      </c>
      <c r="C95" s="207">
        <f ca="1">ROUND(C85-C86,0)</f>
        <v>81078</v>
      </c>
      <c r="D95" s="200" t="s">
        <v>32</v>
      </c>
      <c r="E95" s="1789"/>
      <c r="F95" s="1783"/>
      <c r="G95" s="1783"/>
      <c r="H95" s="234"/>
      <c r="I95" s="2497"/>
      <c r="J95" s="2493"/>
      <c r="K95" s="2493"/>
      <c r="L95" s="2493"/>
      <c r="M95" s="2493"/>
      <c r="N95" s="2493"/>
      <c r="O95" s="2493"/>
      <c r="P95" s="2493"/>
      <c r="Q95" s="2493"/>
      <c r="R95" s="2493"/>
      <c r="S95" s="2493"/>
      <c r="T95" s="2493"/>
      <c r="U95" s="2493"/>
      <c r="V95" s="2493"/>
      <c r="W95" s="2493"/>
      <c r="X95" s="2493"/>
      <c r="Y95" s="2493"/>
      <c r="Z95" s="2493"/>
      <c r="AA95" s="2494"/>
      <c r="AB95" s="2494"/>
      <c r="AC95" s="2494"/>
      <c r="AD95" s="2494"/>
      <c r="AE95" s="2494"/>
      <c r="AF95" s="2494"/>
      <c r="AG95" s="2494"/>
      <c r="AH95" s="2494"/>
      <c r="AI95" s="2494"/>
    </row>
    <row r="96" spans="1:35" s="2492" customFormat="1" ht="24">
      <c r="A96" s="2500" t="s">
        <v>780</v>
      </c>
      <c r="B96" s="204" t="s">
        <v>2270</v>
      </c>
      <c r="C96" s="227">
        <f ca="1">IF(C95&lt;=0,0,C95/C86)</f>
        <v>199.20884520884522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3"/>
      <c r="G96" s="1783"/>
      <c r="H96" s="234"/>
      <c r="I96" s="2497"/>
      <c r="J96" s="2493"/>
      <c r="K96" s="2493"/>
      <c r="L96" s="2493"/>
      <c r="M96" s="2493"/>
      <c r="N96" s="2493"/>
      <c r="O96" s="2493"/>
      <c r="P96" s="2493"/>
      <c r="Q96" s="2493"/>
      <c r="R96" s="2493"/>
      <c r="S96" s="2493"/>
      <c r="T96" s="2493"/>
      <c r="U96" s="2493"/>
      <c r="V96" s="2493"/>
      <c r="W96" s="2493"/>
      <c r="X96" s="2493"/>
      <c r="Y96" s="2493"/>
      <c r="Z96" s="2493"/>
      <c r="AA96" s="2494"/>
      <c r="AB96" s="2494"/>
      <c r="AC96" s="2494"/>
      <c r="AD96" s="2494"/>
      <c r="AE96" s="2494"/>
      <c r="AF96" s="2494"/>
      <c r="AG96" s="2494"/>
      <c r="AH96" s="2494"/>
      <c r="AI96" s="2494"/>
    </row>
    <row r="97" spans="1:35" s="2492" customFormat="1" ht="24.75" thickBot="1">
      <c r="A97" s="2501" t="s">
        <v>781</v>
      </c>
      <c r="B97" s="209" t="s">
        <v>2271</v>
      </c>
      <c r="C97" s="228">
        <f ca="1">ROUND(IF(C95&lt;=0,0,IF(C96&gt;=200%,C95*60%-C86*35%,IF(C96&gt;=100%,C95*50%-C86*15%,IF(C96&gt;=50%,C95*40%-C86*5%,IF(C96&lt;50%,C95*30%,0))))),0)</f>
        <v>48504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7"/>
      <c r="J97" s="2493"/>
      <c r="K97" s="2493"/>
      <c r="L97" s="2493"/>
      <c r="M97" s="2493"/>
      <c r="N97" s="2493"/>
      <c r="O97" s="2493"/>
      <c r="P97" s="2493"/>
      <c r="Q97" s="2493"/>
      <c r="R97" s="2493"/>
      <c r="S97" s="2493"/>
      <c r="T97" s="2493"/>
      <c r="U97" s="2493"/>
      <c r="V97" s="2493"/>
      <c r="W97" s="2493"/>
      <c r="X97" s="2493"/>
      <c r="Y97" s="2493"/>
      <c r="Z97" s="2493"/>
      <c r="AA97" s="2494"/>
      <c r="AB97" s="2494"/>
      <c r="AC97" s="2494"/>
      <c r="AD97" s="2494"/>
      <c r="AE97" s="2494"/>
      <c r="AF97" s="2494"/>
      <c r="AG97" s="2494"/>
      <c r="AH97" s="2494"/>
      <c r="AI97" s="2494"/>
    </row>
    <row r="98" spans="1:35" ht="21.75" customHeight="1">
      <c r="A98" s="2481"/>
      <c r="B98" s="2403"/>
      <c r="C98" s="2403"/>
      <c r="D98" s="2403"/>
      <c r="E98" s="2152"/>
      <c r="F98" s="2152"/>
      <c r="G98" s="2152"/>
      <c r="H98" s="2151"/>
      <c r="I98" s="138"/>
    </row>
    <row r="99" spans="1:35" ht="21.75" customHeight="1" thickBot="1">
      <c r="A99" s="2459" t="s">
        <v>2290</v>
      </c>
      <c r="B99" s="2403"/>
      <c r="C99" s="2403"/>
      <c r="D99" s="2403"/>
      <c r="E99" s="2152"/>
      <c r="F99" s="2152"/>
      <c r="G99" s="2152"/>
      <c r="H99" s="2151"/>
      <c r="I99" s="138"/>
    </row>
    <row r="100" spans="1:35" ht="18.75" customHeight="1">
      <c r="A100" s="3077" t="s">
        <v>2291</v>
      </c>
      <c r="B100" s="3078"/>
      <c r="C100" s="3078"/>
      <c r="D100" s="3111"/>
      <c r="E100" s="3078" t="s">
        <v>2292</v>
      </c>
      <c r="F100" s="3078"/>
      <c r="G100" s="3078"/>
      <c r="H100" s="3111"/>
      <c r="I100" s="138"/>
    </row>
    <row r="101" spans="1:35" ht="18.75" customHeight="1">
      <c r="A101" s="3119" t="s">
        <v>2293</v>
      </c>
      <c r="B101" s="3120"/>
      <c r="C101" s="735" t="str">
        <f>C4</f>
        <v>成本法</v>
      </c>
      <c r="D101" s="736" t="str">
        <f>D4</f>
        <v>假设开发法</v>
      </c>
      <c r="E101" s="3089" t="s">
        <v>2294</v>
      </c>
      <c r="F101" s="3090"/>
      <c r="G101" s="2505" t="s">
        <v>2295</v>
      </c>
      <c r="H101" s="1044">
        <f ca="1">H118</f>
        <v>85559</v>
      </c>
      <c r="I101" s="138"/>
    </row>
    <row r="102" spans="1:35" ht="18.75" customHeight="1">
      <c r="A102" s="3121" t="s">
        <v>2296</v>
      </c>
      <c r="B102" s="2505" t="s">
        <v>2295</v>
      </c>
      <c r="C102" s="735">
        <f ca="1">C19</f>
        <v>86036</v>
      </c>
      <c r="D102" s="736">
        <f ca="1">D19</f>
        <v>85082</v>
      </c>
      <c r="E102" s="3089"/>
      <c r="F102" s="3090"/>
      <c r="G102" s="2505" t="s">
        <v>2297</v>
      </c>
      <c r="H102" s="370">
        <f ca="1">I118</f>
        <v>19673</v>
      </c>
      <c r="I102" s="138"/>
    </row>
    <row r="103" spans="1:35" ht="42.75" customHeight="1">
      <c r="A103" s="3121"/>
      <c r="B103" s="2505" t="s">
        <v>2297</v>
      </c>
      <c r="C103" s="737">
        <f ca="1">C20</f>
        <v>19783</v>
      </c>
      <c r="D103" s="738">
        <f ca="1">D20</f>
        <v>19563</v>
      </c>
      <c r="E103" s="3083" t="s">
        <v>2298</v>
      </c>
      <c r="F103" s="3084"/>
      <c r="G103" s="2506" t="s">
        <v>2299</v>
      </c>
      <c r="H103" s="1044">
        <f>IF(D36="正常操作",H104+H105+H106,H105+H106)</f>
        <v>0</v>
      </c>
      <c r="I103" s="138"/>
    </row>
    <row r="104" spans="1:35" ht="18.75" customHeight="1">
      <c r="A104" s="3121" t="s">
        <v>2300</v>
      </c>
      <c r="B104" s="2507" t="s">
        <v>2295</v>
      </c>
      <c r="C104" s="739">
        <f ca="1">H118</f>
        <v>85559</v>
      </c>
      <c r="D104" s="740"/>
      <c r="E104" s="2252" t="s">
        <v>2301</v>
      </c>
      <c r="F104" s="2244"/>
      <c r="G104" s="2506" t="s">
        <v>2299</v>
      </c>
      <c r="H104" s="1045">
        <f>IF(D36="同一抵押权人同一抵押物续贷",C36&amp;"（未扣减，详见特别提示）",C36)</f>
        <v>0</v>
      </c>
      <c r="I104" s="138"/>
    </row>
    <row r="105" spans="1:35" ht="18.75" customHeight="1" thickBot="1">
      <c r="A105" s="3133"/>
      <c r="B105" s="2508" t="s">
        <v>2297</v>
      </c>
      <c r="C105" s="741">
        <f ca="1">I118</f>
        <v>19673</v>
      </c>
      <c r="D105" s="742"/>
      <c r="E105" s="2252" t="s">
        <v>2302</v>
      </c>
      <c r="F105" s="2244"/>
      <c r="G105" s="2506" t="s">
        <v>2299</v>
      </c>
      <c r="H105" s="1045">
        <f>C37</f>
        <v>0</v>
      </c>
      <c r="I105" s="138"/>
    </row>
    <row r="106" spans="1:35" ht="18.75" customHeight="1">
      <c r="A106" s="2403" t="s">
        <v>2303</v>
      </c>
      <c r="B106" s="2403"/>
      <c r="C106" s="2403"/>
      <c r="D106" s="2403"/>
      <c r="E106" s="2509" t="s">
        <v>2304</v>
      </c>
      <c r="F106" s="2244"/>
      <c r="G106" s="2506" t="s">
        <v>2299</v>
      </c>
      <c r="H106" s="1045">
        <f>C38</f>
        <v>0</v>
      </c>
      <c r="I106" s="138"/>
    </row>
    <row r="107" spans="1:35" ht="18.75" customHeight="1">
      <c r="A107" s="138"/>
      <c r="B107" s="138"/>
      <c r="C107" s="138"/>
      <c r="D107" s="138"/>
      <c r="E107" s="3122" t="str">
        <f>IF(项目基本情况!E8="已注销","——","3.房地产抵押价值")</f>
        <v>3.房地产抵押价值</v>
      </c>
      <c r="F107" s="3090"/>
      <c r="G107" s="2505" t="s">
        <v>2295</v>
      </c>
      <c r="H107" s="1044">
        <f ca="1">IF(E107="——","——",H101-H103)</f>
        <v>85559</v>
      </c>
      <c r="I107" s="138"/>
    </row>
    <row r="108" spans="1:35" ht="18.75" customHeight="1">
      <c r="A108" s="138"/>
      <c r="B108" s="138"/>
      <c r="C108" s="138"/>
      <c r="D108" s="138"/>
      <c r="E108" s="3122"/>
      <c r="F108" s="3090"/>
      <c r="G108" s="2505" t="s">
        <v>2297</v>
      </c>
      <c r="H108" s="370">
        <f ca="1">ROUND(H107*10000/'数据-汇总表'!E3,0)</f>
        <v>19673</v>
      </c>
      <c r="I108" s="138"/>
    </row>
    <row r="109" spans="1:35" ht="18.75" customHeight="1">
      <c r="A109" s="138"/>
      <c r="B109" s="138"/>
      <c r="C109" s="138"/>
      <c r="D109" s="138"/>
      <c r="E109" s="3122" t="str">
        <f>IF(项目基本情况!E8="已注销及未注销","4.抵押担保权已注销时的房地产抵押价值",IF(项目基本情况!E8="已注销","3.抵押担保权已注销时的房地产抵押价值","——"))</f>
        <v>——</v>
      </c>
      <c r="F109" s="3090"/>
      <c r="G109" s="2505" t="s">
        <v>2295</v>
      </c>
      <c r="H109" s="347" t="str">
        <f>IF(E109="——","——",H101-H105-H106)</f>
        <v>——</v>
      </c>
      <c r="I109" s="138"/>
    </row>
    <row r="110" spans="1:35" ht="18.75" customHeight="1">
      <c r="A110" s="138"/>
      <c r="B110" s="138"/>
      <c r="C110" s="138"/>
      <c r="D110" s="138"/>
      <c r="E110" s="3122"/>
      <c r="F110" s="3090"/>
      <c r="G110" s="2505" t="s">
        <v>2297</v>
      </c>
      <c r="H110" s="370" t="str">
        <f>IF(H109="——","——",ROUND(H109*10000/'数据-汇总表'!E3,0))</f>
        <v>——</v>
      </c>
      <c r="I110" s="138"/>
    </row>
    <row r="111" spans="1:35" ht="18.75" customHeight="1">
      <c r="A111" s="138"/>
      <c r="B111" s="138"/>
      <c r="C111" s="138"/>
      <c r="D111" s="138"/>
      <c r="E111" s="3123" t="str">
        <f>IF(项目基本情况!E9="抵押净值",IF(OR(项目基本情况!E8="已注销",项目基本情况!E8="房地产抵押价值"),"4.抵押净值","5.抵押净值"),"——")</f>
        <v>——</v>
      </c>
      <c r="F111" s="3124"/>
      <c r="G111" s="2505" t="s">
        <v>2295</v>
      </c>
      <c r="H111" s="1044" t="str">
        <f>IF(E111="——","——",N59)</f>
        <v>——</v>
      </c>
      <c r="I111" s="138"/>
    </row>
    <row r="112" spans="1:35" ht="18.75" customHeight="1" thickBot="1">
      <c r="A112" s="138"/>
      <c r="B112" s="138"/>
      <c r="C112" s="138"/>
      <c r="D112" s="138"/>
      <c r="E112" s="3125"/>
      <c r="F112" s="3126"/>
      <c r="G112" s="2510" t="s">
        <v>2297</v>
      </c>
      <c r="H112" s="789" t="str">
        <f>IF(E111="——","——",N61)</f>
        <v>——</v>
      </c>
      <c r="I112" s="138"/>
    </row>
    <row r="113" spans="1:11" ht="18.75" customHeight="1">
      <c r="A113" s="138"/>
      <c r="B113" s="138"/>
      <c r="C113" s="138"/>
      <c r="D113" s="138"/>
      <c r="E113" s="3134" t="s">
        <v>2303</v>
      </c>
      <c r="F113" s="3134"/>
      <c r="G113" s="3134"/>
      <c r="H113" s="3134"/>
      <c r="I113" s="138"/>
    </row>
    <row r="114" spans="1:11" ht="3.75" customHeight="1">
      <c r="A114" s="2403"/>
      <c r="B114" s="2403"/>
      <c r="C114" s="2403"/>
      <c r="D114" s="2403"/>
      <c r="E114" s="2481"/>
      <c r="F114" s="2481"/>
      <c r="G114" s="2481"/>
      <c r="H114" s="2481"/>
      <c r="I114" s="2403"/>
    </row>
    <row r="115" spans="1:11" ht="18.75" customHeight="1">
      <c r="A115" s="3147" t="s">
        <v>2305</v>
      </c>
      <c r="B115" s="3148"/>
      <c r="C115" s="3148"/>
      <c r="D115" s="3148"/>
      <c r="E115" s="3148"/>
      <c r="F115" s="3148"/>
      <c r="G115" s="3148"/>
      <c r="H115" s="3148"/>
      <c r="I115" s="3149"/>
    </row>
    <row r="116" spans="1:11" ht="27" customHeight="1">
      <c r="A116" s="3055" t="s">
        <v>2306</v>
      </c>
      <c r="B116" s="3101" t="s">
        <v>2307</v>
      </c>
      <c r="C116" s="3101" t="s">
        <v>2308</v>
      </c>
      <c r="D116" s="3107" t="s">
        <v>2309</v>
      </c>
      <c r="E116" s="3108"/>
      <c r="F116" s="3143" t="s">
        <v>2310</v>
      </c>
      <c r="G116" s="3143"/>
      <c r="H116" s="3055" t="s">
        <v>2311</v>
      </c>
      <c r="I116" s="3055"/>
    </row>
    <row r="117" spans="1:11" ht="18.75" customHeight="1">
      <c r="A117" s="3055"/>
      <c r="B117" s="3102"/>
      <c r="C117" s="3102"/>
      <c r="D117" s="1784" t="s">
        <v>2312</v>
      </c>
      <c r="E117" s="1784" t="s">
        <v>2313</v>
      </c>
      <c r="F117" s="1784" t="s">
        <v>2312</v>
      </c>
      <c r="G117" s="1784" t="s">
        <v>2314</v>
      </c>
      <c r="H117" s="1784" t="s">
        <v>2312</v>
      </c>
      <c r="I117" s="1784" t="s">
        <v>2314</v>
      </c>
    </row>
    <row r="118" spans="1:11" ht="24.75" customHeight="1">
      <c r="A118" s="2511" t="str">
        <f>项目基本情况!S2</f>
        <v>北京市房山区青龙湖中心区01-0010地块R2二类居住用地出让国有建设用地使用权及在建建筑物房地产</v>
      </c>
      <c r="B118" s="1784">
        <f>M18</f>
        <v>43490.38</v>
      </c>
      <c r="C118" s="1784">
        <f>M19</f>
        <v>22468.9</v>
      </c>
      <c r="D118" s="1784">
        <f ca="1">ROUND(IF(D32="总价",C34,E118*B118/10000),0)</f>
        <v>73153</v>
      </c>
      <c r="E118" s="1784">
        <f ca="1">ROUND(IF(C33="自定义",IF(D32="楼面单价",C34,D118*10000/B118),I118-G118),0)</f>
        <v>16820</v>
      </c>
      <c r="F118" s="1784">
        <f ca="1">ROUND(IF(D32="总价",C35,G118*B118/10000),0)</f>
        <v>12406</v>
      </c>
      <c r="G118" s="1784">
        <f ca="1">ROUND(IF(D32="楼面单价",C35,F118*10000/B118),0)</f>
        <v>2853</v>
      </c>
      <c r="H118" s="1784">
        <f ca="1">ROUND(IF(D32="总价",C32,I118*B118/10000),0)</f>
        <v>85559</v>
      </c>
      <c r="I118" s="1784">
        <f ca="1">ROUND(IF(D32="楼面单价",C32,H118*10000/B118),0)</f>
        <v>19673</v>
      </c>
    </row>
    <row r="119" spans="1:11" ht="18.75" customHeight="1">
      <c r="A119" s="3055" t="s">
        <v>2315</v>
      </c>
      <c r="B119" s="3055"/>
      <c r="C119" s="3055"/>
      <c r="D119" s="3103" t="str">
        <f ca="1">NUMBERSTRING(INT(D118*10000),2)&amp;"元整"</f>
        <v>柒亿叁仟壹佰伍拾叁万元整</v>
      </c>
      <c r="E119" s="3104"/>
      <c r="F119" s="3103" t="str">
        <f ca="1">NUMBERSTRING(INT(F118*10000),2)&amp;"元整"</f>
        <v>壹亿贰仟肆佰零陆万元整</v>
      </c>
      <c r="G119" s="3104"/>
      <c r="H119" s="3103" t="str">
        <f ca="1">NUMBERSTRING(INT(H118*10000),2)&amp;"元整"</f>
        <v>捌亿伍仟伍佰伍拾玖万元整</v>
      </c>
      <c r="I119" s="3104"/>
    </row>
    <row r="120" spans="1:11" ht="18.75" customHeight="1">
      <c r="A120" s="3098" t="str">
        <f>IF(项目基本情况!B9="房地产市场价值","",MID(E103,3,LEN(E103)-2))</f>
        <v>估价师知悉的法定优先受偿款</v>
      </c>
      <c r="B120" s="3099"/>
      <c r="C120" s="3100"/>
      <c r="D120" s="3098">
        <f>H103</f>
        <v>0</v>
      </c>
      <c r="E120" s="3099"/>
      <c r="F120" s="3099"/>
      <c r="G120" s="3099"/>
      <c r="H120" s="3099"/>
      <c r="I120" s="3100"/>
      <c r="K120" s="2408" t="str">
        <f>IF(D120=0,"故，本次评估不存在"&amp;A120,"故，本次评估"&amp;A120&amp;"为人民币"&amp;D120&amp;"万元整。")</f>
        <v>故，本次评估不存在估价师知悉的法定优先受偿款</v>
      </c>
    </row>
    <row r="121" spans="1:11" ht="18.75" customHeight="1">
      <c r="A121" s="3144" t="s">
        <v>2315</v>
      </c>
      <c r="B121" s="3145"/>
      <c r="C121" s="3146"/>
      <c r="D121" s="3103" t="str">
        <f>IF(D120=0,"零元整",NUMBERSTRING(INT(D120*10000),2)&amp;"元整")</f>
        <v>零元整</v>
      </c>
      <c r="E121" s="3105"/>
      <c r="F121" s="3105"/>
      <c r="G121" s="3105"/>
      <c r="H121" s="3105"/>
      <c r="I121" s="3104"/>
    </row>
    <row r="122" spans="1:11" ht="18.75" customHeight="1">
      <c r="A122" s="3109" t="str">
        <f>IF(项目基本情况!B9="房地产市场价值","",MID(E107,3,LEN(E107)-2))</f>
        <v>房地产抵押价值</v>
      </c>
      <c r="B122" s="3109"/>
      <c r="C122" s="3109"/>
      <c r="D122" s="3098">
        <f ca="1">H107</f>
        <v>85559</v>
      </c>
      <c r="E122" s="3099"/>
      <c r="F122" s="3099"/>
      <c r="G122" s="3099"/>
      <c r="H122" s="3099"/>
      <c r="I122" s="3100"/>
    </row>
    <row r="123" spans="1:11" ht="18.75" customHeight="1">
      <c r="A123" s="3055" t="s">
        <v>2315</v>
      </c>
      <c r="B123" s="3055"/>
      <c r="C123" s="3055"/>
      <c r="D123" s="3103" t="str">
        <f ca="1">NUMBERSTRING(INT(D122*10000),2)&amp;"元整"</f>
        <v>捌亿伍仟伍佰伍拾玖万元整</v>
      </c>
      <c r="E123" s="3105"/>
      <c r="F123" s="3105"/>
      <c r="G123" s="3105"/>
      <c r="H123" s="3105"/>
      <c r="I123" s="3104"/>
    </row>
    <row r="124" spans="1:11" ht="18.75" customHeight="1">
      <c r="A124" s="3109" t="str">
        <f>IF(项目基本情况!B9="房地产市场价值","",MID(E109,3,LEN(E109)-2))</f>
        <v/>
      </c>
      <c r="B124" s="3109"/>
      <c r="C124" s="3109"/>
      <c r="D124" s="3098" t="str">
        <f>H109</f>
        <v>——</v>
      </c>
      <c r="E124" s="3099"/>
      <c r="F124" s="3099"/>
      <c r="G124" s="3099"/>
      <c r="H124" s="3099"/>
      <c r="I124" s="3100"/>
    </row>
    <row r="125" spans="1:11" ht="18.75" customHeight="1">
      <c r="A125" s="3055" t="s">
        <v>2315</v>
      </c>
      <c r="B125" s="3055"/>
      <c r="C125" s="3055"/>
      <c r="D125" s="3103" t="e">
        <f>NUMBERSTRING(INT(D124*10000),2)&amp;"元整"</f>
        <v>#VALUE!</v>
      </c>
      <c r="E125" s="3105"/>
      <c r="F125" s="3105"/>
      <c r="G125" s="3105"/>
      <c r="H125" s="3105"/>
      <c r="I125" s="3104"/>
    </row>
    <row r="126" spans="1:11" ht="18.75" customHeight="1">
      <c r="A126" s="3109" t="str">
        <f>IF(项目基本情况!B9="房地产市场价值","",MID(E111,3,LEN(E111)-2))</f>
        <v/>
      </c>
      <c r="B126" s="3109"/>
      <c r="C126" s="3109"/>
      <c r="D126" s="3098" t="str">
        <f>H111</f>
        <v>——</v>
      </c>
      <c r="E126" s="3099"/>
      <c r="F126" s="3099"/>
      <c r="G126" s="3099"/>
      <c r="H126" s="3099"/>
      <c r="I126" s="3100"/>
    </row>
    <row r="127" spans="1:11" ht="18.75" customHeight="1">
      <c r="A127" s="3055" t="s">
        <v>2315</v>
      </c>
      <c r="B127" s="3055"/>
      <c r="C127" s="3055"/>
      <c r="D127" s="3103" t="e">
        <f>NUMBERSTRING(INT(D126*10000),2)&amp;"元整"</f>
        <v>#VALUE!</v>
      </c>
      <c r="E127" s="3105"/>
      <c r="F127" s="3105"/>
      <c r="G127" s="3105"/>
      <c r="H127" s="3105"/>
      <c r="I127" s="3104"/>
    </row>
    <row r="128" spans="1:11" ht="21.75" customHeight="1">
      <c r="A128" s="3106" t="s">
        <v>2316</v>
      </c>
      <c r="B128" s="3106"/>
      <c r="C128" s="3106"/>
      <c r="D128" s="3106"/>
      <c r="E128" s="3106"/>
      <c r="F128" s="3106"/>
      <c r="G128" s="3106"/>
      <c r="H128" s="3106"/>
      <c r="I128" s="3106"/>
    </row>
    <row r="129" spans="1:35" ht="21.75" customHeight="1">
      <c r="A129" s="2512" t="s">
        <v>2317</v>
      </c>
      <c r="B129" s="2513"/>
      <c r="C129" s="2514" t="s">
        <v>2318</v>
      </c>
      <c r="D129" s="2515"/>
      <c r="E129" s="2515"/>
      <c r="F129" s="2515"/>
      <c r="G129" s="2515"/>
      <c r="H129" s="2516"/>
      <c r="I129" s="2517"/>
    </row>
    <row r="130" spans="1:35" ht="21.75" customHeight="1">
      <c r="A130" s="2518">
        <v>1</v>
      </c>
      <c r="B130" s="2519"/>
      <c r="C130" s="2519"/>
      <c r="D130" s="2520"/>
      <c r="E130" s="2520"/>
      <c r="F130" s="2520"/>
      <c r="G130" s="2520"/>
      <c r="H130" s="2521"/>
      <c r="I130" s="2522"/>
    </row>
    <row r="131" spans="1:35" ht="21.75" customHeight="1">
      <c r="A131" s="2518">
        <v>2</v>
      </c>
      <c r="B131" s="2519"/>
      <c r="C131" s="2519"/>
      <c r="D131" s="2520"/>
      <c r="E131" s="2520"/>
      <c r="F131" s="2520"/>
      <c r="G131" s="2520"/>
      <c r="H131" s="2521"/>
      <c r="I131" s="2522"/>
    </row>
    <row r="132" spans="1:35" ht="21.75" customHeight="1">
      <c r="A132" s="2518">
        <v>3</v>
      </c>
      <c r="B132" s="2519"/>
      <c r="C132" s="2519"/>
      <c r="D132" s="2520"/>
      <c r="E132" s="2520"/>
      <c r="F132" s="2520"/>
      <c r="G132" s="2520"/>
      <c r="H132" s="2521"/>
      <c r="I132" s="2522"/>
    </row>
    <row r="133" spans="1:35" ht="21.75" customHeight="1">
      <c r="A133" s="2523"/>
      <c r="B133" s="2524"/>
      <c r="C133" s="2524"/>
      <c r="D133" s="2525"/>
      <c r="E133" s="2525"/>
      <c r="F133" s="2525"/>
      <c r="G133" s="2525"/>
      <c r="H133" s="2526"/>
      <c r="I133" s="2527"/>
    </row>
    <row r="134" spans="1:35" ht="21.75" customHeight="1">
      <c r="A134" s="2519"/>
      <c r="B134" s="2519"/>
      <c r="C134" s="2519"/>
      <c r="D134" s="2520"/>
      <c r="E134" s="2520"/>
      <c r="F134" s="2520"/>
      <c r="G134" s="2520"/>
      <c r="H134" s="2521"/>
      <c r="I134" s="794"/>
    </row>
    <row r="135" spans="1:35" ht="21.75" customHeight="1">
      <c r="A135" s="794"/>
      <c r="B135" s="794"/>
      <c r="C135" s="794"/>
      <c r="D135" s="794"/>
      <c r="E135" s="794"/>
      <c r="F135" s="2528" t="s">
        <v>2319</v>
      </c>
      <c r="G135" s="2529"/>
      <c r="H135" s="2529"/>
      <c r="I135" s="2530" t="s">
        <v>2320</v>
      </c>
    </row>
    <row r="136" spans="1:35" ht="21.75" customHeight="1">
      <c r="A136" s="794"/>
      <c r="B136" s="2531"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29"/>
      <c r="C138" s="2529"/>
      <c r="D138" s="2529"/>
      <c r="E138" s="2529"/>
      <c r="F138" s="2529"/>
      <c r="G138" s="2529"/>
      <c r="H138" s="2529"/>
      <c r="I138" s="2530" t="s">
        <v>2322</v>
      </c>
    </row>
    <row r="139" spans="1:35" ht="21.75" customHeight="1">
      <c r="A139" s="794"/>
      <c r="B139" s="2531" t="s">
        <v>2323</v>
      </c>
      <c r="C139" s="794"/>
      <c r="D139" s="794"/>
      <c r="E139" s="794"/>
      <c r="F139" s="794"/>
      <c r="G139" s="794"/>
      <c r="H139" s="794"/>
      <c r="I139" s="794"/>
    </row>
    <row r="140" spans="1:35" ht="21.75" customHeight="1">
      <c r="A140" s="794"/>
      <c r="B140" s="2531"/>
      <c r="C140" s="794"/>
      <c r="D140" s="794"/>
      <c r="E140" s="794"/>
      <c r="F140" s="794"/>
      <c r="G140" s="794"/>
      <c r="H140" s="794"/>
      <c r="I140" s="794"/>
    </row>
    <row r="141" spans="1:35" ht="21.75" customHeight="1">
      <c r="A141" s="794"/>
      <c r="B141" s="2529"/>
      <c r="C141" s="2529"/>
      <c r="D141" s="2529"/>
      <c r="E141" s="2529"/>
      <c r="F141" s="2529"/>
      <c r="G141" s="2529"/>
      <c r="H141" s="2529"/>
      <c r="I141" s="2530" t="s">
        <v>2322</v>
      </c>
    </row>
    <row r="142" spans="1:35" ht="21.75" customHeight="1">
      <c r="A142" s="794"/>
      <c r="B142" s="2531"/>
      <c r="C142" s="2532"/>
      <c r="D142" s="2533"/>
      <c r="E142" s="2533"/>
      <c r="F142" s="2326"/>
      <c r="G142" s="794"/>
      <c r="H142" s="794"/>
      <c r="I142" s="794"/>
    </row>
    <row r="143" spans="1:35" s="139" customFormat="1" ht="21.75" customHeight="1">
      <c r="A143" s="794"/>
      <c r="B143" s="2531"/>
      <c r="C143" s="2532"/>
      <c r="D143" s="2533"/>
      <c r="E143" s="2533"/>
      <c r="F143" s="232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0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0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0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0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0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0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0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0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0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0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0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0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0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0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0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0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0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0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0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0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0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0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0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0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0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0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0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0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0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0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0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0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0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0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0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0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0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0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0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0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0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0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0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0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0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0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0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0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0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0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0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0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0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0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0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0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0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0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0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0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0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0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0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0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0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0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0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0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0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0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0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0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0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0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0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0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0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0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0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0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0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0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0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0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0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0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0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0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0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0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0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0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0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0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0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0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0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0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0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0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0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0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0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0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25"/>
      <c r="C1" s="242"/>
      <c r="D1" s="242"/>
      <c r="E1" s="242"/>
      <c r="F1" s="242"/>
      <c r="G1" s="1376">
        <f>MATCH(B1,'数据-取费表'!A6:A16,0)+5</f>
        <v>10</v>
      </c>
    </row>
    <row r="2" spans="1:9" s="244" customFormat="1" ht="18" customHeight="1">
      <c r="A2" s="245" t="s">
        <v>2325</v>
      </c>
      <c r="B2" s="246">
        <f ca="1">IF(D2="——",C52,C52-E2)</f>
        <v>86036</v>
      </c>
      <c r="C2" s="243" t="s">
        <v>2326</v>
      </c>
      <c r="D2" s="2534" t="s">
        <v>70</v>
      </c>
      <c r="E2" s="1437" t="e">
        <f ca="1">SUMIF(INDIRECT("'"&amp;G2&amp;"'"&amp;"!A:A"),"承租人权益价值",INDIRECT("'"&amp;G2&amp;"'"&amp;"!c:c"))</f>
        <v>#REF!</v>
      </c>
      <c r="F2" s="2535" t="s">
        <v>2326</v>
      </c>
      <c r="G2" s="2536"/>
    </row>
    <row r="3" spans="1:9" s="244" customFormat="1" ht="18" customHeight="1" thickBot="1">
      <c r="A3" s="247" t="s">
        <v>2327</v>
      </c>
      <c r="B3" s="248">
        <f ca="1">ROUND(B2*10000/(IF(B1="",'数据-汇总表'!E3,INDIRECT("'数据-取费表'!k"&amp;$G$1))),0)</f>
        <v>19783</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 ca="1">C6+C7+C8</f>
        <v>58550</v>
      </c>
      <c r="D5" s="255" t="s">
        <v>2332</v>
      </c>
      <c r="E5" s="256" t="s">
        <v>2333</v>
      </c>
      <c r="F5" s="256" t="s">
        <v>2334</v>
      </c>
      <c r="G5" s="257"/>
    </row>
    <row r="6" spans="1:9" s="258" customFormat="1" ht="13.5" customHeight="1">
      <c r="A6" s="948" t="s">
        <v>2335</v>
      </c>
      <c r="B6" s="259" t="s">
        <v>2336</v>
      </c>
      <c r="C6" s="260">
        <f>'土地比较法-住宅、综合'!B2</f>
        <v>56114</v>
      </c>
      <c r="D6" s="261"/>
      <c r="E6" s="262"/>
      <c r="F6" s="262"/>
      <c r="G6" s="263"/>
    </row>
    <row r="7" spans="1:9" s="258" customFormat="1" ht="13.5" customHeight="1">
      <c r="A7" s="948" t="s">
        <v>2337</v>
      </c>
      <c r="B7" s="259" t="s">
        <v>2338</v>
      </c>
      <c r="C7" s="264">
        <f>ROUND(C6*F7,0)</f>
        <v>1711</v>
      </c>
      <c r="D7" s="264"/>
      <c r="E7" s="262"/>
      <c r="F7" s="265">
        <f>IF(项目基本情况!B8="出让",0,'数据-取费表'!B48+'数据-取费表'!B49)</f>
        <v>3.0499999999999999E-2</v>
      </c>
      <c r="G7" s="263"/>
    </row>
    <row r="8" spans="1:9" s="267" customFormat="1">
      <c r="A8" s="948" t="s">
        <v>2339</v>
      </c>
      <c r="B8" s="259" t="s">
        <v>2340</v>
      </c>
      <c r="C8" s="264">
        <f ca="1">IF(G8="已包含在土地购买价格中","0",IF(B1="",'数据-取费表'!B29,IF(G9="全部缴纳",C9+C10,H9)))</f>
        <v>725</v>
      </c>
      <c r="D8" s="266"/>
      <c r="E8" s="264"/>
      <c r="F8" s="265"/>
      <c r="G8" s="2537" t="s">
        <v>3078</v>
      </c>
    </row>
    <row r="9" spans="1:9" s="258" customFormat="1" ht="13.5" customHeight="1">
      <c r="A9" s="949" t="s">
        <v>800</v>
      </c>
      <c r="B9" s="268" t="s">
        <v>2341</v>
      </c>
      <c r="C9" s="269">
        <f ca="1">ROUND(D9*E9/10000,0)</f>
        <v>378</v>
      </c>
      <c r="D9" s="1031">
        <f ca="1">IF(B1="",'数据-汇总表'!E5,IF(INDIRECT("'数据-取费表'!c"&amp;$G$1)="住宅",INDIRECT("'数据-取费表'!k"&amp;$G$1),0))</f>
        <v>25219.909999999996</v>
      </c>
      <c r="E9" s="269">
        <f>'数据-取费表'!B27</f>
        <v>150</v>
      </c>
      <c r="F9" s="265"/>
      <c r="G9" s="2538" t="s">
        <v>3257</v>
      </c>
      <c r="H9" s="1387"/>
      <c r="I9" s="2539" t="s">
        <v>2342</v>
      </c>
    </row>
    <row r="10" spans="1:9" s="258" customFormat="1" ht="13.5" customHeight="1">
      <c r="A10" s="949" t="s">
        <v>801</v>
      </c>
      <c r="B10" s="268" t="s">
        <v>2343</v>
      </c>
      <c r="C10" s="269">
        <f ca="1">ROUND(D10*E10/10000,0)</f>
        <v>347</v>
      </c>
      <c r="D10" s="1031">
        <f ca="1">IF(B1="",'数据-汇总表'!E6,IF(INDIRECT("'数据-取费表'!c"&amp;$G$1)="住宅",INDIRECT("'数据-取费表'!s"&amp;$G$1),INDIRECT("'数据-取费表'!k"&amp;$G$1)+INDIRECT("'数据-取费表'!s"&amp;$G$1)))</f>
        <v>18270.47</v>
      </c>
      <c r="E10" s="269">
        <f>'数据-取费表'!B28</f>
        <v>190</v>
      </c>
      <c r="F10" s="265"/>
      <c r="G10" s="270"/>
    </row>
    <row r="11" spans="1:9" s="258" customFormat="1" ht="13.5" hidden="1" customHeight="1">
      <c r="A11" s="271" t="s">
        <v>7</v>
      </c>
      <c r="B11" s="259" t="s">
        <v>2344</v>
      </c>
      <c r="C11" s="255"/>
      <c r="D11" s="1033"/>
      <c r="E11" s="262"/>
      <c r="F11" s="262"/>
      <c r="G11" s="263"/>
    </row>
    <row r="12" spans="1:9" s="258" customFormat="1" ht="13.5" hidden="1" customHeight="1">
      <c r="A12" s="271" t="s">
        <v>8</v>
      </c>
      <c r="B12" s="259" t="s">
        <v>2345</v>
      </c>
      <c r="C12" s="255">
        <v>0</v>
      </c>
      <c r="D12" s="1033"/>
      <c r="E12" s="272"/>
      <c r="F12" s="265">
        <v>3.0499999999999999E-2</v>
      </c>
      <c r="G12" s="263"/>
    </row>
    <row r="13" spans="1:9" s="258" customFormat="1" ht="13.5" hidden="1" customHeight="1">
      <c r="A13" s="271" t="s">
        <v>9</v>
      </c>
      <c r="B13" s="259" t="s">
        <v>2346</v>
      </c>
      <c r="C13" s="255"/>
      <c r="D13" s="1033"/>
      <c r="E13" s="262"/>
      <c r="F13" s="262"/>
      <c r="G13" s="263"/>
    </row>
    <row r="14" spans="1:9" s="258" customFormat="1" ht="13.5" hidden="1" customHeight="1">
      <c r="A14" s="271" t="s">
        <v>10</v>
      </c>
      <c r="B14" s="259" t="s">
        <v>2347</v>
      </c>
      <c r="C14" s="255"/>
      <c r="D14" s="1033"/>
      <c r="E14" s="262"/>
      <c r="F14" s="262"/>
      <c r="G14" s="263" t="s">
        <v>2348</v>
      </c>
    </row>
    <row r="15" spans="1:9" s="258" customFormat="1" ht="13.5" hidden="1" customHeight="1">
      <c r="A15" s="271" t="s">
        <v>11</v>
      </c>
      <c r="B15" s="259" t="s">
        <v>2349</v>
      </c>
      <c r="C15" s="264"/>
      <c r="D15" s="1033"/>
      <c r="E15" s="262"/>
      <c r="F15" s="262"/>
      <c r="G15" s="263" t="s">
        <v>2350</v>
      </c>
    </row>
    <row r="16" spans="1:9" s="258" customFormat="1" ht="13.5" hidden="1" customHeight="1">
      <c r="A16" s="271" t="s">
        <v>12</v>
      </c>
      <c r="B16" s="259" t="s">
        <v>2347</v>
      </c>
      <c r="C16" s="264"/>
      <c r="D16" s="1033"/>
      <c r="E16" s="262"/>
      <c r="F16" s="262"/>
      <c r="G16" s="263"/>
    </row>
    <row r="17" spans="1:7" s="258" customFormat="1" ht="13.5" hidden="1" customHeight="1">
      <c r="A17" s="271" t="s">
        <v>13</v>
      </c>
      <c r="B17" s="259" t="s">
        <v>2351</v>
      </c>
      <c r="C17" s="273"/>
      <c r="D17" s="1034"/>
      <c r="E17" s="273"/>
      <c r="F17" s="273"/>
      <c r="G17" s="263" t="s">
        <v>2350</v>
      </c>
    </row>
    <row r="18" spans="1:7" s="258" customFormat="1" ht="13.5" hidden="1" customHeight="1">
      <c r="A18" s="271" t="s">
        <v>14</v>
      </c>
      <c r="B18" s="259" t="s">
        <v>2352</v>
      </c>
      <c r="C18" s="264">
        <v>0</v>
      </c>
      <c r="D18" s="1033"/>
      <c r="E18" s="262"/>
      <c r="F18" s="265">
        <v>3.0499999999999999E-2</v>
      </c>
      <c r="G18" s="263" t="s">
        <v>2353</v>
      </c>
    </row>
    <row r="19" spans="1:7" s="267" customFormat="1" ht="13.5" customHeight="1">
      <c r="A19" s="299" t="s">
        <v>2354</v>
      </c>
      <c r="B19" s="254" t="s">
        <v>2355</v>
      </c>
      <c r="C19" s="255" t="str">
        <f>IF(G19="已包含在土地取得成本中","0",ROUND(D19*E19/10000,0))</f>
        <v>0</v>
      </c>
      <c r="D19" s="1035">
        <f ca="1">D9+D10</f>
        <v>43490.38</v>
      </c>
      <c r="E19" s="255">
        <f>'数据-取费表'!B31</f>
        <v>70</v>
      </c>
      <c r="F19" s="275"/>
      <c r="G19" s="2537" t="s">
        <v>3356</v>
      </c>
    </row>
    <row r="20" spans="1:7" s="258" customFormat="1" ht="13.5" customHeight="1">
      <c r="A20" s="299" t="s">
        <v>2356</v>
      </c>
      <c r="B20" s="254" t="s">
        <v>2357</v>
      </c>
      <c r="C20" s="276">
        <f ca="1">ROUND((C5+C19)*F20,0)</f>
        <v>1171</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3">
        <f ca="1">ROUND(SUM(C23:C25),0)</f>
        <v>3677</v>
      </c>
      <c r="D22" s="279">
        <f ca="1">C26</f>
        <v>5.9999999999999995E-4</v>
      </c>
      <c r="E22" s="280" t="s">
        <v>2361</v>
      </c>
      <c r="F22" s="281">
        <f ca="1">'数据-取费表'!B40</f>
        <v>4.7500000000000001E-2</v>
      </c>
      <c r="G22" s="278" t="str">
        <f>IF('数据-取费表'!B22&lt;=1,"单利计息","复利计息")</f>
        <v>复利计息</v>
      </c>
    </row>
    <row r="23" spans="1:7" s="258" customFormat="1" ht="13.5" customHeight="1">
      <c r="A23" s="950" t="s">
        <v>2365</v>
      </c>
      <c r="B23" s="259" t="s">
        <v>2366</v>
      </c>
      <c r="C23" s="1354">
        <f ca="1">ROUND(IF('数据-取费表'!B22&lt;=1,C5*F22*'数据-取费表'!B23,C5*(POWER((1+F22),'数据-取费表'!B23)-1)),0)</f>
        <v>3641</v>
      </c>
      <c r="D23" s="282"/>
      <c r="E23" s="282"/>
      <c r="F23" s="283"/>
      <c r="G23" s="284" t="s">
        <v>2367</v>
      </c>
    </row>
    <row r="24" spans="1:7" s="258" customFormat="1" ht="13.5" customHeight="1">
      <c r="A24" s="950" t="s">
        <v>2368</v>
      </c>
      <c r="B24" s="259" t="s">
        <v>2369</v>
      </c>
      <c r="C24" s="1354">
        <f ca="1">ROUND(IF('数据-取费表'!B22&lt;=1,C19*F22*('数据-取费表'!B19/2+'数据-取费表'!B21),C19*(POWER((1+F22),('数据-取费表'!B19/2+'数据-取费表'!B21))-1)),0)</f>
        <v>0</v>
      </c>
      <c r="D24" s="282"/>
      <c r="E24" s="282"/>
      <c r="F24" s="283"/>
      <c r="G24" s="284" t="s">
        <v>2370</v>
      </c>
    </row>
    <row r="25" spans="1:7" s="258" customFormat="1" ht="24">
      <c r="A25" s="950" t="s">
        <v>2371</v>
      </c>
      <c r="B25" s="259" t="s">
        <v>2372</v>
      </c>
      <c r="C25" s="1354">
        <f ca="1">ROUND(IF('数据-取费表'!B22&lt;=1,C20*F22*'数据-取费表'!B23/2,C20*(POWER((1+F22),'数据-取费表'!B23/2)-1)),0)</f>
        <v>36</v>
      </c>
      <c r="D25" s="282"/>
      <c r="E25" s="285"/>
      <c r="F25" s="283"/>
      <c r="G25" s="286" t="s">
        <v>2373</v>
      </c>
    </row>
    <row r="26" spans="1:7" s="258" customFormat="1">
      <c r="A26" s="950" t="s">
        <v>795</v>
      </c>
      <c r="B26" s="259" t="s">
        <v>2374</v>
      </c>
      <c r="C26" s="282">
        <f ca="1">ROUND(IF('数据-取费表'!B22&lt;=1,F21*F22*'数据-取费表'!B23/2,F21*(POWER((1+F22),'数据-取费表'!B23/2)-1)),4)</f>
        <v>5.9999999999999995E-4</v>
      </c>
      <c r="D26" s="282"/>
      <c r="E26" s="285"/>
      <c r="F26" s="283"/>
      <c r="G26" s="287"/>
    </row>
    <row r="27" spans="1:7" s="258" customFormat="1" ht="24.75">
      <c r="A27" s="299" t="s">
        <v>2375</v>
      </c>
      <c r="B27" s="288" t="s">
        <v>2376</v>
      </c>
      <c r="C27" s="289">
        <f ca="1">C28</f>
        <v>4658</v>
      </c>
      <c r="D27" s="279">
        <f ca="1">C29</f>
        <v>1.6000000000000001E-3</v>
      </c>
      <c r="E27" s="280" t="s">
        <v>2377</v>
      </c>
      <c r="F27" s="290">
        <f ca="1">IF(B1="",'数据-取费表'!Q16,INDIRECT("'数据-取费表'!q"&amp;$G$1))</f>
        <v>0.12</v>
      </c>
      <c r="G27" s="291" t="s">
        <v>2378</v>
      </c>
    </row>
    <row r="28" spans="1:7" s="258" customFormat="1" ht="13.5" customHeight="1">
      <c r="A28" s="950" t="s">
        <v>791</v>
      </c>
      <c r="B28" s="292" t="s">
        <v>2379</v>
      </c>
      <c r="C28" s="293">
        <f ca="1">ROUND((C5+C19+C20)*F27*'数据-取费表'!B21/'数据-取费表'!B20,0)</f>
        <v>4658</v>
      </c>
      <c r="D28" s="279"/>
      <c r="E28" s="280"/>
      <c r="F28" s="290"/>
      <c r="G28" s="291"/>
    </row>
    <row r="29" spans="1:7" s="258" customFormat="1" ht="13.5" customHeight="1">
      <c r="A29" s="950" t="s">
        <v>792</v>
      </c>
      <c r="B29" s="292" t="s">
        <v>2380</v>
      </c>
      <c r="C29" s="282">
        <f ca="1">ROUND(C21*F27*'数据-取费表'!B21/'数据-取费表'!B20,4)</f>
        <v>1.6000000000000001E-3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73542</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9843</v>
      </c>
      <c r="D33" s="276"/>
      <c r="E33" s="256"/>
      <c r="F33" s="285"/>
      <c r="G33" s="278"/>
    </row>
    <row r="34" spans="1:7" s="302" customFormat="1" ht="13.5" customHeight="1">
      <c r="A34" s="950" t="s">
        <v>791</v>
      </c>
      <c r="B34" s="259" t="s">
        <v>2388</v>
      </c>
      <c r="C34" s="264">
        <f ca="1">IF(B1="",IF(F34=100%,'数据-取费表'!M16,'数据-取费表'!O16),IF(F34=100%,INDIRECT("'数据-取费表'!m"&amp;$G$1)+INDIRECT("'数据-取费表'!t"&amp;$G$1),INDIRECT("'数据-取费表'!o"&amp;$G$1)+INDIRECT("'数据-取费表'!aq"&amp;$G$1)))</f>
        <v>8481</v>
      </c>
      <c r="D34" s="261"/>
      <c r="E34" s="264"/>
      <c r="F34" s="301">
        <f ca="1">IF('数据-取费表'!B24=0,1,IF(B1="",'数据-取费表'!N16,INDIRECT("'数据-取费表'!n"&amp;$G$1)))</f>
        <v>0.65</v>
      </c>
      <c r="G34" s="263" t="s">
        <v>2389</v>
      </c>
    </row>
    <row r="35" spans="1:7" ht="13.5" customHeight="1">
      <c r="A35" s="950" t="s">
        <v>796</v>
      </c>
      <c r="B35" s="259" t="s">
        <v>2390</v>
      </c>
      <c r="C35" s="264">
        <f ca="1">ROUND(C34*F35,0)</f>
        <v>424</v>
      </c>
      <c r="D35" s="264"/>
      <c r="E35" s="264"/>
      <c r="F35" s="303">
        <f>'数据-取费表'!B33</f>
        <v>0.05</v>
      </c>
      <c r="G35" s="263" t="s">
        <v>2391</v>
      </c>
    </row>
    <row r="36" spans="1:7" ht="24">
      <c r="A36" s="950" t="s">
        <v>797</v>
      </c>
      <c r="B36" s="259" t="s">
        <v>2392</v>
      </c>
      <c r="C36" s="264">
        <f ca="1">ROUND(IF(B1="",SUMIF('数据-取费表'!C:C,"住宅",IF(F34=100%,'数据-取费表'!M:M,'数据-取费表'!O:O))*F36,IF(INDIRECT("'数据-取费表'!c"&amp;$G$1)="住宅",IF(F34=100%,INDIRECT("'数据-取费表'!m"&amp;$G$1)*F36,INDIRECT("'数据-取费表'!o"&amp;$G$1)*F36),0)),0)</f>
        <v>246</v>
      </c>
      <c r="D36" s="264"/>
      <c r="E36" s="264"/>
      <c r="F36" s="303">
        <f>'数据-取费表'!B34</f>
        <v>0.05</v>
      </c>
      <c r="G36" s="304" t="s">
        <v>2393</v>
      </c>
    </row>
    <row r="37" spans="1:7" s="302" customFormat="1" ht="13.5" customHeight="1">
      <c r="A37" s="950" t="s">
        <v>798</v>
      </c>
      <c r="B37" s="259" t="s">
        <v>2394</v>
      </c>
      <c r="C37" s="293">
        <f ca="1">ROUND(E37*D37*F34/10000,0)</f>
        <v>565</v>
      </c>
      <c r="D37" s="261">
        <f ca="1">D19</f>
        <v>43490.38</v>
      </c>
      <c r="E37" s="293">
        <f>'数据-取费表'!B35</f>
        <v>200</v>
      </c>
      <c r="F37" s="303"/>
      <c r="G37" s="305" t="s">
        <v>2395</v>
      </c>
    </row>
    <row r="38" spans="1:7" ht="13.5" customHeight="1">
      <c r="A38" s="950" t="s">
        <v>799</v>
      </c>
      <c r="B38" s="259" t="s">
        <v>2396</v>
      </c>
      <c r="C38" s="264">
        <f ca="1">ROUND(C34*F38,0)</f>
        <v>127</v>
      </c>
      <c r="D38" s="264"/>
      <c r="E38" s="264"/>
      <c r="F38" s="303">
        <f>'数据-取费表'!B36</f>
        <v>1.4999999999999999E-2</v>
      </c>
      <c r="G38" s="263" t="s">
        <v>2391</v>
      </c>
    </row>
    <row r="39" spans="1:7" s="258" customFormat="1" ht="13.5" customHeight="1">
      <c r="A39" s="299" t="s">
        <v>2397</v>
      </c>
      <c r="B39" s="254" t="s">
        <v>2398</v>
      </c>
      <c r="C39" s="276">
        <f ca="1">ROUND(C33*F20,0)</f>
        <v>197</v>
      </c>
      <c r="D39" s="276"/>
      <c r="E39" s="276"/>
      <c r="F39" s="277"/>
      <c r="G39" s="278" t="s">
        <v>2399</v>
      </c>
    </row>
    <row r="40" spans="1:7" s="258" customFormat="1" ht="13.5" customHeight="1">
      <c r="A40" s="299" t="s">
        <v>2400</v>
      </c>
      <c r="B40" s="254" t="s">
        <v>2401</v>
      </c>
      <c r="C40" s="1725">
        <f>F21</f>
        <v>0.02</v>
      </c>
      <c r="D40" s="280" t="s">
        <v>2402</v>
      </c>
      <c r="E40" s="276"/>
      <c r="F40" s="277"/>
      <c r="G40" s="278" t="s">
        <v>2403</v>
      </c>
    </row>
    <row r="41" spans="1:7" s="258" customFormat="1" ht="13.5" customHeight="1">
      <c r="A41" s="299" t="s">
        <v>2404</v>
      </c>
      <c r="B41" s="254" t="s">
        <v>2405</v>
      </c>
      <c r="C41" s="276">
        <f ca="1">ROUND(SUM(C42:C43),0)</f>
        <v>307</v>
      </c>
      <c r="D41" s="279">
        <f ca="1">C44</f>
        <v>5.9999999999999995E-4</v>
      </c>
      <c r="E41" s="280" t="s">
        <v>2402</v>
      </c>
      <c r="F41" s="281"/>
      <c r="G41" s="278" t="str">
        <f>IF('数据-取费表'!B22&lt;=1,"单利计息","复利计息")</f>
        <v>复利计息</v>
      </c>
    </row>
    <row r="42" spans="1:7" ht="13.5" customHeight="1">
      <c r="A42" s="950" t="s">
        <v>791</v>
      </c>
      <c r="B42" s="259" t="s">
        <v>2406</v>
      </c>
      <c r="C42" s="282">
        <f ca="1">ROUND(IF('数据-取费表'!B22&lt;=1,C33*F22*'数据-取费表'!B21/2,C33*(POWER((1+F22),'数据-取费表'!B21/2)-1)),0)</f>
        <v>301</v>
      </c>
      <c r="D42" s="282"/>
      <c r="E42" s="282"/>
      <c r="F42" s="283"/>
      <c r="G42" s="3178" t="s">
        <v>2407</v>
      </c>
    </row>
    <row r="43" spans="1:7" ht="13.5" customHeight="1">
      <c r="A43" s="950" t="s">
        <v>792</v>
      </c>
      <c r="B43" s="259" t="s">
        <v>2408</v>
      </c>
      <c r="C43" s="282">
        <f ca="1">ROUND(IF('数据-取费表'!B22&lt;=1,C39*F22*'数据-取费表'!B21/2,C39*(POWER((1+F22),'数据-取费表'!B21/2)-1)),0)</f>
        <v>6</v>
      </c>
      <c r="D43" s="282"/>
      <c r="E43" s="282"/>
      <c r="F43" s="283"/>
      <c r="G43" s="3179"/>
    </row>
    <row r="44" spans="1:7" ht="13.5" customHeight="1">
      <c r="A44" s="950" t="s">
        <v>793</v>
      </c>
      <c r="B44" s="259" t="s">
        <v>2409</v>
      </c>
      <c r="C44" s="282">
        <f ca="1">ROUND(IF('数据-取费表'!B22&lt;=1,C40*F22*'数据-取费表'!B21/2,C40*(POWER((1+F22),'数据-取费表'!B21/2)-1)),4)</f>
        <v>5.9999999999999995E-4</v>
      </c>
      <c r="D44" s="282"/>
      <c r="E44" s="282"/>
      <c r="F44" s="283"/>
      <c r="G44" s="3180"/>
    </row>
    <row r="45" spans="1:7" s="258" customFormat="1" ht="13.5" customHeight="1">
      <c r="A45" s="299" t="s">
        <v>2410</v>
      </c>
      <c r="B45" s="288" t="s">
        <v>2376</v>
      </c>
      <c r="C45" s="289">
        <f ca="1">C46</f>
        <v>1205</v>
      </c>
      <c r="D45" s="279">
        <f ca="1">C47</f>
        <v>2.3999999999999998E-3</v>
      </c>
      <c r="E45" s="280" t="s">
        <v>2402</v>
      </c>
      <c r="F45" s="290"/>
      <c r="G45" s="291" t="s">
        <v>2411</v>
      </c>
    </row>
    <row r="46" spans="1:7" s="258" customFormat="1" ht="13.5" customHeight="1">
      <c r="A46" s="950" t="s">
        <v>791</v>
      </c>
      <c r="B46" s="292" t="s">
        <v>2412</v>
      </c>
      <c r="C46" s="293">
        <f ca="1">ROUND((C33+C39)*F27,0)</f>
        <v>1205</v>
      </c>
      <c r="D46" s="307"/>
      <c r="E46" s="280"/>
      <c r="F46" s="290"/>
      <c r="G46" s="291"/>
    </row>
    <row r="47" spans="1:7" s="258" customFormat="1" ht="13.5" customHeight="1">
      <c r="A47" s="950" t="s">
        <v>792</v>
      </c>
      <c r="B47" s="292" t="s">
        <v>2413</v>
      </c>
      <c r="C47" s="282">
        <f ca="1">ROUND(C40*F27,4)</f>
        <v>2.3999999999999998E-3</v>
      </c>
      <c r="D47" s="307"/>
      <c r="E47" s="280"/>
      <c r="F47" s="290"/>
      <c r="G47" s="291"/>
    </row>
    <row r="48" spans="1:7" s="258" customFormat="1" ht="13.5" customHeight="1">
      <c r="A48" s="299" t="s">
        <v>2375</v>
      </c>
      <c r="B48" s="254" t="s">
        <v>2414</v>
      </c>
      <c r="C48" s="1725">
        <f>ROUND(F30/(1+'数据-取费表'!C42),4)</f>
        <v>5.2400000000000002E-2</v>
      </c>
      <c r="D48" s="280" t="s">
        <v>2402</v>
      </c>
      <c r="E48" s="276"/>
      <c r="F48" s="281"/>
      <c r="G48" s="278" t="s">
        <v>2415</v>
      </c>
    </row>
    <row r="49" spans="1:7" ht="16.5" customHeight="1">
      <c r="A49" s="299" t="s">
        <v>2381</v>
      </c>
      <c r="B49" s="254" t="s">
        <v>2416</v>
      </c>
      <c r="C49" s="276">
        <f ca="1">ROUND((C33+C39+C41+C45)/(1-C40-D41-D45-C48),0)</f>
        <v>12494</v>
      </c>
      <c r="D49" s="276"/>
      <c r="E49" s="276"/>
      <c r="F49" s="308"/>
      <c r="G49" s="278" t="s">
        <v>2417</v>
      </c>
    </row>
    <row r="50" spans="1:7" s="302" customFormat="1" ht="24">
      <c r="A50" s="299" t="s">
        <v>2418</v>
      </c>
      <c r="B50" s="254" t="s">
        <v>2419</v>
      </c>
      <c r="C50" s="276"/>
      <c r="D50" s="276"/>
      <c r="E50" s="276"/>
      <c r="F50" s="308">
        <f>IF('数据-取费表'!B24=0,'数据-取费表'!N16,1)</f>
        <v>1</v>
      </c>
      <c r="G50" s="291" t="s">
        <v>2420</v>
      </c>
    </row>
    <row r="51" spans="1:7" ht="16.5" customHeight="1">
      <c r="A51" s="299" t="s">
        <v>2421</v>
      </c>
      <c r="B51" s="254" t="s">
        <v>2422</v>
      </c>
      <c r="C51" s="276">
        <f ca="1">ROUND(C49*F50,0)</f>
        <v>12494</v>
      </c>
      <c r="D51" s="276"/>
      <c r="E51" s="276"/>
      <c r="F51" s="308"/>
      <c r="G51" s="278" t="s">
        <v>2423</v>
      </c>
    </row>
    <row r="52" spans="1:7" s="252" customFormat="1" ht="16.5" thickBot="1">
      <c r="A52" s="309" t="s">
        <v>2424</v>
      </c>
      <c r="B52" s="310"/>
      <c r="C52" s="311">
        <f ca="1">C31+C51</f>
        <v>86036</v>
      </c>
      <c r="D52" s="310"/>
      <c r="E52" s="310"/>
      <c r="F52" s="310"/>
      <c r="G52" s="312"/>
    </row>
    <row r="55" spans="1:7" ht="15">
      <c r="B55" s="314" t="s">
        <v>2425</v>
      </c>
      <c r="C55" s="315"/>
    </row>
    <row r="56" spans="1:7">
      <c r="B56" s="317" t="s">
        <v>1507</v>
      </c>
      <c r="C56" s="319">
        <f ca="1">1-C57</f>
        <v>0.85499999999999998</v>
      </c>
    </row>
    <row r="57" spans="1:7">
      <c r="B57" s="317" t="s">
        <v>1508</v>
      </c>
      <c r="C57" s="318">
        <f ca="1">ROUND(C51/C52,3)</f>
        <v>0.14499999999999999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6" sqref="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25"/>
      <c r="C1" s="2540" t="s">
        <v>2426</v>
      </c>
      <c r="D1" s="242"/>
      <c r="E1" s="242"/>
      <c r="F1" s="242"/>
      <c r="G1" s="1376">
        <f>MATCH(B1,'数据-取费表'!A6:A16,0)+5</f>
        <v>10</v>
      </c>
      <c r="H1" s="1281" t="str">
        <f>IF(ISERROR(FIND("住宅",B1)),"非住宅","住宅")</f>
        <v>非住宅</v>
      </c>
    </row>
    <row r="2" spans="1:8" s="244" customFormat="1" ht="18" customHeight="1">
      <c r="A2" s="245" t="s">
        <v>2325</v>
      </c>
      <c r="B2" s="246">
        <f ca="1">ROUND(IF(D2="——",C52/10000,C52/10000-E2),0)</f>
        <v>20895</v>
      </c>
      <c r="C2" s="243" t="s">
        <v>2326</v>
      </c>
      <c r="D2" s="2534" t="s">
        <v>70</v>
      </c>
      <c r="E2" s="1437" t="e">
        <f ca="1">SUMIF(INDIRECT("'"&amp;G2&amp;"'"&amp;"!A:A"),"承租人权益价值",INDIRECT("'"&amp;G2&amp;"'"&amp;"!c:c"))</f>
        <v>#REF!</v>
      </c>
      <c r="F2" s="2535" t="s">
        <v>2326</v>
      </c>
      <c r="G2" s="2536"/>
    </row>
    <row r="3" spans="1:8" s="244" customFormat="1" ht="18" customHeight="1" thickBot="1">
      <c r="A3" s="247" t="s">
        <v>2327</v>
      </c>
      <c r="B3" s="248">
        <f ca="1">ROUND(B2*10000/(IF(B1="",'数据-汇总表'!E3,INDIRECT("'数据-取费表'!k"&amp;$G$1))),0)</f>
        <v>4805</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7254376</v>
      </c>
      <c r="D5" s="255" t="s">
        <v>2332</v>
      </c>
      <c r="E5" s="256" t="s">
        <v>2333</v>
      </c>
      <c r="F5" s="256" t="s">
        <v>2334</v>
      </c>
      <c r="G5" s="257"/>
    </row>
    <row r="6" spans="1:8" s="258" customFormat="1" ht="13.5" customHeight="1">
      <c r="A6" s="948" t="s">
        <v>2335</v>
      </c>
      <c r="B6" s="259" t="s">
        <v>2336</v>
      </c>
      <c r="C6" s="260"/>
      <c r="D6" s="261"/>
      <c r="E6" s="262"/>
      <c r="F6" s="262"/>
      <c r="G6" s="263"/>
    </row>
    <row r="7" spans="1:8" s="258" customFormat="1" ht="13.5" customHeight="1">
      <c r="A7" s="948" t="s">
        <v>2337</v>
      </c>
      <c r="B7" s="259" t="s">
        <v>2338</v>
      </c>
      <c r="C7" s="264">
        <f>ROUND(C6*F7,0)</f>
        <v>0</v>
      </c>
      <c r="D7" s="264"/>
      <c r="E7" s="262"/>
      <c r="F7" s="265">
        <f>IF(项目基本情况!B8="出让",0,'数据-取费表'!B48+'数据-取费表'!B49)</f>
        <v>3.0499999999999999E-2</v>
      </c>
      <c r="G7" s="263"/>
    </row>
    <row r="8" spans="1:8" s="267" customFormat="1">
      <c r="A8" s="948" t="s">
        <v>2339</v>
      </c>
      <c r="B8" s="259" t="s">
        <v>2340</v>
      </c>
      <c r="C8" s="264">
        <f ca="1">IF(G8="已包含在土地购买价格中",0,C9+C10)</f>
        <v>7254376</v>
      </c>
      <c r="D8" s="266"/>
      <c r="E8" s="264"/>
      <c r="F8" s="265"/>
      <c r="G8" s="2537" t="s">
        <v>3078</v>
      </c>
    </row>
    <row r="9" spans="1:8" s="258" customFormat="1" ht="13.5" customHeight="1">
      <c r="A9" s="949" t="s">
        <v>800</v>
      </c>
      <c r="B9" s="268" t="s">
        <v>2341</v>
      </c>
      <c r="C9" s="269">
        <f ca="1">ROUND(D9*E9,0)</f>
        <v>3782987</v>
      </c>
      <c r="D9" s="1031">
        <f ca="1">IF(B1="",'数据-汇总表'!E5,IF(INDIRECT("'数据-取费表'!c"&amp;$G$1)="住宅",INDIRECT("'数据-取费表'!k"&amp;$G$1),0))</f>
        <v>25219.909999999996</v>
      </c>
      <c r="E9" s="269">
        <f>'数据-取费表'!B27</f>
        <v>150</v>
      </c>
      <c r="F9" s="265"/>
      <c r="G9" s="270"/>
    </row>
    <row r="10" spans="1:8" s="258" customFormat="1" ht="13.5" customHeight="1">
      <c r="A10" s="949" t="s">
        <v>801</v>
      </c>
      <c r="B10" s="268" t="s">
        <v>2343</v>
      </c>
      <c r="C10" s="269">
        <f ca="1">ROUND(D10*E10,0)</f>
        <v>3471389</v>
      </c>
      <c r="D10" s="1031">
        <f ca="1">IF(B1="",'数据-汇总表'!E6,IF(INDIRECT("'数据-取费表'!c"&amp;$G$1)="住宅",INDIRECT("'数据-取费表'!s"&amp;$G$1),INDIRECT("'数据-取费表'!k"&amp;$G$1)+INDIRECT("'数据-取费表'!s"&amp;$G$1)))</f>
        <v>18270.47</v>
      </c>
      <c r="E10" s="269">
        <f>'数据-取费表'!B28</f>
        <v>190</v>
      </c>
      <c r="F10" s="265"/>
      <c r="G10" s="270"/>
    </row>
    <row r="11" spans="1:8" s="258" customFormat="1" ht="13.5" hidden="1" customHeight="1">
      <c r="A11" s="271" t="s">
        <v>7</v>
      </c>
      <c r="B11" s="259" t="s">
        <v>2344</v>
      </c>
      <c r="C11" s="255"/>
      <c r="D11" s="1033"/>
      <c r="E11" s="262"/>
      <c r="F11" s="262"/>
      <c r="G11" s="263"/>
    </row>
    <row r="12" spans="1:8" s="258" customFormat="1" ht="13.5" hidden="1" customHeight="1">
      <c r="A12" s="271" t="s">
        <v>8</v>
      </c>
      <c r="B12" s="259" t="s">
        <v>2427</v>
      </c>
      <c r="C12" s="255">
        <v>0</v>
      </c>
      <c r="D12" s="1033"/>
      <c r="E12" s="272"/>
      <c r="F12" s="265">
        <v>3.0499999999999999E-2</v>
      </c>
      <c r="G12" s="263"/>
    </row>
    <row r="13" spans="1:8" s="258" customFormat="1" ht="13.5" hidden="1" customHeight="1">
      <c r="A13" s="271" t="s">
        <v>9</v>
      </c>
      <c r="B13" s="259" t="s">
        <v>2428</v>
      </c>
      <c r="C13" s="255"/>
      <c r="D13" s="1033"/>
      <c r="E13" s="262"/>
      <c r="F13" s="262"/>
      <c r="G13" s="263"/>
    </row>
    <row r="14" spans="1:8" s="258" customFormat="1" ht="13.5" hidden="1" customHeight="1">
      <c r="A14" s="271" t="s">
        <v>10</v>
      </c>
      <c r="B14" s="259" t="s">
        <v>2340</v>
      </c>
      <c r="C14" s="255"/>
      <c r="D14" s="1033"/>
      <c r="E14" s="262"/>
      <c r="F14" s="262"/>
      <c r="G14" s="263" t="s">
        <v>2429</v>
      </c>
    </row>
    <row r="15" spans="1:8" s="258" customFormat="1" ht="13.5" hidden="1" customHeight="1">
      <c r="A15" s="271" t="s">
        <v>11</v>
      </c>
      <c r="B15" s="259" t="s">
        <v>2430</v>
      </c>
      <c r="C15" s="264"/>
      <c r="D15" s="1033"/>
      <c r="E15" s="262"/>
      <c r="F15" s="262"/>
      <c r="G15" s="263" t="s">
        <v>2431</v>
      </c>
    </row>
    <row r="16" spans="1:8" s="258" customFormat="1" ht="13.5" hidden="1" customHeight="1">
      <c r="A16" s="271" t="s">
        <v>12</v>
      </c>
      <c r="B16" s="259" t="s">
        <v>2340</v>
      </c>
      <c r="C16" s="264"/>
      <c r="D16" s="1033"/>
      <c r="E16" s="262"/>
      <c r="F16" s="262"/>
      <c r="G16" s="263"/>
    </row>
    <row r="17" spans="1:7" s="258" customFormat="1" ht="13.5" hidden="1" customHeight="1">
      <c r="A17" s="271" t="s">
        <v>13</v>
      </c>
      <c r="B17" s="259" t="s">
        <v>2432</v>
      </c>
      <c r="C17" s="273"/>
      <c r="D17" s="1034"/>
      <c r="E17" s="273"/>
      <c r="F17" s="273"/>
      <c r="G17" s="263" t="s">
        <v>2431</v>
      </c>
    </row>
    <row r="18" spans="1:7" s="258" customFormat="1" ht="13.5" hidden="1" customHeight="1">
      <c r="A18" s="271" t="s">
        <v>14</v>
      </c>
      <c r="B18" s="259" t="s">
        <v>2433</v>
      </c>
      <c r="C18" s="264">
        <v>0</v>
      </c>
      <c r="D18" s="1033"/>
      <c r="E18" s="262"/>
      <c r="F18" s="265">
        <v>3.0499999999999999E-2</v>
      </c>
      <c r="G18" s="263" t="s">
        <v>2434</v>
      </c>
    </row>
    <row r="19" spans="1:7" s="267" customFormat="1" ht="13.5" customHeight="1">
      <c r="A19" s="299" t="s">
        <v>2435</v>
      </c>
      <c r="B19" s="254" t="s">
        <v>2436</v>
      </c>
      <c r="C19" s="255">
        <f ca="1">IF(G19="已包含在土地取得成本中","0",ROUND(D19*E19,0))</f>
        <v>3044327</v>
      </c>
      <c r="D19" s="1035">
        <f ca="1">D9+D10</f>
        <v>43490.38</v>
      </c>
      <c r="E19" s="255">
        <f>'数据-取费表'!B31</f>
        <v>70</v>
      </c>
      <c r="F19" s="275"/>
      <c r="G19" s="2537" t="s">
        <v>1070</v>
      </c>
    </row>
    <row r="20" spans="1:7" s="258" customFormat="1" ht="13.5" customHeight="1">
      <c r="A20" s="299" t="s">
        <v>2437</v>
      </c>
      <c r="B20" s="254" t="s">
        <v>2438</v>
      </c>
      <c r="C20" s="276">
        <f ca="1">ROUND((C5+C19)*F20,0)</f>
        <v>205974</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77">
        <f ca="1">ROUND(SUM(C23:C25),0)</f>
        <v>1011397</v>
      </c>
      <c r="D22" s="279">
        <f ca="1">C26</f>
        <v>1E-3</v>
      </c>
      <c r="E22" s="280" t="s">
        <v>2442</v>
      </c>
      <c r="F22" s="281">
        <f ca="1">'数据-取费表'!B40</f>
        <v>4.7500000000000001E-2</v>
      </c>
      <c r="G22" s="278" t="str">
        <f>IF('数据-取费表'!B22&lt;=1,"单利计息","复利计息")</f>
        <v>复利计息</v>
      </c>
    </row>
    <row r="23" spans="1:7" s="258" customFormat="1" ht="13.5" customHeight="1">
      <c r="A23" s="950" t="s">
        <v>2335</v>
      </c>
      <c r="B23" s="259" t="s">
        <v>2446</v>
      </c>
      <c r="C23" s="1378">
        <f ca="1">ROUND(IF('数据-取费表'!B22&lt;=1,C5*F22*'数据-取费表'!B22,C5*(POWER((1+F22),'数据-取费表'!B22)-1)),0)</f>
        <v>705533</v>
      </c>
      <c r="D23" s="282"/>
      <c r="E23" s="282"/>
      <c r="F23" s="283"/>
      <c r="G23" s="284" t="s">
        <v>2447</v>
      </c>
    </row>
    <row r="24" spans="1:7" s="258" customFormat="1" ht="13.5" customHeight="1">
      <c r="A24" s="950" t="s">
        <v>2337</v>
      </c>
      <c r="B24" s="259" t="s">
        <v>2448</v>
      </c>
      <c r="C24" s="1378">
        <f ca="1">ROUND(IF('数据-取费表'!B22&lt;=1,C19*F22*('数据-取费表'!B19/2+'数据-取费表'!B20),C19*(POWER((1+F22),('数据-取费表'!B19/2+'数据-取费表'!B20))-1)),0)</f>
        <v>296080</v>
      </c>
      <c r="D24" s="282"/>
      <c r="E24" s="282"/>
      <c r="F24" s="283"/>
      <c r="G24" s="284" t="s">
        <v>2449</v>
      </c>
    </row>
    <row r="25" spans="1:7" s="258" customFormat="1" ht="24">
      <c r="A25" s="950" t="s">
        <v>2339</v>
      </c>
      <c r="B25" s="259" t="s">
        <v>2450</v>
      </c>
      <c r="C25" s="1378">
        <f ca="1">ROUND(IF('数据-取费表'!B22&lt;=1,C20*F22*'数据-取费表'!B22/2,C20*(POWER((1+F22),'数据-取费表'!B22/2)-1)),0)</f>
        <v>9784</v>
      </c>
      <c r="D25" s="282"/>
      <c r="E25" s="285"/>
      <c r="F25" s="283"/>
      <c r="G25" s="286" t="s">
        <v>2451</v>
      </c>
    </row>
    <row r="26" spans="1:7" s="258" customFormat="1">
      <c r="A26" s="950" t="s">
        <v>795</v>
      </c>
      <c r="B26" s="259" t="s">
        <v>2374</v>
      </c>
      <c r="C26" s="282">
        <f ca="1">ROUND(IF('数据-取费表'!B22&lt;=1,F21*F22*'数据-取费表'!B22/2,F21*(POWER((1+F22),'数据-取费表'!B22/2)-1)),4)</f>
        <v>1E-3</v>
      </c>
      <c r="D26" s="282"/>
      <c r="E26" s="285"/>
      <c r="F26" s="283"/>
      <c r="G26" s="287"/>
    </row>
    <row r="27" spans="1:7" s="258" customFormat="1" ht="24.75">
      <c r="A27" s="299" t="s">
        <v>2375</v>
      </c>
      <c r="B27" s="288" t="s">
        <v>2376</v>
      </c>
      <c r="C27" s="289">
        <f ca="1">C28</f>
        <v>1260561</v>
      </c>
      <c r="D27" s="279">
        <f ca="1">C29</f>
        <v>2.3999999999999998E-3</v>
      </c>
      <c r="E27" s="280" t="s">
        <v>2377</v>
      </c>
      <c r="F27" s="290">
        <f ca="1">IF(B1="",'数据-取费表'!Q16,INDIRECT("'数据-取费表'!q"&amp;$G$1))</f>
        <v>0.12</v>
      </c>
      <c r="G27" s="291" t="s">
        <v>2378</v>
      </c>
    </row>
    <row r="28" spans="1:7" s="258" customFormat="1" ht="13.5" customHeight="1">
      <c r="A28" s="950" t="s">
        <v>791</v>
      </c>
      <c r="B28" s="292" t="s">
        <v>2379</v>
      </c>
      <c r="C28" s="293">
        <f ca="1">ROUND((C5+C19+C20)*F27,0)</f>
        <v>1260561</v>
      </c>
      <c r="D28" s="279"/>
      <c r="E28" s="280"/>
      <c r="F28" s="290"/>
      <c r="G28" s="291"/>
    </row>
    <row r="29" spans="1:7" s="258" customFormat="1" ht="13.5" customHeight="1">
      <c r="A29" s="950" t="s">
        <v>792</v>
      </c>
      <c r="B29" s="292" t="s">
        <v>2380</v>
      </c>
      <c r="C29" s="282">
        <f ca="1">ROUND(C21*F27,4)</f>
        <v>2.3999999999999998E-3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13824535</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151432827</v>
      </c>
      <c r="D33" s="276"/>
      <c r="E33" s="256"/>
      <c r="F33" s="285"/>
      <c r="G33" s="278"/>
    </row>
    <row r="34" spans="1:7" s="302" customFormat="1" ht="13.5" customHeight="1">
      <c r="A34" s="950" t="s">
        <v>791</v>
      </c>
      <c r="B34" s="259" t="s">
        <v>2388</v>
      </c>
      <c r="C34" s="264">
        <f ca="1">ROUND(IF(B1="",SUMPRODUCT('数据-取费表'!K6:K14,'数据-取费表'!L6:L14),INDIRECT("'数据-取费表'!l"&amp;$G$1)*INDIRECT("'数据-取费表'!k"&amp;$G$1)+'数据-取费表'!L14*INDIRECT("'数据-取费表'!S"&amp;$G$1)),0)</f>
        <v>130471140</v>
      </c>
      <c r="D34" s="261"/>
      <c r="E34" s="264"/>
      <c r="F34" s="301"/>
      <c r="G34" s="263"/>
    </row>
    <row r="35" spans="1:7" ht="13.5" customHeight="1">
      <c r="A35" s="950" t="s">
        <v>796</v>
      </c>
      <c r="B35" s="259" t="s">
        <v>2390</v>
      </c>
      <c r="C35" s="264">
        <f ca="1">ROUND(C34*F35,0)</f>
        <v>6523557</v>
      </c>
      <c r="D35" s="264"/>
      <c r="E35" s="264"/>
      <c r="F35" s="303">
        <f>'数据-取费表'!B33</f>
        <v>0.05</v>
      </c>
      <c r="G35" s="263" t="s">
        <v>2391</v>
      </c>
    </row>
    <row r="36" spans="1:7" ht="24">
      <c r="A36" s="950" t="s">
        <v>797</v>
      </c>
      <c r="B36" s="259" t="s">
        <v>2392</v>
      </c>
      <c r="C36" s="264">
        <f ca="1">ROUND(IF(B1="",SUM('数据-取费表'!AP6:AP13)*F36,IF(INDIRECT("'数据-取费表'!c"&amp;$G$1)="住宅",INDIRECT("'数据-取费表'!k"&amp;$G$1)*INDIRECT("'数据-取费表'!l"&amp;$G$1)*F36,0)),0)</f>
        <v>3782987</v>
      </c>
      <c r="D36" s="264"/>
      <c r="E36" s="264"/>
      <c r="F36" s="303">
        <f>'数据-取费表'!B34</f>
        <v>0.05</v>
      </c>
      <c r="G36" s="304" t="s">
        <v>2393</v>
      </c>
    </row>
    <row r="37" spans="1:7" s="302" customFormat="1" ht="13.5" customHeight="1">
      <c r="A37" s="950" t="s">
        <v>798</v>
      </c>
      <c r="B37" s="259" t="s">
        <v>2394</v>
      </c>
      <c r="C37" s="293">
        <f ca="1">ROUND(E37*D37,0)</f>
        <v>8698076</v>
      </c>
      <c r="D37" s="261">
        <f ca="1">D19</f>
        <v>43490.38</v>
      </c>
      <c r="E37" s="293">
        <f>'数据-取费表'!B35</f>
        <v>200</v>
      </c>
      <c r="F37" s="303"/>
      <c r="G37" s="305"/>
    </row>
    <row r="38" spans="1:7" ht="13.5" customHeight="1">
      <c r="A38" s="950" t="s">
        <v>799</v>
      </c>
      <c r="B38" s="259" t="s">
        <v>2396</v>
      </c>
      <c r="C38" s="264">
        <f ca="1">ROUND(C34*F38,0)</f>
        <v>1957067</v>
      </c>
      <c r="D38" s="264"/>
      <c r="E38" s="264"/>
      <c r="F38" s="303">
        <f>'数据-取费表'!B36</f>
        <v>1.4999999999999999E-2</v>
      </c>
      <c r="G38" s="263" t="s">
        <v>2391</v>
      </c>
    </row>
    <row r="39" spans="1:7" s="258" customFormat="1" ht="13.5" customHeight="1">
      <c r="A39" s="299" t="s">
        <v>2397</v>
      </c>
      <c r="B39" s="254" t="s">
        <v>2398</v>
      </c>
      <c r="C39" s="276">
        <f ca="1">ROUND(C33*F20,0)</f>
        <v>3028657</v>
      </c>
      <c r="D39" s="276"/>
      <c r="E39" s="276"/>
      <c r="F39" s="277"/>
      <c r="G39" s="278" t="s">
        <v>2399</v>
      </c>
    </row>
    <row r="40" spans="1:7" s="258" customFormat="1" ht="13.5" customHeight="1">
      <c r="A40" s="299" t="s">
        <v>2400</v>
      </c>
      <c r="B40" s="254" t="s">
        <v>2401</v>
      </c>
      <c r="C40" s="1725">
        <f>F21</f>
        <v>0.02</v>
      </c>
      <c r="D40" s="280" t="s">
        <v>2402</v>
      </c>
      <c r="E40" s="276"/>
      <c r="F40" s="277"/>
      <c r="G40" s="278" t="s">
        <v>2403</v>
      </c>
    </row>
    <row r="41" spans="1:7" s="258" customFormat="1" ht="13.5" customHeight="1">
      <c r="A41" s="299" t="s">
        <v>2404</v>
      </c>
      <c r="B41" s="254" t="s">
        <v>2405</v>
      </c>
      <c r="C41" s="276">
        <f ca="1">ROUND(SUM(C42:C43),0)</f>
        <v>7336920</v>
      </c>
      <c r="D41" s="279">
        <f ca="1">C44</f>
        <v>1E-3</v>
      </c>
      <c r="E41" s="280" t="s">
        <v>2402</v>
      </c>
      <c r="F41" s="281"/>
      <c r="G41" s="278" t="str">
        <f>IF('数据-取费表'!B22&lt;=1,"单利计息","复利计息")</f>
        <v>复利计息</v>
      </c>
    </row>
    <row r="42" spans="1:7" ht="13.5" customHeight="1">
      <c r="A42" s="950" t="s">
        <v>791</v>
      </c>
      <c r="B42" s="259" t="s">
        <v>2406</v>
      </c>
      <c r="C42" s="282">
        <f ca="1">ROUND(IF('数据-取费表'!B22&lt;=1,C33*F22*'数据-取费表'!B20/2,C33*(POWER((1+F22),'数据-取费表'!B20/2)-1)),0)</f>
        <v>7193059</v>
      </c>
      <c r="D42" s="282"/>
      <c r="E42" s="282"/>
      <c r="F42" s="283"/>
      <c r="G42" s="3178" t="s">
        <v>2454</v>
      </c>
    </row>
    <row r="43" spans="1:7" ht="13.5" customHeight="1">
      <c r="A43" s="950" t="s">
        <v>792</v>
      </c>
      <c r="B43" s="259" t="s">
        <v>2408</v>
      </c>
      <c r="C43" s="282">
        <f ca="1">ROUND(IF('数据-取费表'!B22&lt;=1,C39*F22*'数据-取费表'!B20/2,C39*(POWER((1+F22),'数据-取费表'!B20/2)-1)),0)</f>
        <v>143861</v>
      </c>
      <c r="D43" s="282"/>
      <c r="E43" s="282"/>
      <c r="F43" s="283"/>
      <c r="G43" s="3179"/>
    </row>
    <row r="44" spans="1:7" ht="13.5" customHeight="1">
      <c r="A44" s="950" t="s">
        <v>793</v>
      </c>
      <c r="B44" s="259" t="s">
        <v>2409</v>
      </c>
      <c r="C44" s="282">
        <f ca="1">ROUND(IF('数据-取费表'!B22&lt;=1,C40*F22*'数据-取费表'!B20/2,C40*(POWER((1+F22),'数据-取费表'!B20/2)-1)),4)</f>
        <v>1E-3</v>
      </c>
      <c r="D44" s="282"/>
      <c r="E44" s="282"/>
      <c r="F44" s="283"/>
      <c r="G44" s="3180"/>
    </row>
    <row r="45" spans="1:7" s="258" customFormat="1" ht="13.5" customHeight="1">
      <c r="A45" s="299" t="s">
        <v>2410</v>
      </c>
      <c r="B45" s="288" t="s">
        <v>2376</v>
      </c>
      <c r="C45" s="289">
        <f ca="1">C46</f>
        <v>18535378</v>
      </c>
      <c r="D45" s="279">
        <f ca="1">C47</f>
        <v>2.3999999999999998E-3</v>
      </c>
      <c r="E45" s="280" t="s">
        <v>2402</v>
      </c>
      <c r="F45" s="290"/>
      <c r="G45" s="291" t="s">
        <v>2411</v>
      </c>
    </row>
    <row r="46" spans="1:7" s="258" customFormat="1" ht="13.5" customHeight="1">
      <c r="A46" s="950" t="s">
        <v>791</v>
      </c>
      <c r="B46" s="292" t="s">
        <v>2412</v>
      </c>
      <c r="C46" s="293">
        <f ca="1">ROUND((C33+C39)*F27,0)</f>
        <v>18535378</v>
      </c>
      <c r="D46" s="307"/>
      <c r="E46" s="280"/>
      <c r="F46" s="290"/>
      <c r="G46" s="291"/>
    </row>
    <row r="47" spans="1:7" s="258" customFormat="1" ht="13.5" customHeight="1">
      <c r="A47" s="950" t="s">
        <v>792</v>
      </c>
      <c r="B47" s="292" t="s">
        <v>2413</v>
      </c>
      <c r="C47" s="282">
        <f ca="1">ROUND(C40*F27,4)</f>
        <v>2.3999999999999998E-3</v>
      </c>
      <c r="D47" s="307"/>
      <c r="E47" s="280"/>
      <c r="F47" s="290"/>
      <c r="G47" s="291"/>
    </row>
    <row r="48" spans="1:7" s="258" customFormat="1" ht="13.5" customHeight="1">
      <c r="A48" s="299" t="s">
        <v>2375</v>
      </c>
      <c r="B48" s="254" t="s">
        <v>2414</v>
      </c>
      <c r="C48" s="306">
        <f>ROUND(F30/(1+'数据-取费表'!C42),4)</f>
        <v>5.2400000000000002E-2</v>
      </c>
      <c r="D48" s="280" t="s">
        <v>2402</v>
      </c>
      <c r="E48" s="276"/>
      <c r="F48" s="281"/>
      <c r="G48" s="278" t="s">
        <v>2415</v>
      </c>
    </row>
    <row r="49" spans="1:7" ht="16.5" customHeight="1">
      <c r="A49" s="299" t="s">
        <v>2381</v>
      </c>
      <c r="B49" s="254" t="s">
        <v>2455</v>
      </c>
      <c r="C49" s="276">
        <f ca="1">ROUND((C33+C39+C41+C45)/(1-C40-D41-D45-C48),0)</f>
        <v>195124196</v>
      </c>
      <c r="D49" s="276"/>
      <c r="E49" s="276"/>
      <c r="F49" s="308"/>
      <c r="G49" s="278" t="s">
        <v>2417</v>
      </c>
    </row>
    <row r="50" spans="1:7" s="302" customFormat="1">
      <c r="A50" s="299" t="s">
        <v>2418</v>
      </c>
      <c r="B50" s="254" t="s">
        <v>2419</v>
      </c>
      <c r="C50" s="276"/>
      <c r="D50" s="276"/>
      <c r="E50" s="276"/>
      <c r="F50" s="308">
        <f>IF('数据-取费表'!B24=0,'数据-取费表'!N16,1)</f>
        <v>1</v>
      </c>
      <c r="G50" s="291"/>
    </row>
    <row r="51" spans="1:7" ht="16.5" customHeight="1">
      <c r="A51" s="299" t="s">
        <v>2421</v>
      </c>
      <c r="B51" s="254" t="s">
        <v>2456</v>
      </c>
      <c r="C51" s="276">
        <f ca="1">ROUND(C49*F50,0)</f>
        <v>195124196</v>
      </c>
      <c r="D51" s="276"/>
      <c r="E51" s="276"/>
      <c r="F51" s="308"/>
      <c r="G51" s="278" t="s">
        <v>2423</v>
      </c>
    </row>
    <row r="52" spans="1:7" s="252" customFormat="1" ht="16.5" thickBot="1">
      <c r="A52" s="309" t="s">
        <v>2424</v>
      </c>
      <c r="B52" s="310"/>
      <c r="C52" s="311">
        <f ca="1">C31+C51</f>
        <v>208948731</v>
      </c>
      <c r="D52" s="310"/>
      <c r="E52" s="310"/>
      <c r="F52" s="310"/>
      <c r="G52" s="312"/>
    </row>
    <row r="55" spans="1:7" ht="15">
      <c r="B55" s="314" t="s">
        <v>2425</v>
      </c>
      <c r="C55" s="315"/>
    </row>
    <row r="56" spans="1:7">
      <c r="B56" s="317" t="s">
        <v>1507</v>
      </c>
      <c r="C56" s="319">
        <f ca="1">1-C57</f>
        <v>6.5999999999999948E-2</v>
      </c>
    </row>
    <row r="57" spans="1:7">
      <c r="B57" s="317" t="s">
        <v>1508</v>
      </c>
      <c r="C57" s="318">
        <f ca="1">ROUND(C51/C52,3)</f>
        <v>0.93400000000000005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6" sqref="F6"/>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2457</v>
      </c>
      <c r="B1" s="1578"/>
      <c r="C1" s="1579"/>
      <c r="D1" s="1577"/>
      <c r="E1" s="320"/>
      <c r="F1" s="320"/>
      <c r="G1" s="1578"/>
      <c r="H1" s="320"/>
      <c r="I1" s="320"/>
      <c r="J1" s="320"/>
      <c r="K1" s="320">
        <f>MATCH(C1,'数据-取费表'!A6:A16,0)+5</f>
        <v>10</v>
      </c>
    </row>
    <row r="2" spans="1:33" ht="18" customHeight="1">
      <c r="A2" s="245" t="s">
        <v>2325</v>
      </c>
      <c r="B2" s="248">
        <f ca="1">C32</f>
        <v>85082</v>
      </c>
      <c r="C2" s="320" t="s">
        <v>2458</v>
      </c>
      <c r="D2" s="320"/>
      <c r="E2" s="320"/>
      <c r="F2" s="320"/>
      <c r="G2" s="320"/>
      <c r="H2" s="320"/>
      <c r="I2" s="320"/>
      <c r="J2" s="320"/>
      <c r="K2" s="320"/>
    </row>
    <row r="3" spans="1:33" ht="18" customHeight="1" thickBot="1">
      <c r="A3" s="247" t="s">
        <v>2327</v>
      </c>
      <c r="B3" s="248">
        <f ca="1">ROUND(B2*10000/IF(C1="",'数据-汇总表'!E3,INDIRECT("'数据-取费表'!K"&amp;$K$1)),0)</f>
        <v>19563</v>
      </c>
      <c r="C3" s="320" t="s">
        <v>2459</v>
      </c>
      <c r="D3" s="320"/>
      <c r="E3" s="320"/>
      <c r="F3" s="320"/>
      <c r="G3" s="320"/>
      <c r="H3" s="320"/>
      <c r="I3" s="320"/>
      <c r="J3" s="320"/>
      <c r="K3" s="320"/>
    </row>
    <row r="4" spans="1:33" s="955" customFormat="1" ht="16.5" customHeight="1">
      <c r="A4" s="952" t="s">
        <v>2460</v>
      </c>
      <c r="B4" s="953"/>
      <c r="C4" s="995">
        <f ca="1">SUM(C8:K8)</f>
        <v>107395</v>
      </c>
      <c r="D4" s="953"/>
      <c r="E4" s="953"/>
      <c r="F4" s="953"/>
      <c r="G4" s="953"/>
      <c r="H4" s="953"/>
      <c r="I4" s="953"/>
      <c r="J4" s="953"/>
      <c r="K4" s="954"/>
    </row>
    <row r="5" spans="1:33" s="959" customFormat="1" ht="15">
      <c r="A5" s="956" t="s">
        <v>2461</v>
      </c>
      <c r="B5" s="957" t="s">
        <v>2462</v>
      </c>
      <c r="C5" s="2988" t="s">
        <v>3308</v>
      </c>
      <c r="D5" s="2541" t="s">
        <v>3313</v>
      </c>
      <c r="E5" s="2541" t="s">
        <v>3269</v>
      </c>
      <c r="F5" s="2541" t="s">
        <v>3349</v>
      </c>
      <c r="G5" s="2541"/>
      <c r="H5" s="2541"/>
      <c r="I5" s="2541"/>
      <c r="J5" s="2541"/>
      <c r="K5" s="2541"/>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2463</v>
      </c>
      <c r="C6" s="961">
        <f>'比较法-合院'!B3</f>
        <v>34952</v>
      </c>
      <c r="D6" s="961">
        <f>'比较法-住宅'!B3</f>
        <v>33112</v>
      </c>
      <c r="E6" s="961">
        <f>D6/2</f>
        <v>16556</v>
      </c>
      <c r="F6" s="961">
        <f ca="1">收益法!B3</f>
        <v>2157</v>
      </c>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2464</v>
      </c>
      <c r="B7" s="140" t="s">
        <v>2465</v>
      </c>
      <c r="C7" s="321">
        <f>SUMIF('数据-汇总表'!$C19:$C33,假设开发法!C5,'数据-汇总表'!$E19:$E33)</f>
        <v>2648.98</v>
      </c>
      <c r="D7" s="321">
        <f>SUMIF('数据-汇总表'!$C19:$C33,假设开发法!D5,'数据-汇总表'!$E19:$E33)</f>
        <v>22570.929999999997</v>
      </c>
      <c r="E7" s="321">
        <f>SUMIF('数据-汇总表'!$C19:$C33,假设开发法!E5,'数据-汇总表'!$E19:$E33)</f>
        <v>13513.800000000003</v>
      </c>
      <c r="F7" s="321">
        <f>SUMIF('数据-汇总表'!$C19:$C33,假设开发法!F5,'数据-汇总表'!$E19:$E33)</f>
        <v>4756.67</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2" t="s">
        <v>2466</v>
      </c>
      <c r="B8" s="177" t="s">
        <v>2467</v>
      </c>
      <c r="C8" s="996">
        <f>ROUND(C6*C7/10000,0)</f>
        <v>9259</v>
      </c>
      <c r="D8" s="996">
        <f>ROUND(D6*D7/10000,0)</f>
        <v>74737</v>
      </c>
      <c r="E8" s="996">
        <f t="shared" ref="E8:F8" si="0">ROUND(E6*E7/10000,0)</f>
        <v>22373</v>
      </c>
      <c r="F8" s="996">
        <f t="shared" ca="1" si="0"/>
        <v>1026</v>
      </c>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2468</v>
      </c>
      <c r="B9" s="953"/>
      <c r="C9" s="953"/>
      <c r="D9" s="953"/>
      <c r="E9" s="953"/>
      <c r="F9" s="953"/>
      <c r="G9" s="953"/>
      <c r="H9" s="953"/>
      <c r="I9" s="953"/>
      <c r="J9" s="953"/>
      <c r="K9" s="954"/>
    </row>
    <row r="10" spans="1:33" s="969" customFormat="1" ht="13.5" customHeight="1">
      <c r="A10" s="956" t="s">
        <v>2469</v>
      </c>
      <c r="B10" s="8" t="s">
        <v>2470</v>
      </c>
      <c r="C10" s="965" t="s">
        <v>2471</v>
      </c>
      <c r="D10" s="966" t="s">
        <v>2472</v>
      </c>
      <c r="E10" s="966" t="s">
        <v>2473</v>
      </c>
      <c r="F10" s="966" t="s">
        <v>2474</v>
      </c>
      <c r="G10" s="8"/>
      <c r="H10" s="967"/>
      <c r="I10" s="967"/>
      <c r="J10" s="967"/>
      <c r="K10" s="968"/>
    </row>
    <row r="11" spans="1:33" s="974" customFormat="1" ht="13.5" customHeight="1">
      <c r="A11" s="970" t="s">
        <v>1329</v>
      </c>
      <c r="B11" s="971" t="s">
        <v>2475</v>
      </c>
      <c r="C11" s="323">
        <f ca="1">IF(C1="",'数据-取费表'!P16,INDIRECT("'数据-取费表'!p"&amp;$K$1)+INDIRECT("'数据-取费表'!ar"&amp;$K$1))</f>
        <v>4566</v>
      </c>
      <c r="D11" s="972"/>
      <c r="E11" s="374"/>
      <c r="F11" s="973">
        <f ca="1">1-IF('数据-取费表'!B24=0,1,IF(C1="",'数据-取费表'!N16,INDIRECT("'数据-取费表'!n"&amp;$K$1)))</f>
        <v>0.35</v>
      </c>
      <c r="G11" s="8"/>
      <c r="H11" s="967"/>
      <c r="I11" s="967"/>
      <c r="J11" s="967"/>
      <c r="K11" s="968"/>
    </row>
    <row r="12" spans="1:33" s="974" customFormat="1" ht="13.5" customHeight="1">
      <c r="A12" s="970" t="s">
        <v>1330</v>
      </c>
      <c r="B12" s="971" t="s">
        <v>2476</v>
      </c>
      <c r="C12" s="24">
        <f ca="1">ROUND(C11*F12,1)</f>
        <v>228.3</v>
      </c>
      <c r="D12" s="972"/>
      <c r="E12" s="374"/>
      <c r="F12" s="975">
        <f>'数据-取费表'!B33</f>
        <v>0.05</v>
      </c>
      <c r="G12" s="8" t="s">
        <v>2477</v>
      </c>
      <c r="H12" s="967"/>
      <c r="I12" s="967"/>
      <c r="J12" s="967"/>
      <c r="K12" s="968"/>
    </row>
    <row r="13" spans="1:33" s="974" customFormat="1" ht="13.5" customHeight="1">
      <c r="A13" s="970" t="s">
        <v>1331</v>
      </c>
      <c r="B13" s="971" t="s">
        <v>2478</v>
      </c>
      <c r="C13" s="24">
        <f ca="1">ROUND(IF(C1="",SUMIF('数据-取费表'!C:C,"住宅",'数据-取费表'!P:P)*F13,IF(INDIRECT("'数据-取费表'!c"&amp;$K$1)="住宅",INDIRECT("'数据-取费表'!P"&amp;$K$1)*F13,0)),1)</f>
        <v>132.4</v>
      </c>
      <c r="D13" s="1032"/>
      <c r="E13" s="374"/>
      <c r="F13" s="975">
        <f>'数据-取费表'!B34</f>
        <v>0.05</v>
      </c>
      <c r="G13" s="8" t="s">
        <v>2479</v>
      </c>
      <c r="H13" s="967"/>
      <c r="I13" s="967"/>
      <c r="J13" s="967"/>
      <c r="K13" s="968"/>
    </row>
    <row r="14" spans="1:33" s="976" customFormat="1" ht="13.5" customHeight="1">
      <c r="A14" s="970" t="s">
        <v>1332</v>
      </c>
      <c r="B14" s="971" t="s">
        <v>2480</v>
      </c>
      <c r="C14" s="24">
        <f ca="1">ROUND(D14*E14*F11/10000,1)</f>
        <v>304.39999999999998</v>
      </c>
      <c r="D14" s="1032">
        <f ca="1">IF(C1="",'数据-汇总表'!E3,INDIRECT("'数据-取费表'!K"&amp;$K$1)+INDIRECT("'数据-取费表'!S"&amp;$K$1))</f>
        <v>43490.38</v>
      </c>
      <c r="E14" s="24">
        <f>'数据-取费表'!B35</f>
        <v>200</v>
      </c>
      <c r="F14" s="975"/>
      <c r="G14" s="8" t="s">
        <v>2481</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2482</v>
      </c>
      <c r="C15" s="2964">
        <f ca="1">ROUND(C11*F15,1)</f>
        <v>68.5</v>
      </c>
      <c r="D15" s="977"/>
      <c r="E15" s="982"/>
      <c r="F15" s="983">
        <f>'数据-取费表'!B36</f>
        <v>1.4999999999999999E-2</v>
      </c>
      <c r="G15" s="140" t="s">
        <v>2483</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2484</v>
      </c>
      <c r="C16" s="982">
        <f ca="1">SUM(C11:C15)</f>
        <v>5299.5999999999995</v>
      </c>
      <c r="D16" s="977"/>
      <c r="E16" s="982"/>
      <c r="F16" s="983"/>
      <c r="G16" s="140"/>
      <c r="H16" s="1575"/>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2485</v>
      </c>
      <c r="C17" s="24">
        <f ca="1">ROUND(D17*E17/10000,0)</f>
        <v>565</v>
      </c>
      <c r="D17" s="1032">
        <f ca="1">D14</f>
        <v>43490.38</v>
      </c>
      <c r="E17" s="24">
        <f>'数据-取费表'!B32</f>
        <v>130</v>
      </c>
      <c r="F17" s="977"/>
      <c r="G17" s="140" t="s">
        <v>2486</v>
      </c>
      <c r="H17" s="1575"/>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2487</v>
      </c>
      <c r="C18" s="24">
        <f ca="1">C19+C20-IF(C1="",'数据-取费表'!B29,IF(G18="已全部缴纳",C19+C20,H18))</f>
        <v>0</v>
      </c>
      <c r="D18" s="1032"/>
      <c r="E18" s="24"/>
      <c r="F18" s="975"/>
      <c r="G18" s="2543"/>
      <c r="H18" s="1574"/>
      <c r="I18" s="2544" t="s">
        <v>2488</v>
      </c>
      <c r="J18" s="978"/>
      <c r="K18" s="979"/>
    </row>
    <row r="19" spans="1:33" s="974" customFormat="1" ht="13.5" customHeight="1">
      <c r="A19" s="970" t="s">
        <v>805</v>
      </c>
      <c r="B19" s="971" t="s">
        <v>2489</v>
      </c>
      <c r="C19" s="24">
        <f ca="1">ROUND(D19*E19/10000,0)</f>
        <v>378</v>
      </c>
      <c r="D19" s="1032">
        <f ca="1">IF(C1="",'数据-汇总表'!E5,IF(INDIRECT("'数据-取费表'!c"&amp;$K$1)="住宅",INDIRECT("'数据-取费表'!k"&amp;$K$1),0))</f>
        <v>25219.909999999996</v>
      </c>
      <c r="E19" s="24">
        <f>'数据-取费表'!B27</f>
        <v>150</v>
      </c>
      <c r="F19" s="975"/>
      <c r="G19" s="15"/>
      <c r="H19" s="1576"/>
      <c r="I19" s="980"/>
      <c r="J19" s="980"/>
      <c r="K19" s="981"/>
    </row>
    <row r="20" spans="1:33" s="974" customFormat="1" ht="13.5" customHeight="1">
      <c r="A20" s="970" t="s">
        <v>806</v>
      </c>
      <c r="B20" s="971" t="s">
        <v>2490</v>
      </c>
      <c r="C20" s="24">
        <f ca="1">ROUND(D20*E20/10000,0)</f>
        <v>347</v>
      </c>
      <c r="D20" s="1032">
        <f ca="1">IF(C1="",'数据-汇总表'!E6,IF(INDIRECT("'数据-取费表'!c"&amp;$K$1)="住宅",INDIRECT("'数据-取费表'!s"&amp;$K$1),INDIRECT("'数据-取费表'!k"&amp;$K$1)+INDIRECT("'数据-取费表'!s"&amp;$K$1)))</f>
        <v>18270.47</v>
      </c>
      <c r="E20" s="24">
        <f>'数据-取费表'!B28</f>
        <v>190</v>
      </c>
      <c r="F20" s="975"/>
      <c r="G20" s="15"/>
      <c r="H20" s="980"/>
      <c r="I20" s="980"/>
      <c r="J20" s="980"/>
      <c r="K20" s="981"/>
    </row>
    <row r="21" spans="1:33" s="974" customFormat="1" ht="13.5" customHeight="1">
      <c r="A21" s="960" t="s">
        <v>802</v>
      </c>
      <c r="B21" s="984" t="s">
        <v>2491</v>
      </c>
      <c r="C21" s="985">
        <f ca="1">C16+C17+C18</f>
        <v>5864.5999999999995</v>
      </c>
      <c r="D21" s="986"/>
      <c r="E21" s="325"/>
      <c r="F21" s="325"/>
      <c r="G21" s="140" t="s">
        <v>2492</v>
      </c>
      <c r="H21" s="978"/>
      <c r="I21" s="978"/>
      <c r="J21" s="978"/>
      <c r="K21" s="979"/>
    </row>
    <row r="22" spans="1:33" s="974" customFormat="1" ht="13.5" customHeight="1">
      <c r="A22" s="960" t="s">
        <v>2464</v>
      </c>
      <c r="B22" s="984" t="s">
        <v>2493</v>
      </c>
      <c r="C22" s="2965">
        <f ca="1">ROUND(C21*F22,1)</f>
        <v>117.3</v>
      </c>
      <c r="D22" s="325"/>
      <c r="E22" s="325"/>
      <c r="F22" s="987">
        <f>'数据-取费表'!B37</f>
        <v>0.02</v>
      </c>
      <c r="G22" s="8" t="s">
        <v>2494</v>
      </c>
      <c r="H22" s="967"/>
      <c r="I22" s="967"/>
      <c r="J22" s="967"/>
      <c r="K22" s="968"/>
    </row>
    <row r="23" spans="1:33" s="974" customFormat="1" ht="13.5" customHeight="1">
      <c r="A23" s="960" t="s">
        <v>2466</v>
      </c>
      <c r="B23" s="984" t="s">
        <v>2495</v>
      </c>
      <c r="C23" s="2965">
        <f ca="1">ROUND(C4*F23*F11,1)</f>
        <v>751.8</v>
      </c>
      <c r="D23" s="325"/>
      <c r="E23" s="325"/>
      <c r="F23" s="987">
        <f>'数据-取费表'!B38</f>
        <v>0.02</v>
      </c>
      <c r="G23" s="8" t="s">
        <v>2496</v>
      </c>
      <c r="H23" s="967"/>
      <c r="I23" s="967"/>
      <c r="J23" s="967"/>
      <c r="K23" s="968"/>
    </row>
    <row r="24" spans="1:33" s="974" customFormat="1" ht="13.5" customHeight="1">
      <c r="A24" s="960" t="s">
        <v>2497</v>
      </c>
      <c r="B24" s="984" t="s">
        <v>2498</v>
      </c>
      <c r="C24" s="324">
        <f>ROUND(F24/(1+'数据-取费表'!C42),4)</f>
        <v>2.9000000000000001E-2</v>
      </c>
      <c r="D24" s="325" t="s">
        <v>15</v>
      </c>
      <c r="E24" s="325"/>
      <c r="F24" s="987">
        <f>IF(项目基本情况!B8="出让",0,'数据-取费表'!B48+'数据-取费表'!B49)</f>
        <v>3.0499999999999999E-2</v>
      </c>
      <c r="G24" s="8" t="s">
        <v>2499</v>
      </c>
      <c r="H24" s="989"/>
      <c r="I24" s="989"/>
      <c r="J24" s="989"/>
      <c r="K24" s="990"/>
    </row>
    <row r="25" spans="1:33" s="974" customFormat="1" ht="13.5" customHeight="1">
      <c r="A25" s="960" t="s">
        <v>2500</v>
      </c>
      <c r="B25" s="986" t="s">
        <v>2501</v>
      </c>
      <c r="C25" s="2966">
        <f ca="1">C27</f>
        <v>110.26</v>
      </c>
      <c r="D25" s="324">
        <f ca="1">C26</f>
        <v>3.4000000000000002E-2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2502</v>
      </c>
      <c r="C26" s="1355">
        <f ca="1">ROUND(IF('数据-取费表'!B22&lt;=1,(1+C24)*F25*'数据-取费表'!B24,(1+C24)*(POWER((1+F25),'数据-取费表'!B24)-1)),4)</f>
        <v>3.4000000000000002E-2</v>
      </c>
      <c r="D26" s="328"/>
      <c r="E26" s="329"/>
      <c r="F26" s="330"/>
      <c r="G26" s="2545"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2503</v>
      </c>
      <c r="C27" s="2176">
        <f ca="1">ROUND(IF('数据-取费表'!B22&lt;=1,(C21+C22+C23)*F25*'数据-取费表'!B24/2,(C21+C22+C23)*(POWER((1+F25),'数据-取费表'!B24/2)-1)),2)</f>
        <v>110.26</v>
      </c>
      <c r="D27" s="328"/>
      <c r="E27" s="329"/>
      <c r="F27" s="330"/>
      <c r="G27" s="2545" t="str">
        <f>IF('数据-取费表'!B22&lt;=1,"（1）-（3）项×年利率×建设期÷2","（1）-（3）项×((1+年利率)^(建设期÷2)-1)")</f>
        <v>（1）-（3）项×((1+年利率)^(建设期÷2)-1)</v>
      </c>
      <c r="H27" s="978"/>
      <c r="I27" s="978"/>
      <c r="J27" s="978"/>
      <c r="K27" s="979"/>
    </row>
    <row r="28" spans="1:33" s="333" customFormat="1" ht="13.5" customHeight="1">
      <c r="A28" s="960" t="s">
        <v>2504</v>
      </c>
      <c r="B28" s="2546" t="s">
        <v>2505</v>
      </c>
      <c r="C28" s="331">
        <f ca="1">C30</f>
        <v>808.04</v>
      </c>
      <c r="D28" s="324">
        <f ca="1">C29</f>
        <v>4.3200000000000002E-2</v>
      </c>
      <c r="E28" s="326" t="s">
        <v>15</v>
      </c>
      <c r="F28" s="332">
        <f ca="1">IF(C1="",'数据-取费表'!Q16,INDIRECT("'数据-取费表'!q"&amp;$K$1))</f>
        <v>0.12</v>
      </c>
      <c r="G28" s="988"/>
      <c r="H28" s="989"/>
      <c r="I28" s="989"/>
      <c r="J28" s="989"/>
      <c r="K28" s="990"/>
    </row>
    <row r="29" spans="1:33" s="335" customFormat="1" ht="13.5" customHeight="1">
      <c r="A29" s="970" t="s">
        <v>803</v>
      </c>
      <c r="B29" s="993" t="s">
        <v>2506</v>
      </c>
      <c r="C29" s="328">
        <f ca="1">ROUND((1+C24)*F28*'数据-取费表'!B24/'数据-取费表'!B20,4)</f>
        <v>4.3200000000000002E-2</v>
      </c>
      <c r="D29" s="328"/>
      <c r="E29" s="329"/>
      <c r="F29" s="334"/>
      <c r="G29" s="140" t="s">
        <v>2507</v>
      </c>
      <c r="H29" s="978"/>
      <c r="I29" s="978"/>
      <c r="J29" s="978"/>
      <c r="K29" s="979"/>
    </row>
    <row r="30" spans="1:33" s="335" customFormat="1" ht="13.5" customHeight="1">
      <c r="A30" s="970" t="s">
        <v>804</v>
      </c>
      <c r="B30" s="993" t="s">
        <v>2508</v>
      </c>
      <c r="C30" s="2967">
        <f ca="1">ROUND((C21+C22+C23)*F28,2)</f>
        <v>808.04</v>
      </c>
      <c r="D30" s="328"/>
      <c r="E30" s="329"/>
      <c r="F30" s="334"/>
      <c r="G30" s="140"/>
      <c r="H30" s="978"/>
      <c r="I30" s="978"/>
      <c r="J30" s="978"/>
      <c r="K30" s="979"/>
    </row>
    <row r="31" spans="1:33" s="974" customFormat="1" ht="13.5" customHeight="1" thickBot="1">
      <c r="A31" s="2547" t="s">
        <v>2509</v>
      </c>
      <c r="B31" s="1004" t="s">
        <v>2510</v>
      </c>
      <c r="C31" s="1005">
        <f ca="1">ROUND(C4*F31/(1+'数据-取费表'!C42),0)</f>
        <v>5625</v>
      </c>
      <c r="D31" s="1006"/>
      <c r="E31" s="1007"/>
      <c r="F31" s="1008">
        <f>'数据-取费表'!B41</f>
        <v>5.5000000000000007E-2</v>
      </c>
      <c r="G31" s="1009" t="s">
        <v>2511</v>
      </c>
      <c r="H31" s="1010"/>
      <c r="I31" s="1010"/>
      <c r="J31" s="1010"/>
      <c r="K31" s="1011"/>
    </row>
    <row r="32" spans="1:33" s="969" customFormat="1" ht="13.5" customHeight="1" thickBot="1">
      <c r="A32" s="999" t="s">
        <v>2512</v>
      </c>
      <c r="B32" s="1000"/>
      <c r="C32" s="1001">
        <f ca="1">ROUND((C4-C21-C22-C23-C25-C28-C31)/(1+C24+D25+D28),0)</f>
        <v>85082</v>
      </c>
      <c r="D32" s="1000"/>
      <c r="E32" s="1000"/>
      <c r="F32" s="1000"/>
      <c r="G32" s="1002" t="s">
        <v>2513</v>
      </c>
      <c r="H32" s="1000"/>
      <c r="I32" s="1000"/>
      <c r="J32" s="1000"/>
      <c r="K32" s="1003"/>
    </row>
    <row r="34" ht="12.75" customHeight="1"/>
  </sheetData>
  <sheetProtection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K40" sqref="K40"/>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3" customWidth="1"/>
    <col min="12" max="12" width="16.375" style="302" customWidth="1"/>
    <col min="13" max="13" width="13" style="302"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2"/>
  </cols>
  <sheetData>
    <row r="1" spans="1:37" s="336" customFormat="1" ht="21">
      <c r="A1" s="1822" t="s">
        <v>1583</v>
      </c>
      <c r="B1" s="781"/>
      <c r="C1" s="1826" t="s">
        <v>3349</v>
      </c>
      <c r="D1" s="1809" t="s">
        <v>3073</v>
      </c>
      <c r="E1" s="1810" t="s">
        <v>1381</v>
      </c>
      <c r="F1" s="1282">
        <f ca="1">J53</f>
        <v>47.89</v>
      </c>
      <c r="G1" s="1825">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2" t="s">
        <v>1509</v>
      </c>
      <c r="B2" s="1833">
        <f ca="1">C40+J29+L46</f>
        <v>1026</v>
      </c>
      <c r="C2" s="1834" t="s">
        <v>1510</v>
      </c>
      <c r="D2" s="1834"/>
      <c r="E2" s="1835"/>
      <c r="F2" s="1836"/>
      <c r="G2" s="1837"/>
      <c r="H2" s="1829"/>
      <c r="I2" s="1829"/>
      <c r="J2" s="1829"/>
      <c r="K2" s="1830"/>
      <c r="L2" s="1829"/>
      <c r="M2" s="1829"/>
    </row>
    <row r="3" spans="1:37" ht="18" customHeight="1" thickBot="1">
      <c r="A3" s="1838" t="s">
        <v>1511</v>
      </c>
      <c r="B3" s="1839">
        <f ca="1">IF(ISERROR(B2*10000/F43),0,ROUND(B2*10000/F43,0))</f>
        <v>2157</v>
      </c>
      <c r="C3" s="1834" t="s">
        <v>1512</v>
      </c>
      <c r="D3" s="1834"/>
      <c r="E3" s="1835"/>
      <c r="F3" s="1836"/>
      <c r="G3" s="1837"/>
      <c r="H3" s="743" t="s">
        <v>1582</v>
      </c>
      <c r="I3" s="1829"/>
      <c r="J3" s="1829"/>
      <c r="K3" s="1830"/>
      <c r="L3" s="1829"/>
      <c r="M3" s="1829"/>
    </row>
    <row r="4" spans="1:37" ht="18" customHeight="1">
      <c r="A4" s="339" t="s">
        <v>1390</v>
      </c>
      <c r="B4" s="340" t="s">
        <v>1391</v>
      </c>
      <c r="C4" s="340" t="s">
        <v>1392</v>
      </c>
      <c r="D4" s="340" t="s">
        <v>1393</v>
      </c>
      <c r="E4" s="341" t="s">
        <v>1394</v>
      </c>
      <c r="F4" s="342"/>
      <c r="G4" s="1840"/>
      <c r="H4" s="339" t="s">
        <v>1390</v>
      </c>
      <c r="I4" s="340" t="s">
        <v>1391</v>
      </c>
      <c r="J4" s="340" t="s">
        <v>1392</v>
      </c>
      <c r="K4" s="340" t="s">
        <v>1393</v>
      </c>
      <c r="L4" s="341" t="s">
        <v>1394</v>
      </c>
      <c r="M4" s="342"/>
    </row>
    <row r="5" spans="1:37" ht="18" customHeight="1">
      <c r="A5" s="343">
        <v>1</v>
      </c>
      <c r="B5" s="344" t="s">
        <v>1395</v>
      </c>
      <c r="C5" s="1291">
        <f ca="1">C6+C10+C12</f>
        <v>87</v>
      </c>
      <c r="D5" s="1811" t="s">
        <v>1396</v>
      </c>
      <c r="E5" s="1292"/>
      <c r="F5" s="1293"/>
      <c r="G5" s="1840"/>
      <c r="H5" s="343">
        <v>1</v>
      </c>
      <c r="I5" s="344" t="s">
        <v>1395</v>
      </c>
      <c r="J5" s="1291">
        <f ca="1">J6+J10+J12</f>
        <v>0</v>
      </c>
      <c r="K5" s="1811" t="s">
        <v>1396</v>
      </c>
      <c r="L5" s="1292"/>
      <c r="M5" s="1293"/>
    </row>
    <row r="6" spans="1:37" ht="18" customHeight="1">
      <c r="A6" s="1290" t="s">
        <v>1031</v>
      </c>
      <c r="B6" s="3183" t="s">
        <v>1397</v>
      </c>
      <c r="C6" s="1295">
        <f ca="1">ROUND(F6*F8*F7*(1-F9)/10000,0)</f>
        <v>87</v>
      </c>
      <c r="D6" s="164" t="s">
        <v>3027</v>
      </c>
      <c r="E6" s="346" t="s">
        <v>1399</v>
      </c>
      <c r="F6" s="347">
        <f ca="1">INDIRECT("'数据-取费表'!u"&amp;$G$1)</f>
        <v>600</v>
      </c>
      <c r="G6" s="1840"/>
      <c r="H6" s="1290" t="s">
        <v>1031</v>
      </c>
      <c r="I6" s="3183" t="s">
        <v>1397</v>
      </c>
      <c r="J6" s="345">
        <f ca="1">ROUND(M6*M8*M7*(1-M9)/10000,0)</f>
        <v>0</v>
      </c>
      <c r="K6" s="164" t="s">
        <v>3026</v>
      </c>
      <c r="L6" s="346" t="s">
        <v>1399</v>
      </c>
      <c r="M6" s="347">
        <f ca="1">INDIRECT("'数据-取费表'!z"&amp;$G$1)</f>
        <v>0</v>
      </c>
    </row>
    <row r="7" spans="1:37" ht="18" customHeight="1">
      <c r="A7" s="1294"/>
      <c r="B7" s="3184"/>
      <c r="C7" s="1296"/>
      <c r="D7" s="351"/>
      <c r="E7" s="1297" t="s">
        <v>1400</v>
      </c>
      <c r="F7" s="347">
        <f ca="1">IF(INDIRECT("'数据-取费表'!ah"&amp;$G$1)="",INDIRECT("'数据-取费表'!k"&amp;$G$1),INDIRECT("'数据-取费表'!ah"&amp;$G$1))</f>
        <v>135</v>
      </c>
      <c r="G7" s="1840"/>
      <c r="H7" s="348"/>
      <c r="I7" s="3184"/>
      <c r="J7" s="350"/>
      <c r="K7" s="351"/>
      <c r="L7" s="346" t="s">
        <v>1400</v>
      </c>
      <c r="M7" s="347">
        <f ca="1">F7</f>
        <v>135</v>
      </c>
    </row>
    <row r="8" spans="1:37" ht="18" customHeight="1">
      <c r="A8" s="348"/>
      <c r="B8" s="3184"/>
      <c r="C8" s="350"/>
      <c r="D8" s="351"/>
      <c r="E8" s="346" t="s">
        <v>1401</v>
      </c>
      <c r="F8" s="347">
        <f ca="1">INDIRECT("'数据-取费表'!ai"&amp;$G$1)</f>
        <v>12</v>
      </c>
      <c r="G8" s="1840"/>
      <c r="H8" s="348"/>
      <c r="I8" s="3184"/>
      <c r="J8" s="350"/>
      <c r="K8" s="351"/>
      <c r="L8" s="346" t="s">
        <v>1401</v>
      </c>
      <c r="M8" s="347">
        <f ca="1">INDIRECT("'数据-取费表'!ai"&amp;$G$1)</f>
        <v>12</v>
      </c>
    </row>
    <row r="9" spans="1:37" ht="18" customHeight="1">
      <c r="A9" s="348"/>
      <c r="B9" s="3185"/>
      <c r="C9" s="350"/>
      <c r="D9" s="351"/>
      <c r="E9" s="346" t="s">
        <v>1402</v>
      </c>
      <c r="F9" s="356">
        <f ca="1">INDIRECT("'数据-取费表'!w"&amp;$G$1)</f>
        <v>0.1</v>
      </c>
      <c r="G9" s="1840"/>
      <c r="H9" s="348"/>
      <c r="I9" s="3185"/>
      <c r="J9" s="350"/>
      <c r="K9" s="351"/>
      <c r="L9" s="357" t="s">
        <v>1402</v>
      </c>
      <c r="M9" s="358">
        <f ca="1">INDIRECT("'数据-取费表'!ab"&amp;$G$1)</f>
        <v>0</v>
      </c>
    </row>
    <row r="10" spans="1:37" ht="18" customHeight="1">
      <c r="A10" s="1290" t="s">
        <v>1035</v>
      </c>
      <c r="B10" s="1812" t="s">
        <v>1403</v>
      </c>
      <c r="C10" s="360">
        <f ca="1">ROUND(IF(F10="押一",C6/12*F11,IF(F10="押二",C6/12*2*F11,IF(F10="押三",C6/12*3*F11,C11*F11))),0)</f>
        <v>0</v>
      </c>
      <c r="D10" s="1813" t="s">
        <v>3036</v>
      </c>
      <c r="E10" s="357" t="s">
        <v>1404</v>
      </c>
      <c r="F10" s="1363" t="s">
        <v>3352</v>
      </c>
      <c r="G10" s="1840"/>
      <c r="H10" s="1290" t="s">
        <v>1035</v>
      </c>
      <c r="I10" s="1812" t="s">
        <v>1403</v>
      </c>
      <c r="J10" s="345">
        <f ca="1">ROUND(IF(M10="押一",J6/12*M11,IF(M10="押二",J6/12*2*M11,IF(M10="押三",J6/12*3*M11,J11*M11))),0)</f>
        <v>0</v>
      </c>
      <c r="K10" s="1813" t="s">
        <v>3035</v>
      </c>
      <c r="L10" s="357" t="s">
        <v>1404</v>
      </c>
      <c r="M10" s="1363" t="s">
        <v>1405</v>
      </c>
    </row>
    <row r="11" spans="1:37" ht="18" customHeight="1">
      <c r="A11" s="352"/>
      <c r="B11" s="1814" t="s">
        <v>1382</v>
      </c>
      <c r="C11" s="1177"/>
      <c r="D11" s="1815"/>
      <c r="E11" s="357" t="s">
        <v>1406</v>
      </c>
      <c r="F11" s="358">
        <f ca="1">'数据-取费表'!B39</f>
        <v>1.4999999999999999E-2</v>
      </c>
      <c r="G11" s="1840"/>
      <c r="H11" s="1298"/>
      <c r="I11" s="1814" t="s">
        <v>1382</v>
      </c>
      <c r="J11" s="1177"/>
      <c r="K11" s="747"/>
      <c r="L11" s="357" t="s">
        <v>1406</v>
      </c>
      <c r="M11" s="1055">
        <f ca="1">'数据-取费表'!B39</f>
        <v>1.4999999999999999E-2</v>
      </c>
    </row>
    <row r="12" spans="1:37" ht="18" customHeight="1" thickBot="1">
      <c r="A12" s="1332" t="s">
        <v>1071</v>
      </c>
      <c r="B12" s="1816" t="s">
        <v>1407</v>
      </c>
      <c r="C12" s="1333"/>
      <c r="D12" s="1334"/>
      <c r="E12" s="1339"/>
      <c r="F12" s="1335"/>
      <c r="G12" s="1840"/>
      <c r="H12" s="1332" t="s">
        <v>1071</v>
      </c>
      <c r="I12" s="1816"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40"/>
      <c r="H13" s="1328">
        <v>2</v>
      </c>
      <c r="I13" s="1329" t="s">
        <v>1408</v>
      </c>
      <c r="J13" s="1289">
        <f ca="1">ROUND(J14*J15,0)</f>
        <v>0</v>
      </c>
      <c r="K13" s="1336" t="s">
        <v>1409</v>
      </c>
      <c r="L13" s="1841"/>
      <c r="M13" s="1842"/>
    </row>
    <row r="14" spans="1:37" ht="18" customHeight="1">
      <c r="A14" s="1200" t="s">
        <v>1030</v>
      </c>
      <c r="B14" s="346" t="s">
        <v>1411</v>
      </c>
      <c r="C14" s="362">
        <f ca="1">INDIRECT("'数据-取费表'!m"&amp;$G$1)+INDIRECT("'数据-取费表'!t"&amp;$G$1)</f>
        <v>1427</v>
      </c>
      <c r="D14" s="1789" t="s">
        <v>1412</v>
      </c>
      <c r="E14" s="1783"/>
      <c r="F14" s="363"/>
      <c r="G14" s="1840"/>
      <c r="H14" s="1200" t="s">
        <v>1031</v>
      </c>
      <c r="I14" s="346" t="s">
        <v>1413</v>
      </c>
      <c r="J14" s="24">
        <f ca="1">C29</f>
        <v>1952</v>
      </c>
      <c r="K14" s="15"/>
      <c r="L14" s="978"/>
      <c r="M14" s="979"/>
    </row>
    <row r="15" spans="1:37" s="1847" customFormat="1" ht="18" customHeight="1" thickBot="1">
      <c r="A15" s="1200" t="s">
        <v>1032</v>
      </c>
      <c r="B15" s="346" t="s">
        <v>1414</v>
      </c>
      <c r="C15" s="24">
        <f ca="1">ROUND(C14*F15,0)</f>
        <v>71</v>
      </c>
      <c r="D15" s="364" t="s">
        <v>1415</v>
      </c>
      <c r="E15" s="364" t="s">
        <v>1416</v>
      </c>
      <c r="F15" s="365">
        <f>'数据-取费表'!B33</f>
        <v>0.05</v>
      </c>
      <c r="G15" s="1843"/>
      <c r="H15" s="1338" t="s">
        <v>1035</v>
      </c>
      <c r="I15" s="1339" t="s">
        <v>1410</v>
      </c>
      <c r="J15" s="1348">
        <f ca="1">INDIRECT("'数据-取费表'!ad"&amp;$G$1)</f>
        <v>0</v>
      </c>
      <c r="K15" s="1349"/>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200" t="s">
        <v>1383</v>
      </c>
      <c r="B16" s="346" t="s">
        <v>1417</v>
      </c>
      <c r="C16" s="24">
        <f ca="1">ROUND(INDIRECT("'数据-取费表'!m"&amp;$G$1)*F16,0)</f>
        <v>0</v>
      </c>
      <c r="D16" s="346" t="s">
        <v>1415</v>
      </c>
      <c r="E16" s="346" t="s">
        <v>1416</v>
      </c>
      <c r="F16" s="366">
        <f ca="1">IF(INDIRECT("'数据-取费表'!c"&amp;$G$1)="住宅",'数据-取费表'!B34,0)</f>
        <v>0</v>
      </c>
      <c r="G16" s="1840"/>
      <c r="H16" s="1328" t="s">
        <v>1026</v>
      </c>
      <c r="I16" s="1329" t="s">
        <v>1418</v>
      </c>
      <c r="J16" s="354">
        <f ca="1">ROUND(J17+J22+J23+J24,0)</f>
        <v>46</v>
      </c>
      <c r="K16" s="1336" t="s">
        <v>1419</v>
      </c>
      <c r="L16" s="1337"/>
      <c r="M16" s="1293"/>
    </row>
    <row r="17" spans="1:37" s="1847" customFormat="1" ht="18" customHeight="1">
      <c r="A17" s="1200" t="s">
        <v>1384</v>
      </c>
      <c r="B17" s="346" t="s">
        <v>1420</v>
      </c>
      <c r="C17" s="24">
        <f ca="1">ROUND(F17*(F43+INDIRECT("'数据-取费表'!S"&amp;$G$1))/10000,0)</f>
        <v>95</v>
      </c>
      <c r="D17" s="346" t="s">
        <v>1421</v>
      </c>
      <c r="E17" s="346" t="s">
        <v>1422</v>
      </c>
      <c r="F17" s="26">
        <f>'数据-取费表'!B35</f>
        <v>200</v>
      </c>
      <c r="G17" s="1843"/>
      <c r="H17" s="1200" t="s">
        <v>1031</v>
      </c>
      <c r="I17" s="346" t="s">
        <v>1423</v>
      </c>
      <c r="J17" s="24">
        <f ca="1">ROUND(IF(项目基本情况!B11="自然人",J6*M17/(1+'数据-取费表'!C42),J18+J19+J20),1)</f>
        <v>16.8</v>
      </c>
      <c r="K17" s="1789" t="s">
        <v>1424</v>
      </c>
      <c r="L17" s="1787" t="s">
        <v>1425</v>
      </c>
      <c r="M17" s="367"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200" t="s">
        <v>1385</v>
      </c>
      <c r="B18" s="346" t="s">
        <v>1426</v>
      </c>
      <c r="C18" s="24">
        <f ca="1">ROUND(C14*F18,0)</f>
        <v>21</v>
      </c>
      <c r="D18" s="346" t="s">
        <v>1415</v>
      </c>
      <c r="E18" s="346" t="s">
        <v>1416</v>
      </c>
      <c r="F18" s="366">
        <f>'数据-取费表'!B36</f>
        <v>1.4999999999999999E-2</v>
      </c>
      <c r="G18" s="1843"/>
      <c r="H18" s="1200" t="s">
        <v>1030</v>
      </c>
      <c r="I18" s="346" t="s">
        <v>1427</v>
      </c>
      <c r="J18" s="24">
        <f ca="1">ROUND(J6*M18/(1+'数据-取费表'!C42),2)</f>
        <v>0</v>
      </c>
      <c r="K18" s="1787" t="s">
        <v>1428</v>
      </c>
      <c r="L18" s="346" t="s">
        <v>1416</v>
      </c>
      <c r="M18" s="366">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200" t="s">
        <v>1031</v>
      </c>
      <c r="B19" s="346" t="s">
        <v>1429</v>
      </c>
      <c r="C19" s="24">
        <f ca="1">SUM(C14:C18)</f>
        <v>1614</v>
      </c>
      <c r="D19" s="140" t="s">
        <v>1430</v>
      </c>
      <c r="E19" s="1807"/>
      <c r="F19" s="26"/>
      <c r="G19" s="1840"/>
      <c r="H19" s="1200" t="s">
        <v>1032</v>
      </c>
      <c r="I19" s="346" t="s">
        <v>1431</v>
      </c>
      <c r="J19" s="24">
        <f ca="1">IF(K19="按租金收入计税",ROUND(J6*M19/(1+'数据-取费表'!C42),2),ROUND(C29*M19*0.7,2))</f>
        <v>16.399999999999999</v>
      </c>
      <c r="K19" s="1817" t="s">
        <v>1432</v>
      </c>
      <c r="L19" s="346" t="s">
        <v>1416</v>
      </c>
      <c r="M19" s="366">
        <f>IF(K19="按租金收入计税",'数据-取费表'!B51,'数据-取费表'!B50)</f>
        <v>1.2E-2</v>
      </c>
    </row>
    <row r="20" spans="1:37" s="1847" customFormat="1" ht="18" customHeight="1">
      <c r="A20" s="1200" t="s">
        <v>1035</v>
      </c>
      <c r="B20" s="346" t="s">
        <v>1433</v>
      </c>
      <c r="C20" s="24">
        <f ca="1">ROUND(C19*F20,0)</f>
        <v>32</v>
      </c>
      <c r="D20" s="368" t="s">
        <v>1434</v>
      </c>
      <c r="E20" s="346" t="s">
        <v>1416</v>
      </c>
      <c r="F20" s="366">
        <f>'数据-取费表'!B37</f>
        <v>0.02</v>
      </c>
      <c r="G20" s="1843"/>
      <c r="H20" s="1200" t="s">
        <v>1383</v>
      </c>
      <c r="I20" s="164" t="s">
        <v>1435</v>
      </c>
      <c r="J20" s="25">
        <f ca="1">ROUND(M20*M21/10000,2)</f>
        <v>0.37</v>
      </c>
      <c r="K20" s="369" t="s">
        <v>1436</v>
      </c>
      <c r="L20" s="346" t="s">
        <v>1437</v>
      </c>
      <c r="M20" s="370">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200" t="s">
        <v>1071</v>
      </c>
      <c r="B21" s="346" t="s">
        <v>1438</v>
      </c>
      <c r="C21" s="24" t="s">
        <v>18</v>
      </c>
      <c r="D21" s="368" t="s">
        <v>1439</v>
      </c>
      <c r="E21" s="346" t="s">
        <v>1440</v>
      </c>
      <c r="F21" s="366">
        <f>'数据-取费表'!B38</f>
        <v>0.02</v>
      </c>
      <c r="G21" s="1843"/>
      <c r="H21" s="371"/>
      <c r="I21" s="355"/>
      <c r="J21" s="29"/>
      <c r="K21" s="372"/>
      <c r="L21" s="346" t="s">
        <v>1441</v>
      </c>
      <c r="M21" s="347">
        <f ca="1">INDIRECT("'数据-取费表'!r"&amp;$G$1)</f>
        <v>2457.4899999999998</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200" t="s">
        <v>1386</v>
      </c>
      <c r="B22" s="346" t="s">
        <v>1442</v>
      </c>
      <c r="C22" s="24"/>
      <c r="D22" s="140" t="str">
        <f>IF(F23&lt;=1,"单利计息。","复利计息。")&amp;"建造成本、管理费用、销售费用产生的利息。"</f>
        <v>复利计息。建造成本、管理费用、销售费用产生的利息。</v>
      </c>
      <c r="E22" s="1807"/>
      <c r="F22" s="26"/>
      <c r="G22" s="1840"/>
      <c r="H22" s="1200" t="s">
        <v>1035</v>
      </c>
      <c r="I22" s="346" t="s">
        <v>1443</v>
      </c>
      <c r="J22" s="24">
        <f ca="1">ROUND(J14*M22,1)</f>
        <v>29.3</v>
      </c>
      <c r="K22" s="1787" t="s">
        <v>1444</v>
      </c>
      <c r="L22" s="346" t="s">
        <v>1416</v>
      </c>
      <c r="M22" s="373">
        <f ca="1">INDIRECT("'数据-取费表'!Ak"&amp;$G$1)</f>
        <v>1.4999999999999999E-2</v>
      </c>
    </row>
    <row r="23" spans="1:37" s="1847" customFormat="1" ht="18" customHeight="1">
      <c r="A23" s="1200" t="s">
        <v>1030</v>
      </c>
      <c r="B23" s="346" t="s">
        <v>1445</v>
      </c>
      <c r="C23" s="24">
        <f ca="1">IF('数据-取费表'!B22&lt;=1,ROUND(C19*F24*F23/2,0)+ROUND(C20*F24*F23/2,0),ROUND(C19*(POWER((1+F24),F23/2)-1),0)+ROUND(C20*(POWER((1+F24),F23/2)-1),0))</f>
        <v>79</v>
      </c>
      <c r="D23" s="374" t="str">
        <f>IF(F23&lt;=1,"(建造成本+管理费用)×利率×(建设周期÷2)","(建造成本+管理费用)×((1+利率)^(建设周期÷2)-1)")</f>
        <v>(建造成本+管理费用)×((1+利率)^(建设周期÷2)-1)</v>
      </c>
      <c r="E23" s="346" t="s">
        <v>1446</v>
      </c>
      <c r="F23" s="370">
        <f>'数据-取费表'!B20</f>
        <v>2</v>
      </c>
      <c r="G23" s="1843"/>
      <c r="H23" s="1200" t="s">
        <v>1071</v>
      </c>
      <c r="I23" s="346" t="s">
        <v>1447</v>
      </c>
      <c r="J23" s="24">
        <f ca="1">ROUND(J13*M23,1)</f>
        <v>0</v>
      </c>
      <c r="K23" s="1787" t="s">
        <v>1448</v>
      </c>
      <c r="L23" s="346" t="s">
        <v>1449</v>
      </c>
      <c r="M23" s="375">
        <f ca="1">INDIRECT("'数据-取费表'!Al"&amp;$G$1)</f>
        <v>1.5E-3</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200" t="s">
        <v>1450</v>
      </c>
      <c r="B24" s="346" t="s">
        <v>1451</v>
      </c>
      <c r="C24" s="24">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43"/>
      <c r="H24" s="1338" t="s">
        <v>1387</v>
      </c>
      <c r="I24" s="1339" t="s">
        <v>1433</v>
      </c>
      <c r="J24" s="1340">
        <f ca="1">ROUND(J5*M24,1)</f>
        <v>0</v>
      </c>
      <c r="K24" s="1341" t="s">
        <v>1453</v>
      </c>
      <c r="L24" s="1339" t="s">
        <v>1449</v>
      </c>
      <c r="M24" s="1335">
        <f ca="1">INDIRECT("'数据-取费表'!Am"&amp;$G$1)</f>
        <v>1.4999999999999999E-2</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200" t="s">
        <v>1454</v>
      </c>
      <c r="B25" s="346" t="s">
        <v>1455</v>
      </c>
      <c r="C25" s="24"/>
      <c r="D25" s="140" t="s">
        <v>1456</v>
      </c>
      <c r="E25" s="1807"/>
      <c r="F25" s="26"/>
      <c r="G25" s="1840"/>
      <c r="H25" s="1328" t="s">
        <v>1027</v>
      </c>
      <c r="I25" s="1343" t="s">
        <v>1457</v>
      </c>
      <c r="J25" s="354">
        <f ca="1">J5-J16</f>
        <v>-46</v>
      </c>
      <c r="K25" s="1344" t="s">
        <v>1458</v>
      </c>
      <c r="L25" s="1345"/>
      <c r="M25" s="1346"/>
    </row>
    <row r="26" spans="1:37">
      <c r="A26" s="1200" t="s">
        <v>1030</v>
      </c>
      <c r="B26" s="346" t="s">
        <v>1459</v>
      </c>
      <c r="C26" s="24">
        <f ca="1">ROUND((C19+C20)*F26,0)</f>
        <v>82</v>
      </c>
      <c r="D26" s="368" t="s">
        <v>1460</v>
      </c>
      <c r="E26" s="357" t="s">
        <v>1461</v>
      </c>
      <c r="F26" s="356">
        <f ca="1">INDIRECT("'数据-取费表'!q"&amp;$G$1)</f>
        <v>0.05</v>
      </c>
      <c r="G26" s="1840"/>
      <c r="H26" s="343" t="s">
        <v>1028</v>
      </c>
      <c r="I26" s="344" t="s">
        <v>1462</v>
      </c>
      <c r="J26" s="345">
        <f ca="1">IF(J5&lt;&gt;0,ROUND(J25*(1-((1+M28)/(1+M26))^M27)/(M26-M28),0),0)</f>
        <v>0</v>
      </c>
      <c r="K26" s="369" t="s">
        <v>1463</v>
      </c>
      <c r="L26" s="346" t="s">
        <v>1464</v>
      </c>
      <c r="M26" s="356">
        <f ca="1">INDIRECT("'数据-取费表'!I"&amp;$G$1)</f>
        <v>0.05</v>
      </c>
    </row>
    <row r="27" spans="1:37" ht="18" customHeight="1">
      <c r="A27" s="1200" t="s">
        <v>1032</v>
      </c>
      <c r="B27" s="346" t="s">
        <v>1465</v>
      </c>
      <c r="C27" s="24">
        <f ca="1">ROUND(F21*F26,4)</f>
        <v>1E-3</v>
      </c>
      <c r="D27" s="368" t="s">
        <v>1466</v>
      </c>
      <c r="E27" s="364"/>
      <c r="F27" s="365"/>
      <c r="G27" s="1840"/>
      <c r="H27" s="348"/>
      <c r="I27" s="349"/>
      <c r="J27" s="350"/>
      <c r="K27" s="377" t="s">
        <v>1467</v>
      </c>
      <c r="L27" s="346" t="s">
        <v>1468</v>
      </c>
      <c r="M27" s="378">
        <f ca="1">INDIRECT("'数据-取费表'!ag"&amp;$G$1)</f>
        <v>0</v>
      </c>
    </row>
    <row r="28" spans="1:37" s="1847" customFormat="1" ht="18" customHeight="1">
      <c r="A28" s="1200" t="s">
        <v>1033</v>
      </c>
      <c r="B28" s="346" t="s">
        <v>1469</v>
      </c>
      <c r="C28" s="24">
        <f>ROUND(F28/(1+'数据-取费表'!C42),4)</f>
        <v>5.2400000000000002E-2</v>
      </c>
      <c r="D28" s="368" t="s">
        <v>1470</v>
      </c>
      <c r="E28" s="346" t="s">
        <v>1416</v>
      </c>
      <c r="F28" s="366">
        <f>'数据-取费表'!B41</f>
        <v>5.5000000000000007E-2</v>
      </c>
      <c r="G28" s="1843"/>
      <c r="H28" s="352"/>
      <c r="I28" s="353"/>
      <c r="J28" s="354"/>
      <c r="K28" s="372"/>
      <c r="L28" s="346" t="s">
        <v>1471</v>
      </c>
      <c r="M28" s="356">
        <f ca="1">INDIRECT("'数据-取费表'!aa"&amp;$G$1)</f>
        <v>0</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38" t="s">
        <v>1034</v>
      </c>
      <c r="B29" s="1339" t="s">
        <v>1472</v>
      </c>
      <c r="C29" s="1340">
        <f ca="1">ROUND((C19+C20+C23+C26)/(1-F21-C24-C27-C28),0)</f>
        <v>1952</v>
      </c>
      <c r="D29" s="1341"/>
      <c r="E29" s="1339"/>
      <c r="F29" s="1342"/>
      <c r="G29" s="1843"/>
      <c r="H29" s="379" t="s">
        <v>1029</v>
      </c>
      <c r="I29" s="380" t="s">
        <v>1473</v>
      </c>
      <c r="J29" s="381">
        <f ca="1">ROUND(J26/(1+F40)^F41,0)</f>
        <v>0</v>
      </c>
      <c r="K29" s="382" t="s">
        <v>1474</v>
      </c>
      <c r="L29" s="383"/>
      <c r="M29" s="384">
        <f ca="1">INDIRECT("'数据-取费表'!k"&amp;$G$1)</f>
        <v>4756.67</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28" t="s">
        <v>1026</v>
      </c>
      <c r="B30" s="1329" t="s">
        <v>1418</v>
      </c>
      <c r="C30" s="354">
        <f ca="1">ROUND(C31+C36+C37+C38,0)</f>
        <v>46</v>
      </c>
      <c r="D30" s="1336" t="s">
        <v>1419</v>
      </c>
      <c r="E30" s="1337"/>
      <c r="F30" s="1293"/>
      <c r="G30" s="1840"/>
      <c r="H30" s="744"/>
      <c r="I30" s="745"/>
      <c r="J30" s="746"/>
      <c r="K30" s="747"/>
      <c r="L30" s="748"/>
      <c r="M30" s="749"/>
    </row>
    <row r="31" spans="1:37" ht="18" customHeight="1">
      <c r="A31" s="1200" t="s">
        <v>1031</v>
      </c>
      <c r="B31" s="346" t="s">
        <v>1423</v>
      </c>
      <c r="C31" s="24">
        <f ca="1">ROUND(IF(项目基本情况!B11="自然人",C6*F31/(1+'数据-取费表'!C42),C32+C33+C34),1)</f>
        <v>14.9</v>
      </c>
      <c r="D31" s="1789" t="s">
        <v>1424</v>
      </c>
      <c r="E31" s="1787" t="s">
        <v>1475</v>
      </c>
      <c r="F31" s="367" t="str">
        <f ca="1">IF(项目基本情况!B11="企业","",IF(INDIRECT("'数据-取费表'!c"&amp;$G$1)="住宅",5%,IF(F6*F7*F8/12/(1+'数据-取费表'!C42)&gt;20000,12%,7%)))</f>
        <v/>
      </c>
      <c r="G31" s="1840"/>
      <c r="H31" s="744"/>
      <c r="I31" s="745"/>
      <c r="J31" s="746"/>
      <c r="K31" s="747"/>
      <c r="L31" s="748"/>
      <c r="M31" s="749"/>
    </row>
    <row r="32" spans="1:37" ht="18" customHeight="1">
      <c r="A32" s="1200" t="s">
        <v>1030</v>
      </c>
      <c r="B32" s="346" t="s">
        <v>1427</v>
      </c>
      <c r="C32" s="24">
        <f ca="1">IF(项目基本情况!B11="自然人","——",ROUND(C6*F32/(1+'数据-取费表'!C42),2))</f>
        <v>4.5599999999999996</v>
      </c>
      <c r="D32" s="1787" t="s">
        <v>1428</v>
      </c>
      <c r="E32" s="346" t="s">
        <v>1416</v>
      </c>
      <c r="F32" s="376">
        <f>'数据-取费表'!B41</f>
        <v>5.5000000000000007E-2</v>
      </c>
      <c r="G32" s="1840"/>
      <c r="H32" s="744"/>
      <c r="I32" s="745"/>
      <c r="J32" s="746"/>
      <c r="K32" s="747"/>
      <c r="L32" s="748"/>
      <c r="M32" s="749"/>
    </row>
    <row r="33" spans="1:18" ht="18" customHeight="1">
      <c r="A33" s="1200" t="s">
        <v>1032</v>
      </c>
      <c r="B33" s="346" t="s">
        <v>1431</v>
      </c>
      <c r="C33" s="24">
        <f ca="1">IF(项目基本情况!B11="自然人","——",IF(D33="按租金收入计税",ROUND(C6*F33/(1+'数据-取费表'!C42),2),IF(D33="按房产原值计税",ROUND(C29*F33*0.7,2),INDIRECT("'数据-取费表'!Aj"&amp;$G$1))))</f>
        <v>9.94</v>
      </c>
      <c r="D33" s="1817" t="s">
        <v>3075</v>
      </c>
      <c r="E33" s="346" t="s">
        <v>1416</v>
      </c>
      <c r="F33" s="366">
        <f>IF(D33="按票据","——",IF(D33="按租金收入计税",'数据-取费表'!B51,'数据-取费表'!B50))</f>
        <v>0.12</v>
      </c>
      <c r="G33" s="1840"/>
      <c r="H33" s="1848"/>
      <c r="I33" s="1849"/>
      <c r="J33" s="1850"/>
      <c r="K33" s="1851"/>
      <c r="L33" s="1848"/>
      <c r="M33" s="1848"/>
    </row>
    <row r="34" spans="1:18" ht="18" customHeight="1">
      <c r="A34" s="1290" t="s">
        <v>1383</v>
      </c>
      <c r="B34" s="164" t="s">
        <v>1435</v>
      </c>
      <c r="C34" s="25">
        <f ca="1">IF(项目基本情况!B11="自然人","——",ROUND(F34*F35/10000,2))</f>
        <v>0.37</v>
      </c>
      <c r="D34" s="369" t="s">
        <v>1436</v>
      </c>
      <c r="E34" s="346" t="s">
        <v>1437</v>
      </c>
      <c r="F34" s="370">
        <f>'数据-取费表'!B52</f>
        <v>1.5</v>
      </c>
      <c r="G34" s="1840"/>
      <c r="H34" s="744"/>
      <c r="I34" s="1849"/>
      <c r="J34" s="1850"/>
      <c r="K34" s="1852"/>
      <c r="L34" s="1853"/>
      <c r="M34" s="1853"/>
    </row>
    <row r="35" spans="1:18" ht="18" customHeight="1">
      <c r="A35" s="1352"/>
      <c r="B35" s="1350"/>
      <c r="C35" s="29"/>
      <c r="D35" s="372"/>
      <c r="E35" s="346" t="s">
        <v>1441</v>
      </c>
      <c r="F35" s="347">
        <f ca="1">INDIRECT("'数据-取费表'!r"&amp;$G$1)</f>
        <v>2457.4899999999998</v>
      </c>
      <c r="G35" s="1840"/>
      <c r="H35" s="744"/>
      <c r="I35" s="1849"/>
      <c r="J35" s="1850"/>
      <c r="K35" s="1851"/>
      <c r="L35" s="1848"/>
      <c r="M35" s="1848"/>
    </row>
    <row r="36" spans="1:18" ht="18" customHeight="1">
      <c r="A36" s="1351" t="s">
        <v>1035</v>
      </c>
      <c r="B36" s="346" t="s">
        <v>1443</v>
      </c>
      <c r="C36" s="24">
        <f ca="1">ROUND(C29*F36,1)</f>
        <v>29.3</v>
      </c>
      <c r="D36" s="1787" t="s">
        <v>1476</v>
      </c>
      <c r="E36" s="346" t="s">
        <v>1416</v>
      </c>
      <c r="F36" s="373">
        <f ca="1">INDIRECT("'数据-取费表'!Ak"&amp;$G$1)</f>
        <v>1.4999999999999999E-2</v>
      </c>
      <c r="G36" s="1840"/>
      <c r="H36" s="1848"/>
      <c r="I36" s="1849"/>
      <c r="J36" s="1850"/>
      <c r="K36" s="750"/>
      <c r="L36" s="1848"/>
      <c r="M36" s="1848"/>
    </row>
    <row r="37" spans="1:18" ht="18" customHeight="1">
      <c r="A37" s="1200" t="s">
        <v>1071</v>
      </c>
      <c r="B37" s="346" t="s">
        <v>1447</v>
      </c>
      <c r="C37" s="24">
        <f ca="1">ROUND(C13*F37,1)</f>
        <v>0</v>
      </c>
      <c r="D37" s="1787" t="s">
        <v>1448</v>
      </c>
      <c r="E37" s="346" t="s">
        <v>1449</v>
      </c>
      <c r="F37" s="375">
        <f ca="1">INDIRECT("'数据-取费表'!Al"&amp;$G$1)</f>
        <v>1.5E-3</v>
      </c>
      <c r="G37" s="1840"/>
      <c r="H37" s="1848"/>
      <c r="I37" s="1849"/>
      <c r="J37" s="1850"/>
      <c r="K37" s="750"/>
      <c r="L37" s="1848"/>
      <c r="M37" s="1848"/>
    </row>
    <row r="38" spans="1:18" ht="18" customHeight="1" thickBot="1">
      <c r="A38" s="1338" t="s">
        <v>1387</v>
      </c>
      <c r="B38" s="1339" t="s">
        <v>1433</v>
      </c>
      <c r="C38" s="1340">
        <f ca="1">ROUND(C5*F38,1)</f>
        <v>1.3</v>
      </c>
      <c r="D38" s="1341" t="s">
        <v>1453</v>
      </c>
      <c r="E38" s="1339" t="s">
        <v>1449</v>
      </c>
      <c r="F38" s="1335">
        <f ca="1">INDIRECT("'数据-取费表'!Am"&amp;$G$1)</f>
        <v>1.4999999999999999E-2</v>
      </c>
      <c r="G38" s="1840"/>
      <c r="H38" s="1848"/>
      <c r="I38" s="1849"/>
      <c r="J38" s="1850"/>
      <c r="K38" s="1854"/>
      <c r="L38" s="1848"/>
      <c r="M38" s="1848"/>
    </row>
    <row r="39" spans="1:18" ht="24.6" customHeight="1" thickTop="1">
      <c r="A39" s="1328" t="s">
        <v>1027</v>
      </c>
      <c r="B39" s="1343" t="s">
        <v>1477</v>
      </c>
      <c r="C39" s="354">
        <f ca="1">C5-C30</f>
        <v>41</v>
      </c>
      <c r="D39" s="1344" t="s">
        <v>1478</v>
      </c>
      <c r="E39" s="1345"/>
      <c r="F39" s="1346"/>
      <c r="G39" s="1840"/>
      <c r="H39" s="1848"/>
      <c r="I39" s="1849"/>
      <c r="J39" s="1850"/>
      <c r="K39" s="1854"/>
      <c r="L39" s="1848"/>
      <c r="M39" s="1848"/>
    </row>
    <row r="40" spans="1:18" ht="18" customHeight="1">
      <c r="A40" s="343" t="s">
        <v>1028</v>
      </c>
      <c r="B40" s="344" t="s">
        <v>1479</v>
      </c>
      <c r="C40" s="345">
        <f ca="1">ROUND(C39*(1-((1+F42)/(1+F40))^F41)/(F40-F42),0)</f>
        <v>1026</v>
      </c>
      <c r="D40" s="369" t="s">
        <v>1463</v>
      </c>
      <c r="E40" s="346" t="s">
        <v>1464</v>
      </c>
      <c r="F40" s="356">
        <f ca="1">INDIRECT("'数据-取费表'!I"&amp;$G$1)</f>
        <v>0.05</v>
      </c>
      <c r="G40" s="1840"/>
      <c r="H40" s="1828"/>
      <c r="I40" s="1849"/>
      <c r="J40" s="1850"/>
      <c r="K40" s="1854"/>
      <c r="L40" s="1828"/>
      <c r="M40" s="1828"/>
    </row>
    <row r="41" spans="1:18" ht="18" customHeight="1">
      <c r="A41" s="348"/>
      <c r="B41" s="349"/>
      <c r="C41" s="350"/>
      <c r="D41" s="377" t="s">
        <v>1480</v>
      </c>
      <c r="E41" s="346" t="s">
        <v>1468</v>
      </c>
      <c r="F41" s="378">
        <f ca="1">IF(INDIRECT("'数据-取费表'!af"&amp;$G$1)=0,INDIRECT("'数据-取费表'!ae"&amp;$G$1),INDIRECT("'数据-取费表'!af"&amp;$G$1))</f>
        <v>47.89</v>
      </c>
      <c r="G41" s="1840"/>
      <c r="H41" s="731"/>
      <c r="I41" s="1849"/>
      <c r="J41" s="1850"/>
      <c r="K41" s="750"/>
      <c r="L41" s="731"/>
      <c r="M41" s="731"/>
    </row>
    <row r="42" spans="1:18" ht="18" customHeight="1">
      <c r="A42" s="352"/>
      <c r="B42" s="353"/>
      <c r="C42" s="354"/>
      <c r="D42" s="372"/>
      <c r="E42" s="346" t="s">
        <v>1471</v>
      </c>
      <c r="F42" s="356">
        <f ca="1">INDIRECT("'数据-取费表'!v"&amp;$G$1)</f>
        <v>0.02</v>
      </c>
      <c r="G42" s="1840"/>
      <c r="H42" s="731"/>
      <c r="I42" s="1849"/>
      <c r="J42" s="1850"/>
      <c r="K42" s="750"/>
      <c r="L42" s="731"/>
      <c r="M42" s="731"/>
    </row>
    <row r="43" spans="1:18" ht="18" customHeight="1" thickBot="1">
      <c r="A43" s="379" t="s">
        <v>1029</v>
      </c>
      <c r="B43" s="380" t="s">
        <v>1481</v>
      </c>
      <c r="C43" s="381">
        <f ca="1">ROUND(C40*10000/F43,0)</f>
        <v>2157</v>
      </c>
      <c r="D43" s="382" t="s">
        <v>1482</v>
      </c>
      <c r="E43" s="383" t="s">
        <v>1483</v>
      </c>
      <c r="F43" s="384">
        <f ca="1">INDIRECT("'数据-取费表'!k"&amp;$G$1)</f>
        <v>4756.67</v>
      </c>
      <c r="G43" s="1840"/>
      <c r="H43" s="731"/>
      <c r="I43" s="731"/>
      <c r="J43" s="731"/>
      <c r="K43" s="750"/>
      <c r="L43" s="731"/>
      <c r="M43" s="731"/>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5"/>
      <c r="O45" s="1858" t="s">
        <v>1513</v>
      </c>
      <c r="P45" s="1828"/>
      <c r="Q45" s="1828"/>
      <c r="R45" s="1828"/>
    </row>
    <row r="46" spans="1:18" s="1831" customFormat="1" ht="13.5" thickBot="1">
      <c r="A46" s="1859" t="s">
        <v>1514</v>
      </c>
      <c r="C46" s="1860">
        <f ca="1">C68-C40</f>
        <v>-4531</v>
      </c>
      <c r="D46" s="1861" t="str">
        <f>C2</f>
        <v>万元</v>
      </c>
      <c r="E46" s="1855"/>
      <c r="F46" s="1855"/>
      <c r="I46" s="1862" t="s">
        <v>1515</v>
      </c>
      <c r="J46" s="1863"/>
      <c r="K46" s="1864"/>
      <c r="L46" s="1865" t="str">
        <f ca="1">IF(M47="住宅",0,IF(L48&gt;J51,L60,J60))</f>
        <v>0</v>
      </c>
      <c r="O46" s="1866" t="s">
        <v>1516</v>
      </c>
      <c r="P46" s="1867" t="s">
        <v>1517</v>
      </c>
      <c r="Q46" s="1868" t="s">
        <v>1518</v>
      </c>
      <c r="R46" s="1868" t="s">
        <v>1519</v>
      </c>
    </row>
    <row r="47" spans="1:18" s="1831" customFormat="1" ht="13.5" thickBot="1">
      <c r="A47" s="1164" t="s">
        <v>1390</v>
      </c>
      <c r="B47" s="1196" t="s">
        <v>1391</v>
      </c>
      <c r="C47" s="1364" t="s">
        <v>1392</v>
      </c>
      <c r="D47" s="1196" t="s">
        <v>1393</v>
      </c>
      <c r="E47" s="1278" t="s">
        <v>1394</v>
      </c>
      <c r="F47" s="1279"/>
      <c r="G47" s="791"/>
      <c r="I47" s="1869" t="s">
        <v>1520</v>
      </c>
      <c r="J47" s="1870" t="s">
        <v>3076</v>
      </c>
      <c r="K47" s="1871" t="s">
        <v>1521</v>
      </c>
      <c r="L47" s="1872">
        <f ca="1">INDIRECT("'数据-取费表'!d"&amp;$G$1)</f>
        <v>50</v>
      </c>
      <c r="M47" s="1827" t="str">
        <f>IF(ISNUMBER(FIND("住宅",C1)),"住宅","非住宅")</f>
        <v>非住宅</v>
      </c>
      <c r="O47" s="1873" t="s">
        <v>1036</v>
      </c>
      <c r="P47" s="1874" t="s">
        <v>1522</v>
      </c>
      <c r="Q47" s="1875">
        <f ca="1">C40+J29</f>
        <v>1026</v>
      </c>
      <c r="R47" s="1875" t="s">
        <v>1523</v>
      </c>
    </row>
    <row r="48" spans="1:18" s="1831" customFormat="1" ht="28.5" thickBot="1">
      <c r="A48" s="1357" t="s">
        <v>1131</v>
      </c>
      <c r="B48" s="344" t="s">
        <v>1395</v>
      </c>
      <c r="C48" s="1806">
        <f ca="1">C49+C53+C55</f>
        <v>0</v>
      </c>
      <c r="D48" s="1359"/>
      <c r="E48" s="1360"/>
      <c r="F48" s="1180"/>
      <c r="G48" s="791"/>
      <c r="H48" s="792"/>
      <c r="I48" s="1876" t="s">
        <v>1524</v>
      </c>
      <c r="J48" s="1877" t="s">
        <v>3077</v>
      </c>
      <c r="K48" s="1878" t="s">
        <v>1525</v>
      </c>
      <c r="L48" s="1879">
        <f ca="1">INDIRECT("'数据-取费表'!f"&amp;$G$1)</f>
        <v>48.59</v>
      </c>
      <c r="O48" s="1873" t="s">
        <v>1037</v>
      </c>
      <c r="P48" s="1874" t="s">
        <v>1526</v>
      </c>
      <c r="Q48" s="1875" t="str">
        <f ca="1">J60</f>
        <v>0</v>
      </c>
      <c r="R48" s="1875" t="s">
        <v>1527</v>
      </c>
    </row>
    <row r="49" spans="1:18" s="1831" customFormat="1" ht="13.5" thickBot="1">
      <c r="A49" s="1193" t="s">
        <v>1132</v>
      </c>
      <c r="B49" s="1818" t="s">
        <v>1484</v>
      </c>
      <c r="C49" s="1361">
        <f ca="1">ROUND(F49*F51*F50*(1-F52)/10000,0)</f>
        <v>0</v>
      </c>
      <c r="D49" s="1275" t="s">
        <v>3028</v>
      </c>
      <c r="E49" s="1819" t="s">
        <v>1485</v>
      </c>
      <c r="F49" s="1280"/>
      <c r="G49" s="1880"/>
      <c r="H49" s="792"/>
      <c r="I49" s="1876" t="s">
        <v>1528</v>
      </c>
      <c r="J49" s="1881">
        <v>2021</v>
      </c>
      <c r="K49" s="1878" t="s">
        <v>1529</v>
      </c>
      <c r="L49" s="1882"/>
      <c r="O49" s="1883" t="s">
        <v>1038</v>
      </c>
      <c r="P49" s="1874" t="s">
        <v>1530</v>
      </c>
      <c r="Q49" s="1875">
        <f ca="1">C29</f>
        <v>1952</v>
      </c>
      <c r="R49" s="1875" t="s">
        <v>1523</v>
      </c>
    </row>
    <row r="50" spans="1:18" s="1831" customFormat="1" ht="13.5" thickBot="1">
      <c r="A50" s="1194"/>
      <c r="B50" s="1197"/>
      <c r="C50" s="1365"/>
      <c r="D50" s="1171"/>
      <c r="E50" s="1276" t="s">
        <v>1400</v>
      </c>
      <c r="F50" s="1277">
        <f ca="1">F7</f>
        <v>135</v>
      </c>
      <c r="H50" s="792"/>
      <c r="I50" s="1876" t="s">
        <v>1531</v>
      </c>
      <c r="J50" s="1884">
        <f>SUMPRODUCT((I63:I65=J47)*(J62:L62=J48)*(J63:L65))</f>
        <v>60</v>
      </c>
      <c r="K50" s="1878" t="s">
        <v>1532</v>
      </c>
      <c r="L50" s="1882"/>
      <c r="M50" s="1885"/>
      <c r="O50" s="1883" t="s">
        <v>1039</v>
      </c>
      <c r="P50" s="1874" t="s">
        <v>1533</v>
      </c>
      <c r="Q50" s="1886" t="e">
        <f ca="1">J58</f>
        <v>#VALUE!</v>
      </c>
      <c r="R50" s="1875"/>
    </row>
    <row r="51" spans="1:18" s="1831" customFormat="1" ht="13.5" thickBot="1">
      <c r="A51" s="1195"/>
      <c r="B51" s="1197"/>
      <c r="C51" s="1198"/>
      <c r="D51" s="1171"/>
      <c r="E51" s="1199" t="s">
        <v>1401</v>
      </c>
      <c r="F51" s="347">
        <f ca="1">F8</f>
        <v>12</v>
      </c>
      <c r="I51" s="1887" t="s">
        <v>1534</v>
      </c>
      <c r="J51" s="1888">
        <f>IF(J49="",J50,J49+J50-YEAR('数据-取费表'!B2))</f>
        <v>61</v>
      </c>
      <c r="K51" s="1889" t="s">
        <v>1535</v>
      </c>
      <c r="L51" s="1890">
        <f ca="1">ROUND(-PV(INDIRECT("'数据-取费表'!h"&amp;$G$1),J51,(C39-C13*C76),0),0)</f>
        <v>849</v>
      </c>
      <c r="M51" s="1891"/>
      <c r="O51" s="1883" t="s">
        <v>1040</v>
      </c>
      <c r="P51" s="1874" t="s">
        <v>1536</v>
      </c>
      <c r="Q51" s="1886">
        <f>J52</f>
        <v>0.09</v>
      </c>
      <c r="R51" s="1875"/>
    </row>
    <row r="52" spans="1:18" s="1831" customFormat="1" ht="13.5" thickBot="1">
      <c r="A52" s="1195"/>
      <c r="B52" s="1197"/>
      <c r="C52" s="1198"/>
      <c r="D52" s="1171"/>
      <c r="E52" s="1199" t="s">
        <v>1402</v>
      </c>
      <c r="F52" s="1274"/>
      <c r="I52" s="1892" t="s">
        <v>1537</v>
      </c>
      <c r="J52" s="1893">
        <v>0.09</v>
      </c>
      <c r="K52" s="1892" t="s">
        <v>1538</v>
      </c>
      <c r="L52" s="1893"/>
      <c r="O52" s="1883" t="s">
        <v>1041</v>
      </c>
      <c r="P52" s="1874" t="s">
        <v>1539</v>
      </c>
      <c r="Q52" s="1875">
        <f ca="1">J53</f>
        <v>47.89</v>
      </c>
      <c r="R52" s="1875" t="s">
        <v>1540</v>
      </c>
    </row>
    <row r="53" spans="1:18" s="1831" customFormat="1" ht="24.75" thickBot="1">
      <c r="A53" s="1402" t="s">
        <v>1133</v>
      </c>
      <c r="B53" s="1820" t="s">
        <v>1403</v>
      </c>
      <c r="C53" s="360">
        <f ca="1">ROUND(IF(F53="押一",C49/12*F11,IF(F53="押二",C49/12*2*F11,IF(F53="押三",C49/12*3*F11,C54*F11))),0)</f>
        <v>0</v>
      </c>
      <c r="D53" s="1813" t="s">
        <v>3035</v>
      </c>
      <c r="E53" s="357" t="s">
        <v>1404</v>
      </c>
      <c r="F53" s="1363"/>
      <c r="I53" s="1894" t="s">
        <v>1541</v>
      </c>
      <c r="J53" s="2935">
        <f ca="1">IF(M47="住宅",IF(D1="——",MAX(J51,L48),MAX(J51,L48-'数据-取费表'!B24)),IF(D1="——",MIN(J51,L48),MIN(J51,L48-'数据-取费表'!B24)))</f>
        <v>47.89</v>
      </c>
      <c r="K53" s="3181" t="s">
        <v>1542</v>
      </c>
      <c r="L53" s="3182"/>
      <c r="O53" s="1873" t="s">
        <v>1042</v>
      </c>
      <c r="P53" s="1874" t="s">
        <v>1543</v>
      </c>
      <c r="Q53" s="1875">
        <f ca="1">Q47+Q48</f>
        <v>1026</v>
      </c>
      <c r="R53" s="1875" t="s">
        <v>1043</v>
      </c>
    </row>
    <row r="54" spans="1:18" s="1831" customFormat="1" ht="13.5" thickBot="1">
      <c r="A54" s="1403"/>
      <c r="B54" s="1814" t="s">
        <v>1382</v>
      </c>
      <c r="C54" s="1177"/>
      <c r="D54" s="1813"/>
      <c r="E54" s="1821"/>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80"/>
      <c r="O54" s="1858" t="s">
        <v>1544</v>
      </c>
      <c r="P54" s="1828"/>
      <c r="Q54" s="1828"/>
      <c r="R54" s="1828"/>
    </row>
    <row r="55" spans="1:18" s="1831" customFormat="1" ht="13.5" thickBot="1">
      <c r="A55" s="1332" t="s">
        <v>1071</v>
      </c>
      <c r="B55" s="1816" t="s">
        <v>1407</v>
      </c>
      <c r="C55" s="1333"/>
      <c r="D55" s="1813"/>
      <c r="E55" s="1821"/>
      <c r="F55" s="1895"/>
      <c r="I55" s="1898" t="s">
        <v>1545</v>
      </c>
      <c r="J55" s="1899" t="e">
        <f ca="1">ROUND(IF(J47="钢混",J57/J50,1-(1-2%)*(J50-J57)/J50),3)</f>
        <v>#VALUE!</v>
      </c>
      <c r="K55" s="1900" t="s">
        <v>1546</v>
      </c>
      <c r="L55" s="1901" t="s">
        <v>1547</v>
      </c>
      <c r="O55" s="1866" t="s">
        <v>1516</v>
      </c>
      <c r="P55" s="1867" t="s">
        <v>1517</v>
      </c>
      <c r="Q55" s="1868" t="s">
        <v>1518</v>
      </c>
      <c r="R55" s="1868" t="s">
        <v>1519</v>
      </c>
    </row>
    <row r="56" spans="1:18" s="1831" customFormat="1" ht="25.5" thickTop="1" thickBot="1">
      <c r="A56" s="1175">
        <v>2</v>
      </c>
      <c r="B56" s="1176" t="s">
        <v>1408</v>
      </c>
      <c r="C56" s="276">
        <f ca="1">C13</f>
        <v>0</v>
      </c>
      <c r="D56" s="1902"/>
      <c r="E56" s="1903"/>
      <c r="F56" s="1895"/>
      <c r="I56" s="1904" t="s">
        <v>1548</v>
      </c>
      <c r="J56" s="1905" t="s">
        <v>3069</v>
      </c>
      <c r="K56" s="1876" t="s">
        <v>1549</v>
      </c>
      <c r="L56" s="1879" t="str">
        <f ca="1">IF(L48&lt;J51,"——",L48-J53)</f>
        <v>——</v>
      </c>
      <c r="O56" s="1873" t="s">
        <v>1036</v>
      </c>
      <c r="P56" s="1874" t="s">
        <v>1522</v>
      </c>
      <c r="Q56" s="1875">
        <f ca="1">C40+J29</f>
        <v>1026</v>
      </c>
      <c r="R56" s="1875" t="s">
        <v>1523</v>
      </c>
    </row>
    <row r="57" spans="1:18" s="1831" customFormat="1" ht="24.75" thickBot="1">
      <c r="A57" s="1906"/>
      <c r="B57" s="1168" t="s">
        <v>1472</v>
      </c>
      <c r="C57" s="282">
        <f ca="1">C29</f>
        <v>1952</v>
      </c>
      <c r="D57" s="1907"/>
      <c r="E57" s="1908"/>
      <c r="F57" s="1909"/>
      <c r="I57" s="1910" t="s">
        <v>1550</v>
      </c>
      <c r="J57" s="1911" t="str">
        <f ca="1">IF(OR(M47="住宅",J51&lt;L48,J56="是"),"——",J51-L48)</f>
        <v>——</v>
      </c>
      <c r="K57" s="1876" t="s">
        <v>1551</v>
      </c>
      <c r="L57" s="1879" t="str">
        <f ca="1">IF(L48&lt;J51,"——",IF(L55="比较法",L49,IF(L55="基准地价",L50,L51)))</f>
        <v>——</v>
      </c>
      <c r="O57" s="1873" t="s">
        <v>1037</v>
      </c>
      <c r="P57" s="1874" t="s">
        <v>1552</v>
      </c>
      <c r="Q57" s="1875">
        <f ca="1">L60</f>
        <v>0</v>
      </c>
      <c r="R57" s="1875" t="s">
        <v>1553</v>
      </c>
    </row>
    <row r="58" spans="1:18" s="1831" customFormat="1" ht="24.75" thickBot="1">
      <c r="A58" s="359" t="s">
        <v>1026</v>
      </c>
      <c r="B58" s="1176" t="s">
        <v>1418</v>
      </c>
      <c r="C58" s="360">
        <f ca="1">ROUND(C59+C64+C65+C66,0)</f>
        <v>194</v>
      </c>
      <c r="D58" s="1178" t="s">
        <v>1419</v>
      </c>
      <c r="E58" s="1179"/>
      <c r="F58" s="1180"/>
      <c r="I58" s="1910" t="s">
        <v>1554</v>
      </c>
      <c r="J58" s="1912" t="e">
        <f ca="1">IF(J55&lt;0.4,0.4,J55)</f>
        <v>#VALUE!</v>
      </c>
      <c r="K58" s="1889" t="s">
        <v>1555</v>
      </c>
      <c r="L58" s="1879" t="e">
        <f ca="1">ROUND(POWER(1+L52,L47-L48)*(POWER(1+L52,L48)-1)/(POWER(1+L52,L47)-1),4)</f>
        <v>#DIV/0!</v>
      </c>
      <c r="O58" s="1883" t="s">
        <v>1038</v>
      </c>
      <c r="P58" s="1874" t="s">
        <v>1556</v>
      </c>
      <c r="Q58" s="1875">
        <f>IF(L55="比较法",L49,IF(L55="基准地价",L50,0))</f>
        <v>0</v>
      </c>
      <c r="R58" s="1875" t="s">
        <v>1523</v>
      </c>
    </row>
    <row r="59" spans="1:18" s="1831" customFormat="1" ht="24.75" thickBot="1">
      <c r="A59" s="1200" t="s">
        <v>1031</v>
      </c>
      <c r="B59" s="1168" t="s">
        <v>1423</v>
      </c>
      <c r="C59" s="24">
        <f ca="1">ROUND(IF(项目基本情况!B11="自然人",C48*F59,C60+C61+C62),1)</f>
        <v>164.3</v>
      </c>
      <c r="D59" s="1181" t="s">
        <v>1424</v>
      </c>
      <c r="E59" s="1182" t="s">
        <v>1425</v>
      </c>
      <c r="F59" s="367" t="str">
        <f ca="1">IF(项目基本情况!B11="企业","",IF(INDIRECT("'数据-取费表'!c"&amp;$G$1)="住宅",5%,IF(F49*F50*F51/12/(1+'数据-取费表'!C42)&gt;20000,12%,7%)))</f>
        <v/>
      </c>
      <c r="I59" s="1910" t="s">
        <v>1557</v>
      </c>
      <c r="J59" s="1911" t="str">
        <f ca="1">IF(OR(M47="住宅",J51&lt;L48,J56="是"),"——",ROUND(C29*J58,0))</f>
        <v>——</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3" t="s">
        <v>1039</v>
      </c>
      <c r="P59" s="1874" t="s">
        <v>1558</v>
      </c>
      <c r="Q59" s="1886">
        <f>L52</f>
        <v>0</v>
      </c>
      <c r="R59" s="1875"/>
    </row>
    <row r="60" spans="1:18" s="1831" customFormat="1" ht="16.5" thickBot="1">
      <c r="A60" s="1200" t="s">
        <v>1030</v>
      </c>
      <c r="B60" s="1168" t="s">
        <v>1427</v>
      </c>
      <c r="C60" s="24">
        <f ca="1">IF(项目基本情况!B11="自然人","——",ROUND(C48*F60/(1+'数据-取费表'!C42),2))</f>
        <v>0</v>
      </c>
      <c r="D60" s="1182" t="s">
        <v>1428</v>
      </c>
      <c r="E60" s="1168" t="s">
        <v>1416</v>
      </c>
      <c r="F60" s="376">
        <f t="shared" ref="F60:F66" si="0">F32</f>
        <v>5.5000000000000007E-2</v>
      </c>
      <c r="I60" s="1913" t="s">
        <v>1559</v>
      </c>
      <c r="J60" s="1914" t="str">
        <f ca="1">IF(OR(M47="住宅",J51&lt;L48,J56="是"),"0",ROUND(J59/(1+J52)^J53,0))</f>
        <v>0</v>
      </c>
      <c r="K60" s="1915" t="s">
        <v>1560</v>
      </c>
      <c r="L60" s="1914">
        <f ca="1">IF(OR(M47="住宅",L48&lt;J51),0,ROUND(L57*(L58/L59-1),0))</f>
        <v>0</v>
      </c>
      <c r="O60" s="1883" t="s">
        <v>1040</v>
      </c>
      <c r="P60" s="1874" t="s">
        <v>1561</v>
      </c>
      <c r="Q60" s="1875" t="e">
        <f ca="1">L58</f>
        <v>#DIV/0!</v>
      </c>
      <c r="R60" s="1875" t="s">
        <v>1562</v>
      </c>
    </row>
    <row r="61" spans="1:18" s="1831" customFormat="1" ht="13.5" thickBot="1">
      <c r="A61" s="1200" t="s">
        <v>1486</v>
      </c>
      <c r="B61" s="1168" t="s">
        <v>1487</v>
      </c>
      <c r="C61" s="24">
        <f ca="1">IF(项目基本情况!B11="自然人","——",IF(D61="按租金收入计税",ROUND(C48*F61,2),IF(D61="按房产原值计税",ROUND(C57*F61*0.7,2),INDIRECT("'数据-取费表'!Aj"&amp;$G$1))))</f>
        <v>163.97</v>
      </c>
      <c r="D61" s="1817" t="s">
        <v>1432</v>
      </c>
      <c r="E61" s="1168" t="s">
        <v>1488</v>
      </c>
      <c r="F61" s="366">
        <f t="shared" si="0"/>
        <v>0.12</v>
      </c>
      <c r="I61" s="1916"/>
      <c r="J61" s="1916"/>
      <c r="K61" s="1916"/>
      <c r="L61" s="1916"/>
      <c r="O61" s="1883" t="s">
        <v>1041</v>
      </c>
      <c r="P61" s="1874" t="str">
        <f>K59</f>
        <v>续建工期及建筑物耐用年限下的土地年期修正系数Kn</v>
      </c>
      <c r="Q61" s="1875" t="e">
        <f ca="1">L59</f>
        <v>#DIV/0!</v>
      </c>
      <c r="R61" s="1875" t="s">
        <v>1563</v>
      </c>
    </row>
    <row r="62" spans="1:18" s="1831" customFormat="1" ht="13.5" thickBot="1">
      <c r="A62" s="1200" t="s">
        <v>1489</v>
      </c>
      <c r="B62" s="1167" t="s">
        <v>1490</v>
      </c>
      <c r="C62" s="25">
        <f ca="1">IF(项目基本情况!B11="自然人","——",ROUND(F62*F63/10000,2))</f>
        <v>0.37</v>
      </c>
      <c r="D62" s="1183" t="s">
        <v>1491</v>
      </c>
      <c r="E62" s="1168" t="s">
        <v>1492</v>
      </c>
      <c r="F62" s="370">
        <f t="shared" si="0"/>
        <v>1.5</v>
      </c>
      <c r="I62" s="1917" t="s">
        <v>1564</v>
      </c>
      <c r="J62" s="1918" t="s">
        <v>1565</v>
      </c>
      <c r="K62" s="1918" t="s">
        <v>1566</v>
      </c>
      <c r="L62" s="1918" t="s">
        <v>1567</v>
      </c>
      <c r="M62" s="1919" t="s">
        <v>1568</v>
      </c>
      <c r="O62" s="1873" t="s">
        <v>1042</v>
      </c>
      <c r="P62" s="1874" t="s">
        <v>1569</v>
      </c>
      <c r="Q62" s="1875">
        <f ca="1">Q56+Q57</f>
        <v>1026</v>
      </c>
      <c r="R62" s="1875" t="s">
        <v>1043</v>
      </c>
    </row>
    <row r="63" spans="1:18" s="1831" customFormat="1" ht="13.5" thickBot="1">
      <c r="A63" s="371"/>
      <c r="B63" s="1174"/>
      <c r="C63" s="29"/>
      <c r="D63" s="1184"/>
      <c r="E63" s="1168" t="s">
        <v>1493</v>
      </c>
      <c r="F63" s="347">
        <f t="shared" ca="1" si="0"/>
        <v>2457.4899999999998</v>
      </c>
      <c r="I63" s="1917" t="s">
        <v>1570</v>
      </c>
      <c r="J63" s="1918">
        <v>70</v>
      </c>
      <c r="K63" s="1918">
        <v>50</v>
      </c>
      <c r="L63" s="1918">
        <v>80</v>
      </c>
      <c r="M63" s="1920">
        <v>0.02</v>
      </c>
      <c r="O63" s="1858" t="s">
        <v>1571</v>
      </c>
      <c r="P63" s="1828"/>
      <c r="Q63" s="1828"/>
      <c r="R63" s="1828"/>
    </row>
    <row r="64" spans="1:18" s="1831" customFormat="1" ht="13.5" thickBot="1">
      <c r="A64" s="1200" t="s">
        <v>1494</v>
      </c>
      <c r="B64" s="1168" t="s">
        <v>1495</v>
      </c>
      <c r="C64" s="24">
        <f ca="1">ROUND(C57*F64,1)</f>
        <v>29.3</v>
      </c>
      <c r="D64" s="1182" t="s">
        <v>1496</v>
      </c>
      <c r="E64" s="1168" t="s">
        <v>1488</v>
      </c>
      <c r="F64" s="373">
        <f t="shared" ca="1" si="0"/>
        <v>1.4999999999999999E-2</v>
      </c>
      <c r="I64" s="1917" t="s">
        <v>1572</v>
      </c>
      <c r="J64" s="1918">
        <v>50</v>
      </c>
      <c r="K64" s="1918">
        <v>35</v>
      </c>
      <c r="L64" s="1918">
        <v>60</v>
      </c>
      <c r="M64" s="1919">
        <v>0</v>
      </c>
      <c r="O64" s="1866" t="s">
        <v>1516</v>
      </c>
      <c r="P64" s="1867" t="s">
        <v>1517</v>
      </c>
      <c r="Q64" s="1868" t="s">
        <v>1518</v>
      </c>
      <c r="R64" s="1868" t="s">
        <v>1519</v>
      </c>
    </row>
    <row r="65" spans="1:18" s="1831" customFormat="1" ht="13.5" thickBot="1">
      <c r="A65" s="1200" t="s">
        <v>1497</v>
      </c>
      <c r="B65" s="1168" t="s">
        <v>1447</v>
      </c>
      <c r="C65" s="24">
        <f ca="1">ROUND(C56*F65,1)</f>
        <v>0</v>
      </c>
      <c r="D65" s="1182" t="s">
        <v>1448</v>
      </c>
      <c r="E65" s="1168" t="s">
        <v>1449</v>
      </c>
      <c r="F65" s="375">
        <f t="shared" ca="1" si="0"/>
        <v>1.5E-3</v>
      </c>
      <c r="I65" s="1917" t="s">
        <v>1573</v>
      </c>
      <c r="J65" s="1918">
        <v>40</v>
      </c>
      <c r="K65" s="1918">
        <v>30</v>
      </c>
      <c r="L65" s="1918">
        <v>50</v>
      </c>
      <c r="M65" s="1920">
        <v>0.02</v>
      </c>
      <c r="O65" s="1873" t="s">
        <v>1036</v>
      </c>
      <c r="P65" s="1874" t="s">
        <v>1574</v>
      </c>
      <c r="Q65" s="1875">
        <f ca="1">C40+J29</f>
        <v>1026</v>
      </c>
      <c r="R65" s="1875" t="s">
        <v>1523</v>
      </c>
    </row>
    <row r="66" spans="1:18" s="1831" customFormat="1" ht="16.5" thickBot="1">
      <c r="A66" s="1200" t="s">
        <v>1498</v>
      </c>
      <c r="B66" s="1168" t="s">
        <v>1433</v>
      </c>
      <c r="C66" s="24">
        <f ca="1">ROUND(C48*F66,1)</f>
        <v>0</v>
      </c>
      <c r="D66" s="1182" t="s">
        <v>1499</v>
      </c>
      <c r="E66" s="1168" t="s">
        <v>1416</v>
      </c>
      <c r="F66" s="356">
        <f t="shared" ca="1" si="0"/>
        <v>1.4999999999999999E-2</v>
      </c>
      <c r="O66" s="1873" t="s">
        <v>1037</v>
      </c>
      <c r="P66" s="1874" t="s">
        <v>1552</v>
      </c>
      <c r="Q66" s="1875">
        <f ca="1">L60</f>
        <v>0</v>
      </c>
      <c r="R66" s="1875" t="s">
        <v>1575</v>
      </c>
    </row>
    <row r="67" spans="1:18" s="1831" customFormat="1" ht="16.5" thickBot="1">
      <c r="A67" s="1175" t="s">
        <v>1027</v>
      </c>
      <c r="B67" s="1185" t="s">
        <v>1457</v>
      </c>
      <c r="C67" s="360">
        <f ca="1">C48-C58</f>
        <v>-194</v>
      </c>
      <c r="D67" s="1181" t="s">
        <v>1458</v>
      </c>
      <c r="E67" s="1186"/>
      <c r="F67" s="1187"/>
      <c r="O67" s="1883" t="s">
        <v>1038</v>
      </c>
      <c r="P67" s="1874" t="s">
        <v>1556</v>
      </c>
      <c r="Q67" s="1921">
        <f ca="1">L51</f>
        <v>849</v>
      </c>
      <c r="R67" s="1875" t="s">
        <v>1576</v>
      </c>
    </row>
    <row r="68" spans="1:18" s="1831" customFormat="1" ht="16.5" thickBot="1">
      <c r="A68" s="1165" t="s">
        <v>1028</v>
      </c>
      <c r="B68" s="1166" t="s">
        <v>1479</v>
      </c>
      <c r="C68" s="345">
        <f ca="1">ROUND(C67*(1-((1+F70)/(1+F68))^F69)/(F68-F70),0)</f>
        <v>-3505</v>
      </c>
      <c r="D68" s="1183" t="s">
        <v>1463</v>
      </c>
      <c r="E68" s="1168" t="s">
        <v>1464</v>
      </c>
      <c r="F68" s="356">
        <f ca="1">F40</f>
        <v>0.05</v>
      </c>
      <c r="O68" s="1883" t="s">
        <v>1039</v>
      </c>
      <c r="P68" s="1922" t="s">
        <v>1577</v>
      </c>
      <c r="Q68" s="1875">
        <f ca="1">ROUND(Q69-Q70*Q71,0)</f>
        <v>41</v>
      </c>
      <c r="R68" s="1875" t="s">
        <v>1047</v>
      </c>
    </row>
    <row r="69" spans="1:18" s="1831" customFormat="1" ht="13.5" thickBot="1">
      <c r="A69" s="1169"/>
      <c r="B69" s="1170"/>
      <c r="C69" s="350"/>
      <c r="D69" s="1188" t="s">
        <v>1467</v>
      </c>
      <c r="E69" s="1168" t="s">
        <v>1468</v>
      </c>
      <c r="F69" s="378">
        <f ca="1">F41</f>
        <v>47.89</v>
      </c>
      <c r="O69" s="1883" t="s">
        <v>1044</v>
      </c>
      <c r="P69" s="1922" t="s">
        <v>1578</v>
      </c>
      <c r="Q69" s="1875">
        <f ca="1">C39</f>
        <v>41</v>
      </c>
      <c r="R69" s="1875" t="s">
        <v>1523</v>
      </c>
    </row>
    <row r="70" spans="1:18" s="1831" customFormat="1" ht="13.5" thickBot="1">
      <c r="A70" s="1172"/>
      <c r="B70" s="1173"/>
      <c r="C70" s="354"/>
      <c r="D70" s="1184"/>
      <c r="E70" s="1168" t="s">
        <v>1471</v>
      </c>
      <c r="F70" s="1274"/>
      <c r="O70" s="1883" t="s">
        <v>1045</v>
      </c>
      <c r="P70" s="1922" t="s">
        <v>1579</v>
      </c>
      <c r="Q70" s="1875">
        <f ca="1">C13</f>
        <v>0</v>
      </c>
      <c r="R70" s="1875" t="s">
        <v>1523</v>
      </c>
    </row>
    <row r="71" spans="1:18" s="1831" customFormat="1" ht="13.5" thickBot="1">
      <c r="A71" s="1189" t="s">
        <v>1029</v>
      </c>
      <c r="B71" s="1190" t="s">
        <v>1481</v>
      </c>
      <c r="C71" s="381">
        <f ca="1">ROUND(C68*10000/F71,0)</f>
        <v>-7369</v>
      </c>
      <c r="D71" s="1191" t="s">
        <v>1482</v>
      </c>
      <c r="E71" s="1192" t="s">
        <v>1483</v>
      </c>
      <c r="F71" s="384">
        <f ca="1">F43</f>
        <v>4756.67</v>
      </c>
      <c r="O71" s="1883" t="s">
        <v>1046</v>
      </c>
      <c r="P71" s="1922" t="s">
        <v>1580</v>
      </c>
      <c r="Q71" s="1886">
        <f ca="1">C76</f>
        <v>0.08</v>
      </c>
      <c r="R71" s="1875"/>
    </row>
    <row r="72" spans="1:18" s="1831" customFormat="1" ht="13.5" thickBot="1">
      <c r="B72" s="795"/>
      <c r="C72" s="795"/>
      <c r="O72" s="1883" t="s">
        <v>1040</v>
      </c>
      <c r="P72" s="1874" t="s">
        <v>1558</v>
      </c>
      <c r="Q72" s="1886">
        <f>L52</f>
        <v>0</v>
      </c>
      <c r="R72" s="1875"/>
    </row>
    <row r="73" spans="1:18" ht="16.5" thickBot="1">
      <c r="A73" s="1831"/>
      <c r="B73" s="795"/>
      <c r="C73" s="795"/>
      <c r="D73" s="1831"/>
      <c r="E73" s="1831"/>
      <c r="F73" s="1831"/>
      <c r="O73" s="1883" t="s">
        <v>1041</v>
      </c>
      <c r="P73" s="1874" t="s">
        <v>1561</v>
      </c>
      <c r="Q73" s="1875" t="e">
        <f ca="1">L58</f>
        <v>#DIV/0!</v>
      </c>
      <c r="R73" s="1875" t="s">
        <v>1562</v>
      </c>
    </row>
    <row r="74" spans="1:18" ht="13.5" thickBot="1">
      <c r="A74" s="1831"/>
      <c r="B74" s="317" t="s">
        <v>1581</v>
      </c>
      <c r="C74" s="1924"/>
      <c r="D74" s="1831"/>
      <c r="E74" s="1831"/>
      <c r="F74" s="1831"/>
      <c r="O74" s="1883" t="s">
        <v>1048</v>
      </c>
      <c r="P74" s="1874" t="str">
        <f>K59</f>
        <v>续建工期及建筑物耐用年限下的土地年期修正系数Kn</v>
      </c>
      <c r="Q74" s="1875" t="e">
        <f ca="1">L59</f>
        <v>#DIV/0!</v>
      </c>
      <c r="R74" s="1875" t="s">
        <v>1563</v>
      </c>
    </row>
    <row r="75" spans="1:18" ht="13.5" thickBot="1">
      <c r="A75" s="1831"/>
      <c r="B75" s="385" t="s">
        <v>1500</v>
      </c>
      <c r="C75" s="386">
        <f ca="1">ROUND(C13*C76,0)</f>
        <v>0</v>
      </c>
      <c r="D75" s="1831"/>
      <c r="E75" s="1831"/>
      <c r="F75" s="1831"/>
      <c r="K75" s="1857"/>
      <c r="L75" s="1831"/>
      <c r="O75" s="1873" t="s">
        <v>1042</v>
      </c>
      <c r="P75" s="1874" t="s">
        <v>1543</v>
      </c>
      <c r="Q75" s="1875">
        <f ca="1">Q65+Q66</f>
        <v>1026</v>
      </c>
      <c r="R75" s="1875" t="s">
        <v>1043</v>
      </c>
    </row>
    <row r="76" spans="1:18">
      <c r="B76" s="387" t="s">
        <v>1501</v>
      </c>
      <c r="C76" s="388">
        <f ca="1">INDIRECT("'数据-取费表'!j"&amp;$G$1)</f>
        <v>0.08</v>
      </c>
      <c r="I76" s="1831"/>
      <c r="J76" s="1831"/>
      <c r="K76" s="1857"/>
      <c r="L76" s="1831"/>
    </row>
    <row r="77" spans="1:18">
      <c r="B77" s="389" t="s">
        <v>1502</v>
      </c>
      <c r="C77" s="390"/>
      <c r="I77" s="1831"/>
      <c r="J77" s="1831"/>
      <c r="K77" s="1857"/>
      <c r="L77" s="1831"/>
    </row>
    <row r="78" spans="1:18">
      <c r="B78" s="314" t="s">
        <v>1503</v>
      </c>
      <c r="C78" s="391"/>
    </row>
    <row r="79" spans="1:18">
      <c r="B79" s="385" t="s">
        <v>1504</v>
      </c>
      <c r="C79" s="318">
        <f ca="1">1-C80</f>
        <v>1</v>
      </c>
    </row>
    <row r="80" spans="1:18">
      <c r="B80" s="385" t="s">
        <v>1505</v>
      </c>
      <c r="C80" s="318">
        <f ca="1">ROUND(C75/C39,3)</f>
        <v>0</v>
      </c>
    </row>
    <row r="81" spans="2:3">
      <c r="B81" s="314" t="s">
        <v>1506</v>
      </c>
      <c r="C81" s="282"/>
    </row>
    <row r="82" spans="2:3">
      <c r="B82" s="317" t="s">
        <v>1507</v>
      </c>
      <c r="C82" s="319">
        <f ca="1">1-C83</f>
        <v>1</v>
      </c>
    </row>
    <row r="83" spans="2:3">
      <c r="B83" s="317" t="s">
        <v>1508</v>
      </c>
      <c r="C83" s="318">
        <f ca="1">ROUND(C13/C40,3)</f>
        <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47" sqref="D47"/>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3" customWidth="1"/>
    <col min="12" max="12" width="16.375" style="302" customWidth="1"/>
    <col min="13" max="13" width="13" style="302"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2"/>
  </cols>
  <sheetData>
    <row r="1" spans="1:37" s="336" customFormat="1" ht="21">
      <c r="A1" s="1822" t="s">
        <v>1583</v>
      </c>
      <c r="B1" s="781"/>
      <c r="C1" s="1826" t="s">
        <v>1372</v>
      </c>
      <c r="D1" s="1809" t="s">
        <v>3073</v>
      </c>
      <c r="E1" s="1810" t="s">
        <v>1381</v>
      </c>
      <c r="F1" s="1282" t="e">
        <f ca="1">J53</f>
        <v>#N/A</v>
      </c>
      <c r="G1" s="1825" t="e">
        <f>MATCH(C1,'数据-取费表'!A6:A16,0)+5</f>
        <v>#N/A</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2" t="s">
        <v>1584</v>
      </c>
      <c r="B2" s="1833" t="e">
        <f ca="1">ROUND(D2/10000,0)</f>
        <v>#N/A</v>
      </c>
      <c r="C2" s="1834" t="s">
        <v>1585</v>
      </c>
      <c r="D2" s="1926" t="e">
        <f ca="1">C40+J29+L46</f>
        <v>#N/A</v>
      </c>
      <c r="E2" s="1835" t="s">
        <v>1586</v>
      </c>
      <c r="F2" s="1836"/>
      <c r="G2" s="1837"/>
      <c r="H2" s="1829"/>
      <c r="I2" s="1829"/>
      <c r="J2" s="1829"/>
      <c r="K2" s="1830"/>
      <c r="L2" s="1829"/>
      <c r="M2" s="1829"/>
    </row>
    <row r="3" spans="1:37" ht="18" customHeight="1" thickBot="1">
      <c r="A3" s="1838" t="s">
        <v>1587</v>
      </c>
      <c r="B3" s="1839">
        <f ca="1">IF(ISERROR(D2/F43),0,ROUND(D2/F43,0))</f>
        <v>0</v>
      </c>
      <c r="C3" s="1834" t="s">
        <v>1588</v>
      </c>
      <c r="D3" s="1834"/>
      <c r="E3" s="1835"/>
      <c r="F3" s="1836"/>
      <c r="G3" s="1837"/>
      <c r="H3" s="743" t="s">
        <v>1582</v>
      </c>
      <c r="I3" s="1829"/>
      <c r="J3" s="1829"/>
      <c r="K3" s="1830"/>
      <c r="L3" s="1829"/>
      <c r="M3" s="1829"/>
    </row>
    <row r="4" spans="1:37" ht="18" customHeight="1">
      <c r="A4" s="339" t="s">
        <v>1589</v>
      </c>
      <c r="B4" s="340" t="s">
        <v>1590</v>
      </c>
      <c r="C4" s="340" t="s">
        <v>1591</v>
      </c>
      <c r="D4" s="340" t="s">
        <v>1592</v>
      </c>
      <c r="E4" s="341" t="s">
        <v>1593</v>
      </c>
      <c r="F4" s="342"/>
      <c r="G4" s="1840"/>
      <c r="H4" s="339" t="s">
        <v>1589</v>
      </c>
      <c r="I4" s="340" t="s">
        <v>1590</v>
      </c>
      <c r="J4" s="340" t="s">
        <v>1591</v>
      </c>
      <c r="K4" s="340" t="s">
        <v>1592</v>
      </c>
      <c r="L4" s="341" t="s">
        <v>1593</v>
      </c>
      <c r="M4" s="342"/>
    </row>
    <row r="5" spans="1:37" ht="18" customHeight="1">
      <c r="A5" s="343">
        <v>1</v>
      </c>
      <c r="B5" s="344" t="s">
        <v>1594</v>
      </c>
      <c r="C5" s="1291" t="e">
        <f ca="1">C6+C10+C12</f>
        <v>#N/A</v>
      </c>
      <c r="D5" s="1811" t="s">
        <v>1595</v>
      </c>
      <c r="E5" s="1292"/>
      <c r="F5" s="1293"/>
      <c r="G5" s="1840"/>
      <c r="H5" s="343">
        <v>1</v>
      </c>
      <c r="I5" s="344" t="s">
        <v>1594</v>
      </c>
      <c r="J5" s="1291" t="e">
        <f ca="1">J6+J10+J12</f>
        <v>#N/A</v>
      </c>
      <c r="K5" s="1811" t="s">
        <v>1595</v>
      </c>
      <c r="L5" s="1292"/>
      <c r="M5" s="1293"/>
    </row>
    <row r="6" spans="1:37" ht="18" customHeight="1">
      <c r="A6" s="1290" t="s">
        <v>1031</v>
      </c>
      <c r="B6" s="3183" t="s">
        <v>1397</v>
      </c>
      <c r="C6" s="1295" t="e">
        <f ca="1">ROUND(F6*F8*F7*(1-F9),0)</f>
        <v>#N/A</v>
      </c>
      <c r="D6" s="164" t="s">
        <v>3024</v>
      </c>
      <c r="E6" s="346" t="s">
        <v>1399</v>
      </c>
      <c r="F6" s="347" t="e">
        <f ca="1">INDIRECT("'数据-取费表'!u"&amp;$G$1)</f>
        <v>#N/A</v>
      </c>
      <c r="G6" s="1840"/>
      <c r="H6" s="1290" t="s">
        <v>1031</v>
      </c>
      <c r="I6" s="3183" t="s">
        <v>1397</v>
      </c>
      <c r="J6" s="345" t="e">
        <f ca="1">ROUND(M6*M8*M7*(1-M9),0)</f>
        <v>#N/A</v>
      </c>
      <c r="K6" s="1823" t="s">
        <v>3025</v>
      </c>
      <c r="L6" s="346" t="s">
        <v>1399</v>
      </c>
      <c r="M6" s="347" t="e">
        <f ca="1">INDIRECT("'数据-取费表'!z"&amp;$G$1)</f>
        <v>#N/A</v>
      </c>
    </row>
    <row r="7" spans="1:37" ht="18" customHeight="1">
      <c r="A7" s="1294"/>
      <c r="B7" s="3184"/>
      <c r="C7" s="1296"/>
      <c r="D7" s="351"/>
      <c r="E7" s="1297" t="s">
        <v>1400</v>
      </c>
      <c r="F7" s="347" t="e">
        <f ca="1">IF(INDIRECT("'数据-取费表'!ah"&amp;$G$1)="",INDIRECT("'数据-取费表'!k"&amp;$G$1),INDIRECT("'数据-取费表'!ah"&amp;$G$1))</f>
        <v>#N/A</v>
      </c>
      <c r="G7" s="1840"/>
      <c r="H7" s="348"/>
      <c r="I7" s="3184"/>
      <c r="J7" s="350"/>
      <c r="K7" s="351"/>
      <c r="L7" s="346" t="s">
        <v>1400</v>
      </c>
      <c r="M7" s="347" t="e">
        <f ca="1">F7</f>
        <v>#N/A</v>
      </c>
    </row>
    <row r="8" spans="1:37" ht="18" customHeight="1">
      <c r="A8" s="348"/>
      <c r="B8" s="3184"/>
      <c r="C8" s="350"/>
      <c r="D8" s="351"/>
      <c r="E8" s="346" t="s">
        <v>1401</v>
      </c>
      <c r="F8" s="347" t="e">
        <f ca="1">INDIRECT("'数据-取费表'!ai"&amp;$G$1)</f>
        <v>#N/A</v>
      </c>
      <c r="G8" s="1840"/>
      <c r="H8" s="348"/>
      <c r="I8" s="3184"/>
      <c r="J8" s="350"/>
      <c r="K8" s="351"/>
      <c r="L8" s="346" t="s">
        <v>1401</v>
      </c>
      <c r="M8" s="347" t="e">
        <f ca="1">INDIRECT("'数据-取费表'!ai"&amp;$G$1)</f>
        <v>#N/A</v>
      </c>
    </row>
    <row r="9" spans="1:37" ht="18" customHeight="1">
      <c r="A9" s="348"/>
      <c r="B9" s="3185"/>
      <c r="C9" s="350"/>
      <c r="D9" s="351"/>
      <c r="E9" s="346" t="s">
        <v>1402</v>
      </c>
      <c r="F9" s="356" t="e">
        <f ca="1">INDIRECT("'数据-取费表'!w"&amp;$G$1)</f>
        <v>#N/A</v>
      </c>
      <c r="G9" s="1840"/>
      <c r="H9" s="348"/>
      <c r="I9" s="3185"/>
      <c r="J9" s="350"/>
      <c r="K9" s="351"/>
      <c r="L9" s="357" t="s">
        <v>1402</v>
      </c>
      <c r="M9" s="358" t="e">
        <f ca="1">INDIRECT("'数据-取费表'!ab"&amp;$G$1)</f>
        <v>#N/A</v>
      </c>
    </row>
    <row r="10" spans="1:37" ht="18" customHeight="1">
      <c r="A10" s="1290" t="s">
        <v>1035</v>
      </c>
      <c r="B10" s="1812" t="s">
        <v>1403</v>
      </c>
      <c r="C10" s="360" t="e">
        <f ca="1">ROUND(IF(F10="押一",C6/12*F11,IF(F10="押二",C6/12*2*F11,IF(F10="押三",C6/12*3*F11,C11*F11))),0)</f>
        <v>#N/A</v>
      </c>
      <c r="D10" s="1813" t="s">
        <v>3035</v>
      </c>
      <c r="E10" s="357" t="s">
        <v>1404</v>
      </c>
      <c r="F10" s="1363" t="s">
        <v>3074</v>
      </c>
      <c r="G10" s="1840"/>
      <c r="H10" s="1290" t="s">
        <v>1035</v>
      </c>
      <c r="I10" s="1812" t="s">
        <v>1403</v>
      </c>
      <c r="J10" s="345">
        <f ca="1">ROUND(IF(M10="押一",J6/12*M11,IF(M10="押二",J6/12*2*M11,IF(M10="押三",J6/12*3*M11,J11*M11))),0)</f>
        <v>0</v>
      </c>
      <c r="K10" s="1824" t="s">
        <v>3037</v>
      </c>
      <c r="L10" s="357" t="s">
        <v>1404</v>
      </c>
      <c r="M10" s="1363"/>
    </row>
    <row r="11" spans="1:37" ht="18" customHeight="1">
      <c r="A11" s="352"/>
      <c r="B11" s="1814" t="s">
        <v>1596</v>
      </c>
      <c r="C11" s="1177"/>
      <c r="D11" s="351"/>
      <c r="E11" s="357" t="s">
        <v>1406</v>
      </c>
      <c r="F11" s="358">
        <f ca="1">'数据-取费表'!B39</f>
        <v>1.4999999999999999E-2</v>
      </c>
      <c r="G11" s="1840"/>
      <c r="H11" s="1298"/>
      <c r="I11" s="1814" t="s">
        <v>1597</v>
      </c>
      <c r="J11" s="1177"/>
      <c r="K11" s="747"/>
      <c r="L11" s="357" t="s">
        <v>1406</v>
      </c>
      <c r="M11" s="1055">
        <f ca="1">'数据-取费表'!B39</f>
        <v>1.4999999999999999E-2</v>
      </c>
    </row>
    <row r="12" spans="1:37" ht="18" customHeight="1" thickBot="1">
      <c r="A12" s="1332" t="s">
        <v>1071</v>
      </c>
      <c r="B12" s="1816" t="s">
        <v>1407</v>
      </c>
      <c r="C12" s="1333"/>
      <c r="D12" s="1334"/>
      <c r="E12" s="1339"/>
      <c r="F12" s="1335"/>
      <c r="G12" s="1840"/>
      <c r="H12" s="1332" t="s">
        <v>1071</v>
      </c>
      <c r="I12" s="1816" t="s">
        <v>1407</v>
      </c>
      <c r="J12" s="1333"/>
      <c r="K12" s="1347"/>
      <c r="L12" s="1339"/>
      <c r="M12" s="1348"/>
    </row>
    <row r="13" spans="1:37" ht="18" customHeight="1" thickTop="1">
      <c r="A13" s="1328">
        <v>2</v>
      </c>
      <c r="B13" s="1329" t="s">
        <v>1408</v>
      </c>
      <c r="C13" s="354" t="e">
        <f ca="1">ROUND(C29*F13,0)</f>
        <v>#N/A</v>
      </c>
      <c r="D13" s="1330" t="s">
        <v>1409</v>
      </c>
      <c r="E13" s="1330" t="s">
        <v>1410</v>
      </c>
      <c r="F13" s="1331" t="e">
        <f ca="1">INDIRECT("'数据-取费表'!y"&amp;$G$1)</f>
        <v>#N/A</v>
      </c>
      <c r="G13" s="1840"/>
      <c r="H13" s="1328">
        <v>2</v>
      </c>
      <c r="I13" s="1329" t="s">
        <v>1408</v>
      </c>
      <c r="J13" s="1289" t="e">
        <f ca="1">ROUND(J14*J15,0)</f>
        <v>#N/A</v>
      </c>
      <c r="K13" s="1336" t="s">
        <v>1409</v>
      </c>
      <c r="L13" s="1841"/>
      <c r="M13" s="1842"/>
    </row>
    <row r="14" spans="1:37" ht="18" customHeight="1">
      <c r="A14" s="1200" t="s">
        <v>1030</v>
      </c>
      <c r="B14" s="346" t="s">
        <v>1411</v>
      </c>
      <c r="C14" s="362" t="e">
        <f ca="1">ROUND(INDIRECT("'数据-取费表'!l"&amp;$G$1)*F43+'数据-取费表'!L14*INDIRECT("'数据-取费表'!S"&amp;$G$1),0)</f>
        <v>#N/A</v>
      </c>
      <c r="D14" s="1789" t="s">
        <v>1412</v>
      </c>
      <c r="E14" s="1783"/>
      <c r="F14" s="363"/>
      <c r="G14" s="1840"/>
      <c r="H14" s="1200" t="s">
        <v>1031</v>
      </c>
      <c r="I14" s="346" t="s">
        <v>1413</v>
      </c>
      <c r="J14" s="24" t="e">
        <f ca="1">C29</f>
        <v>#N/A</v>
      </c>
      <c r="K14" s="15"/>
      <c r="L14" s="978"/>
      <c r="M14" s="979"/>
    </row>
    <row r="15" spans="1:37" s="1847" customFormat="1" ht="18" customHeight="1" thickBot="1">
      <c r="A15" s="1200" t="s">
        <v>1032</v>
      </c>
      <c r="B15" s="346" t="s">
        <v>1414</v>
      </c>
      <c r="C15" s="24" t="e">
        <f ca="1">ROUND(C14*F15,0)</f>
        <v>#N/A</v>
      </c>
      <c r="D15" s="364" t="s">
        <v>1415</v>
      </c>
      <c r="E15" s="364" t="s">
        <v>1416</v>
      </c>
      <c r="F15" s="365">
        <f>'数据-取费表'!B33</f>
        <v>0.05</v>
      </c>
      <c r="G15" s="1843"/>
      <c r="H15" s="1338" t="s">
        <v>1035</v>
      </c>
      <c r="I15" s="1339" t="s">
        <v>1410</v>
      </c>
      <c r="J15" s="1348" t="e">
        <f ca="1">INDIRECT("'数据-取费表'!ad"&amp;$G$1)</f>
        <v>#N/A</v>
      </c>
      <c r="K15" s="1349"/>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200" t="s">
        <v>1383</v>
      </c>
      <c r="B16" s="346" t="s">
        <v>1417</v>
      </c>
      <c r="C16" s="24" t="e">
        <f ca="1">ROUND(INDIRECT("'数据-取费表'!l"&amp;$G$1)*F43*F16,0)</f>
        <v>#N/A</v>
      </c>
      <c r="D16" s="346" t="s">
        <v>1415</v>
      </c>
      <c r="E16" s="346" t="s">
        <v>1416</v>
      </c>
      <c r="F16" s="366" t="e">
        <f ca="1">IF(INDIRECT("'数据-取费表'!c"&amp;$G$1)="住宅",'数据-取费表'!B34,0)</f>
        <v>#N/A</v>
      </c>
      <c r="G16" s="1840"/>
      <c r="H16" s="1328" t="s">
        <v>1026</v>
      </c>
      <c r="I16" s="1329" t="s">
        <v>1418</v>
      </c>
      <c r="J16" s="354" t="e">
        <f ca="1">ROUND(J17+J22+J23+J24,0)</f>
        <v>#N/A</v>
      </c>
      <c r="K16" s="1336" t="s">
        <v>1419</v>
      </c>
      <c r="L16" s="1337"/>
      <c r="M16" s="1293"/>
    </row>
    <row r="17" spans="1:37" s="1847" customFormat="1" ht="18" customHeight="1">
      <c r="A17" s="1200" t="s">
        <v>1384</v>
      </c>
      <c r="B17" s="346" t="s">
        <v>1420</v>
      </c>
      <c r="C17" s="24" t="e">
        <f ca="1">ROUND(F17*(F43+INDIRECT("'数据-取费表'!S"&amp;$G$1)),0)</f>
        <v>#N/A</v>
      </c>
      <c r="D17" s="346" t="s">
        <v>1421</v>
      </c>
      <c r="E17" s="346" t="s">
        <v>1422</v>
      </c>
      <c r="F17" s="26">
        <f>'数据-取费表'!B35</f>
        <v>200</v>
      </c>
      <c r="G17" s="1843"/>
      <c r="H17" s="1200" t="s">
        <v>1031</v>
      </c>
      <c r="I17" s="346" t="s">
        <v>1423</v>
      </c>
      <c r="J17" s="24" t="e">
        <f ca="1">ROUND(IF(项目基本情况!B11="自然人",J6*M17/(1+'数据-取费表'!C42),J18+J19+J20),0)</f>
        <v>#N/A</v>
      </c>
      <c r="K17" s="1789" t="s">
        <v>1424</v>
      </c>
      <c r="L17" s="1787" t="s">
        <v>1425</v>
      </c>
      <c r="M17" s="367"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200" t="s">
        <v>1385</v>
      </c>
      <c r="B18" s="346" t="s">
        <v>1426</v>
      </c>
      <c r="C18" s="24" t="e">
        <f ca="1">ROUND(C14*F18,0)</f>
        <v>#N/A</v>
      </c>
      <c r="D18" s="346" t="s">
        <v>1415</v>
      </c>
      <c r="E18" s="346" t="s">
        <v>1416</v>
      </c>
      <c r="F18" s="366">
        <f>'数据-取费表'!B36</f>
        <v>1.4999999999999999E-2</v>
      </c>
      <c r="G18" s="1843"/>
      <c r="H18" s="1200" t="s">
        <v>1030</v>
      </c>
      <c r="I18" s="346" t="s">
        <v>1427</v>
      </c>
      <c r="J18" s="24" t="e">
        <f ca="1">ROUND(J6*M18/(1+'数据-取费表'!C42),0)</f>
        <v>#N/A</v>
      </c>
      <c r="K18" s="1787" t="s">
        <v>1428</v>
      </c>
      <c r="L18" s="346" t="s">
        <v>1416</v>
      </c>
      <c r="M18" s="366">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200" t="s">
        <v>1031</v>
      </c>
      <c r="B19" s="346" t="s">
        <v>1429</v>
      </c>
      <c r="C19" s="24" t="e">
        <f ca="1">SUM(C14:C18)</f>
        <v>#N/A</v>
      </c>
      <c r="D19" s="140" t="s">
        <v>1430</v>
      </c>
      <c r="E19" s="1807"/>
      <c r="F19" s="26"/>
      <c r="G19" s="1840"/>
      <c r="H19" s="1200" t="s">
        <v>1032</v>
      </c>
      <c r="I19" s="346" t="s">
        <v>1431</v>
      </c>
      <c r="J19" s="24" t="e">
        <f ca="1">IF(K19="按租金收入计税",ROUND(J6*M19/(1+'数据-取费表'!C42),0),ROUND(C29*M19*0.7,0))</f>
        <v>#N/A</v>
      </c>
      <c r="K19" s="1817" t="s">
        <v>1432</v>
      </c>
      <c r="L19" s="346" t="s">
        <v>1416</v>
      </c>
      <c r="M19" s="366">
        <f>IF(K19="按租金收入计税",'数据-取费表'!B51,'数据-取费表'!B50)</f>
        <v>1.2E-2</v>
      </c>
    </row>
    <row r="20" spans="1:37" s="1847" customFormat="1" ht="18" customHeight="1">
      <c r="A20" s="1200" t="s">
        <v>1035</v>
      </c>
      <c r="B20" s="346" t="s">
        <v>1433</v>
      </c>
      <c r="C20" s="24" t="e">
        <f ca="1">ROUND(C19*F20,0)</f>
        <v>#N/A</v>
      </c>
      <c r="D20" s="368" t="s">
        <v>1434</v>
      </c>
      <c r="E20" s="346" t="s">
        <v>1416</v>
      </c>
      <c r="F20" s="366">
        <f>'数据-取费表'!B37</f>
        <v>0.02</v>
      </c>
      <c r="G20" s="1843"/>
      <c r="H20" s="1200" t="s">
        <v>1383</v>
      </c>
      <c r="I20" s="164" t="s">
        <v>1435</v>
      </c>
      <c r="J20" s="25" t="e">
        <f ca="1">ROUND(M20*M21,0)</f>
        <v>#N/A</v>
      </c>
      <c r="K20" s="369" t="s">
        <v>1436</v>
      </c>
      <c r="L20" s="346" t="s">
        <v>1437</v>
      </c>
      <c r="M20" s="370">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200" t="s">
        <v>1071</v>
      </c>
      <c r="B21" s="346" t="s">
        <v>1438</v>
      </c>
      <c r="C21" s="24" t="s">
        <v>1</v>
      </c>
      <c r="D21" s="368" t="s">
        <v>1439</v>
      </c>
      <c r="E21" s="346" t="s">
        <v>1440</v>
      </c>
      <c r="F21" s="366">
        <f>'数据-取费表'!B38</f>
        <v>0.02</v>
      </c>
      <c r="G21" s="1843"/>
      <c r="H21" s="371"/>
      <c r="I21" s="355"/>
      <c r="J21" s="29"/>
      <c r="K21" s="372"/>
      <c r="L21" s="346" t="s">
        <v>1441</v>
      </c>
      <c r="M21" s="347" t="e">
        <f ca="1">INDIRECT("'数据-取费表'!r"&amp;$G$1)</f>
        <v>#N/A</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200" t="s">
        <v>1386</v>
      </c>
      <c r="B22" s="346" t="s">
        <v>1442</v>
      </c>
      <c r="C22" s="24"/>
      <c r="D22" s="140" t="str">
        <f>IF(F23&lt;=1,"单利计息。","复利计息。")&amp;"建造成本、管理费用、销售费用产生的利息。"</f>
        <v>复利计息。建造成本、管理费用、销售费用产生的利息。</v>
      </c>
      <c r="E22" s="1807"/>
      <c r="F22" s="26"/>
      <c r="G22" s="1840"/>
      <c r="H22" s="1200" t="s">
        <v>1035</v>
      </c>
      <c r="I22" s="346" t="s">
        <v>1443</v>
      </c>
      <c r="J22" s="24" t="e">
        <f ca="1">ROUND(J14*M22,0)</f>
        <v>#N/A</v>
      </c>
      <c r="K22" s="1787" t="s">
        <v>1444</v>
      </c>
      <c r="L22" s="346" t="s">
        <v>1416</v>
      </c>
      <c r="M22" s="373" t="e">
        <f ca="1">INDIRECT("'数据-取费表'!Ak"&amp;$G$1)</f>
        <v>#N/A</v>
      </c>
    </row>
    <row r="23" spans="1:37" s="1847" customFormat="1" ht="18" customHeight="1">
      <c r="A23" s="1200" t="s">
        <v>1030</v>
      </c>
      <c r="B23" s="346" t="s">
        <v>1445</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1446</v>
      </c>
      <c r="F23" s="370">
        <f>'数据-取费表'!B20</f>
        <v>2</v>
      </c>
      <c r="G23" s="1843"/>
      <c r="H23" s="1200" t="s">
        <v>1071</v>
      </c>
      <c r="I23" s="346" t="s">
        <v>1447</v>
      </c>
      <c r="J23" s="24" t="e">
        <f ca="1">ROUND(J13*M23,0)</f>
        <v>#N/A</v>
      </c>
      <c r="K23" s="1787" t="s">
        <v>1448</v>
      </c>
      <c r="L23" s="346" t="s">
        <v>1449</v>
      </c>
      <c r="M23" s="375" t="e">
        <f ca="1">INDIRECT("'数据-取费表'!Al"&amp;$G$1)</f>
        <v>#N/A</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200" t="s">
        <v>1450</v>
      </c>
      <c r="B24" s="346" t="s">
        <v>1451</v>
      </c>
      <c r="C24" s="24">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43"/>
      <c r="H24" s="1338" t="s">
        <v>1387</v>
      </c>
      <c r="I24" s="1339" t="s">
        <v>1433</v>
      </c>
      <c r="J24" s="1340" t="e">
        <f ca="1">ROUND(J5*M24,0)</f>
        <v>#N/A</v>
      </c>
      <c r="K24" s="1341" t="s">
        <v>1453</v>
      </c>
      <c r="L24" s="1339" t="s">
        <v>1449</v>
      </c>
      <c r="M24" s="1335" t="e">
        <f ca="1">INDIRECT("'数据-取费表'!Am"&amp;$G$1)</f>
        <v>#N/A</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18" customHeight="1" thickTop="1">
      <c r="A25" s="1200" t="s">
        <v>1454</v>
      </c>
      <c r="B25" s="346" t="s">
        <v>1455</v>
      </c>
      <c r="C25" s="24"/>
      <c r="D25" s="140" t="s">
        <v>1456</v>
      </c>
      <c r="E25" s="1807"/>
      <c r="F25" s="26"/>
      <c r="G25" s="1840"/>
      <c r="H25" s="1328" t="s">
        <v>1027</v>
      </c>
      <c r="I25" s="1343" t="s">
        <v>1457</v>
      </c>
      <c r="J25" s="354" t="e">
        <f ca="1">J5-J16</f>
        <v>#N/A</v>
      </c>
      <c r="K25" s="1344" t="s">
        <v>1458</v>
      </c>
      <c r="L25" s="1345"/>
      <c r="M25" s="1346"/>
    </row>
    <row r="26" spans="1:37" ht="18" customHeight="1">
      <c r="A26" s="1200" t="s">
        <v>1030</v>
      </c>
      <c r="B26" s="346" t="s">
        <v>1459</v>
      </c>
      <c r="C26" s="24" t="e">
        <f ca="1">ROUND((C19+C20)*F26,0)</f>
        <v>#N/A</v>
      </c>
      <c r="D26" s="368" t="s">
        <v>1460</v>
      </c>
      <c r="E26" s="357" t="s">
        <v>1461</v>
      </c>
      <c r="F26" s="356" t="e">
        <f ca="1">INDIRECT("'数据-取费表'!q"&amp;$G$1)</f>
        <v>#N/A</v>
      </c>
      <c r="G26" s="1840"/>
      <c r="H26" s="343" t="s">
        <v>1028</v>
      </c>
      <c r="I26" s="344" t="s">
        <v>1462</v>
      </c>
      <c r="J26" s="345" t="e">
        <f ca="1">IF(J5&lt;&gt;0,ROUND(J25*(1-((1+M28)/(1+M26))^M27)/(M26-M28),0),0)</f>
        <v>#N/A</v>
      </c>
      <c r="K26" s="369" t="s">
        <v>1463</v>
      </c>
      <c r="L26" s="346" t="s">
        <v>1464</v>
      </c>
      <c r="M26" s="356" t="e">
        <f ca="1">INDIRECT("'数据-取费表'!I"&amp;$G$1)</f>
        <v>#N/A</v>
      </c>
    </row>
    <row r="27" spans="1:37" ht="18" customHeight="1">
      <c r="A27" s="1200" t="s">
        <v>1032</v>
      </c>
      <c r="B27" s="346" t="s">
        <v>1465</v>
      </c>
      <c r="C27" s="24" t="e">
        <f ca="1">ROUND(F21*F26,4)</f>
        <v>#N/A</v>
      </c>
      <c r="D27" s="368" t="s">
        <v>1466</v>
      </c>
      <c r="E27" s="364"/>
      <c r="F27" s="365"/>
      <c r="G27" s="1840"/>
      <c r="H27" s="348"/>
      <c r="I27" s="349"/>
      <c r="J27" s="350"/>
      <c r="K27" s="377" t="s">
        <v>1467</v>
      </c>
      <c r="L27" s="346" t="s">
        <v>1468</v>
      </c>
      <c r="M27" s="378" t="e">
        <f ca="1">INDIRECT("'数据-取费表'!ag"&amp;$G$1)</f>
        <v>#N/A</v>
      </c>
    </row>
    <row r="28" spans="1:37" s="1847" customFormat="1" ht="18" customHeight="1">
      <c r="A28" s="1200" t="s">
        <v>1033</v>
      </c>
      <c r="B28" s="346" t="s">
        <v>1469</v>
      </c>
      <c r="C28" s="24">
        <f>ROUND(F28/(1+'数据-取费表'!C42),4)</f>
        <v>5.2400000000000002E-2</v>
      </c>
      <c r="D28" s="368" t="s">
        <v>1470</v>
      </c>
      <c r="E28" s="346" t="s">
        <v>1416</v>
      </c>
      <c r="F28" s="366">
        <f>'数据-取费表'!B41</f>
        <v>5.5000000000000007E-2</v>
      </c>
      <c r="G28" s="1843"/>
      <c r="H28" s="352"/>
      <c r="I28" s="353"/>
      <c r="J28" s="354"/>
      <c r="K28" s="372"/>
      <c r="L28" s="346" t="s">
        <v>1471</v>
      </c>
      <c r="M28" s="356" t="e">
        <f ca="1">INDIRECT("'数据-取费表'!aa"&amp;$G$1)</f>
        <v>#N/A</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38" t="s">
        <v>1034</v>
      </c>
      <c r="B29" s="1339" t="s">
        <v>1472</v>
      </c>
      <c r="C29" s="1340" t="e">
        <f ca="1">ROUND((C19+C20+C23+C26)/(1-F21-C24-C27-C28),0)</f>
        <v>#N/A</v>
      </c>
      <c r="D29" s="1341"/>
      <c r="E29" s="1339"/>
      <c r="F29" s="1342"/>
      <c r="G29" s="1843"/>
      <c r="H29" s="379" t="s">
        <v>1029</v>
      </c>
      <c r="I29" s="380" t="s">
        <v>1473</v>
      </c>
      <c r="J29" s="381" t="e">
        <f ca="1">ROUND(J26/(1+F40)^F41,0)</f>
        <v>#N/A</v>
      </c>
      <c r="K29" s="382" t="s">
        <v>1474</v>
      </c>
      <c r="L29" s="383"/>
      <c r="M29" s="384" t="e">
        <f ca="1">INDIRECT("'数据-取费表'!k"&amp;$G$1)</f>
        <v>#N/A</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28" t="s">
        <v>1026</v>
      </c>
      <c r="B30" s="1329" t="s">
        <v>1418</v>
      </c>
      <c r="C30" s="354" t="e">
        <f ca="1">ROUND(C31+C36+C37+C38,0)</f>
        <v>#N/A</v>
      </c>
      <c r="D30" s="1336" t="s">
        <v>1419</v>
      </c>
      <c r="E30" s="1337"/>
      <c r="F30" s="1293"/>
      <c r="G30" s="1840"/>
      <c r="H30" s="744"/>
      <c r="I30" s="745"/>
      <c r="J30" s="746"/>
      <c r="K30" s="747"/>
      <c r="L30" s="748"/>
      <c r="M30" s="749"/>
    </row>
    <row r="31" spans="1:37" ht="18" customHeight="1">
      <c r="A31" s="1200" t="s">
        <v>1031</v>
      </c>
      <c r="B31" s="346" t="s">
        <v>1423</v>
      </c>
      <c r="C31" s="24" t="e">
        <f ca="1">ROUND(IF(项目基本情况!B11="自然人",C6*F31/(1+'数据-取费表'!C42),C32+C33+C34),0)</f>
        <v>#N/A</v>
      </c>
      <c r="D31" s="1789" t="s">
        <v>1424</v>
      </c>
      <c r="E31" s="1787" t="s">
        <v>1475</v>
      </c>
      <c r="F31" s="367" t="str">
        <f ca="1">IF(项目基本情况!B11="企业","",IF(INDIRECT("'数据-取费表'!c"&amp;$G$1)="住宅",5%,IF(F6*F7*F8/12/(1+'数据-取费表'!C42)&gt;20000,12%,7%)))</f>
        <v/>
      </c>
      <c r="G31" s="1840"/>
      <c r="H31" s="744"/>
      <c r="I31" s="745"/>
      <c r="J31" s="746"/>
      <c r="K31" s="747"/>
      <c r="L31" s="748"/>
      <c r="M31" s="749"/>
    </row>
    <row r="32" spans="1:37" ht="18" customHeight="1">
      <c r="A32" s="1200" t="s">
        <v>1030</v>
      </c>
      <c r="B32" s="346" t="s">
        <v>1427</v>
      </c>
      <c r="C32" s="24" t="e">
        <f ca="1">IF(项目基本情况!B11="自然人","——",ROUND(C6*F32/(1+'数据-取费表'!C42),0))</f>
        <v>#N/A</v>
      </c>
      <c r="D32" s="1787" t="s">
        <v>1428</v>
      </c>
      <c r="E32" s="346" t="s">
        <v>1416</v>
      </c>
      <c r="F32" s="376">
        <f>'数据-取费表'!B41</f>
        <v>5.5000000000000007E-2</v>
      </c>
      <c r="G32" s="1840"/>
      <c r="H32" s="744"/>
      <c r="I32" s="745"/>
      <c r="J32" s="746"/>
      <c r="K32" s="747"/>
      <c r="L32" s="748"/>
      <c r="M32" s="749"/>
    </row>
    <row r="33" spans="1:18" ht="18" customHeight="1">
      <c r="A33" s="1200" t="s">
        <v>1032</v>
      </c>
      <c r="B33" s="346" t="s">
        <v>1431</v>
      </c>
      <c r="C33" s="24" t="e">
        <f ca="1">IF(项目基本情况!B11="自然人","——",IF(D33="按租金收入计税",ROUND(C6*F33/(1+'数据-取费表'!C42),0),IF(D33="按房产原值计税",ROUND(C29*F33*0.7,0),INDIRECT("'数据-取费表'!Aj"&amp;$G$1))))</f>
        <v>#N/A</v>
      </c>
      <c r="D33" s="1817" t="s">
        <v>3075</v>
      </c>
      <c r="E33" s="346" t="s">
        <v>1416</v>
      </c>
      <c r="F33" s="366">
        <f>IF(D33="按票据","——",IF(D33="按租金收入计税",'数据-取费表'!B51,'数据-取费表'!B50))</f>
        <v>0.12</v>
      </c>
      <c r="G33" s="1840"/>
      <c r="H33" s="1848"/>
      <c r="I33" s="1849"/>
      <c r="J33" s="1850"/>
      <c r="K33" s="1851"/>
      <c r="L33" s="1848"/>
      <c r="M33" s="1848"/>
    </row>
    <row r="34" spans="1:18" ht="18" customHeight="1">
      <c r="A34" s="1290" t="s">
        <v>1383</v>
      </c>
      <c r="B34" s="164" t="s">
        <v>1435</v>
      </c>
      <c r="C34" s="25" t="e">
        <f ca="1">IF(项目基本情况!B11="自然人","——",ROUND(F34*F35,))</f>
        <v>#N/A</v>
      </c>
      <c r="D34" s="369" t="s">
        <v>1436</v>
      </c>
      <c r="E34" s="346" t="s">
        <v>1437</v>
      </c>
      <c r="F34" s="370">
        <f>'数据-取费表'!B52</f>
        <v>1.5</v>
      </c>
      <c r="G34" s="1840"/>
      <c r="H34" s="744"/>
      <c r="I34" s="1849"/>
      <c r="J34" s="1850"/>
      <c r="K34" s="1852"/>
      <c r="L34" s="1853"/>
      <c r="M34" s="1853"/>
    </row>
    <row r="35" spans="1:18" ht="18" customHeight="1">
      <c r="A35" s="1352"/>
      <c r="B35" s="1350"/>
      <c r="C35" s="29"/>
      <c r="D35" s="372"/>
      <c r="E35" s="346" t="s">
        <v>1441</v>
      </c>
      <c r="F35" s="347" t="e">
        <f ca="1">INDIRECT("'数据-取费表'!r"&amp;$G$1)</f>
        <v>#N/A</v>
      </c>
      <c r="G35" s="1840"/>
      <c r="H35" s="744"/>
      <c r="I35" s="1849"/>
      <c r="J35" s="1850"/>
      <c r="K35" s="1851"/>
      <c r="L35" s="1848"/>
      <c r="M35" s="1848"/>
    </row>
    <row r="36" spans="1:18" ht="18" customHeight="1">
      <c r="A36" s="1351" t="s">
        <v>1035</v>
      </c>
      <c r="B36" s="346" t="s">
        <v>1443</v>
      </c>
      <c r="C36" s="24" t="e">
        <f ca="1">ROUND(C29*F36,0)</f>
        <v>#N/A</v>
      </c>
      <c r="D36" s="1787" t="s">
        <v>1476</v>
      </c>
      <c r="E36" s="346" t="s">
        <v>1416</v>
      </c>
      <c r="F36" s="373" t="e">
        <f ca="1">INDIRECT("'数据-取费表'!Ak"&amp;$G$1)</f>
        <v>#N/A</v>
      </c>
      <c r="G36" s="1840"/>
      <c r="H36" s="1848"/>
      <c r="I36" s="1849"/>
      <c r="J36" s="1850"/>
      <c r="K36" s="750"/>
      <c r="L36" s="1848"/>
      <c r="M36" s="1848"/>
    </row>
    <row r="37" spans="1:18" ht="18" customHeight="1">
      <c r="A37" s="1200" t="s">
        <v>1071</v>
      </c>
      <c r="B37" s="346" t="s">
        <v>1447</v>
      </c>
      <c r="C37" s="24" t="e">
        <f ca="1">ROUND(C13*F37,0)</f>
        <v>#N/A</v>
      </c>
      <c r="D37" s="1787" t="s">
        <v>1448</v>
      </c>
      <c r="E37" s="346" t="s">
        <v>1449</v>
      </c>
      <c r="F37" s="375" t="e">
        <f ca="1">INDIRECT("'数据-取费表'!Al"&amp;$G$1)</f>
        <v>#N/A</v>
      </c>
      <c r="G37" s="1840"/>
      <c r="H37" s="1848"/>
      <c r="I37" s="1849"/>
      <c r="J37" s="1850"/>
      <c r="K37" s="750"/>
      <c r="L37" s="1848"/>
      <c r="M37" s="1848"/>
    </row>
    <row r="38" spans="1:18" ht="18" customHeight="1" thickBot="1">
      <c r="A38" s="1338" t="s">
        <v>1387</v>
      </c>
      <c r="B38" s="1339" t="s">
        <v>1433</v>
      </c>
      <c r="C38" s="1340" t="e">
        <f ca="1">ROUND(C5*F38,1)</f>
        <v>#N/A</v>
      </c>
      <c r="D38" s="1341" t="s">
        <v>1453</v>
      </c>
      <c r="E38" s="1339" t="s">
        <v>1449</v>
      </c>
      <c r="F38" s="1335" t="e">
        <f ca="1">INDIRECT("'数据-取费表'!Am"&amp;$G$1)</f>
        <v>#N/A</v>
      </c>
      <c r="G38" s="1840"/>
      <c r="H38" s="1848"/>
      <c r="I38" s="1849"/>
      <c r="J38" s="1850"/>
      <c r="K38" s="1854"/>
      <c r="L38" s="1848"/>
      <c r="M38" s="1848"/>
    </row>
    <row r="39" spans="1:18" ht="24.6" customHeight="1" thickTop="1">
      <c r="A39" s="1328" t="s">
        <v>1027</v>
      </c>
      <c r="B39" s="1343" t="s">
        <v>1477</v>
      </c>
      <c r="C39" s="354" t="e">
        <f ca="1">C5-C30</f>
        <v>#N/A</v>
      </c>
      <c r="D39" s="1344" t="s">
        <v>1478</v>
      </c>
      <c r="E39" s="1345"/>
      <c r="F39" s="1346"/>
      <c r="G39" s="1840"/>
      <c r="H39" s="1848"/>
      <c r="I39" s="1849"/>
      <c r="J39" s="1850"/>
      <c r="K39" s="1854"/>
      <c r="L39" s="1848"/>
      <c r="M39" s="1848"/>
    </row>
    <row r="40" spans="1:18" ht="18" customHeight="1">
      <c r="A40" s="343" t="s">
        <v>1028</v>
      </c>
      <c r="B40" s="344" t="s">
        <v>1479</v>
      </c>
      <c r="C40" s="345" t="e">
        <f ca="1">ROUND(C39*(1-((1+F42)/(1+F40))^F41)/(F40-F42),0)</f>
        <v>#N/A</v>
      </c>
      <c r="D40" s="369" t="s">
        <v>1463</v>
      </c>
      <c r="E40" s="346" t="s">
        <v>1464</v>
      </c>
      <c r="F40" s="356" t="e">
        <f ca="1">INDIRECT("'数据-取费表'!I"&amp;$G$1)</f>
        <v>#N/A</v>
      </c>
      <c r="G40" s="1840"/>
      <c r="H40" s="1828"/>
      <c r="I40" s="1849"/>
      <c r="J40" s="1850"/>
      <c r="K40" s="1854"/>
      <c r="L40" s="1828"/>
      <c r="M40" s="1828"/>
    </row>
    <row r="41" spans="1:18" ht="18" customHeight="1">
      <c r="A41" s="348"/>
      <c r="B41" s="349"/>
      <c r="C41" s="350"/>
      <c r="D41" s="377" t="s">
        <v>1480</v>
      </c>
      <c r="E41" s="346" t="s">
        <v>1468</v>
      </c>
      <c r="F41" s="378" t="e">
        <f ca="1">IF(INDIRECT("'数据-取费表'!af"&amp;$G$1)=0,INDIRECT("'数据-取费表'!ae"&amp;$G$1),INDIRECT("'数据-取费表'!af"&amp;$G$1))</f>
        <v>#N/A</v>
      </c>
      <c r="G41" s="1840"/>
      <c r="H41" s="731"/>
      <c r="I41" s="1849"/>
      <c r="J41" s="1850"/>
      <c r="K41" s="750"/>
      <c r="L41" s="731"/>
      <c r="M41" s="731"/>
    </row>
    <row r="42" spans="1:18" ht="18" customHeight="1">
      <c r="A42" s="352"/>
      <c r="B42" s="353"/>
      <c r="C42" s="354"/>
      <c r="D42" s="372"/>
      <c r="E42" s="346" t="s">
        <v>1471</v>
      </c>
      <c r="F42" s="356" t="e">
        <f ca="1">INDIRECT("'数据-取费表'!v"&amp;$G$1)</f>
        <v>#N/A</v>
      </c>
      <c r="G42" s="1840"/>
      <c r="H42" s="731"/>
      <c r="I42" s="1849"/>
      <c r="J42" s="1850"/>
      <c r="K42" s="750"/>
      <c r="L42" s="731"/>
      <c r="M42" s="731"/>
    </row>
    <row r="43" spans="1:18" ht="18" customHeight="1" thickBot="1">
      <c r="A43" s="379" t="s">
        <v>1029</v>
      </c>
      <c r="B43" s="380" t="s">
        <v>1481</v>
      </c>
      <c r="C43" s="381" t="e">
        <f ca="1">ROUND(C40/F43,0)</f>
        <v>#N/A</v>
      </c>
      <c r="D43" s="382" t="s">
        <v>1482</v>
      </c>
      <c r="E43" s="383" t="s">
        <v>1483</v>
      </c>
      <c r="F43" s="384" t="e">
        <f ca="1">INDIRECT("'数据-取费表'!k"&amp;$G$1)</f>
        <v>#N/A</v>
      </c>
      <c r="G43" s="1840"/>
      <c r="H43" s="731"/>
      <c r="I43" s="731"/>
      <c r="J43" s="731"/>
      <c r="K43" s="750"/>
      <c r="L43" s="731"/>
      <c r="M43" s="731"/>
    </row>
    <row r="44" spans="1:18" s="1831" customFormat="1" ht="18" customHeight="1">
      <c r="A44" s="1855"/>
      <c r="B44" s="1855"/>
      <c r="C44" s="1856"/>
      <c r="D44" s="1855"/>
      <c r="E44" s="1855"/>
      <c r="F44" s="1855"/>
      <c r="K44" s="1857"/>
    </row>
    <row r="45" spans="1:18" s="1831" customFormat="1" ht="18" customHeight="1" thickBot="1">
      <c r="A45" s="1855"/>
      <c r="B45" s="1855"/>
      <c r="C45" s="1927" t="e">
        <f ca="1">C68-C40</f>
        <v>#N/A</v>
      </c>
      <c r="D45" s="1928" t="s">
        <v>1598</v>
      </c>
      <c r="E45" s="1855"/>
      <c r="F45" s="1855"/>
      <c r="O45" s="1858" t="s">
        <v>1513</v>
      </c>
      <c r="P45" s="1828"/>
      <c r="Q45" s="1828"/>
      <c r="R45" s="1828"/>
    </row>
    <row r="46" spans="1:18" s="1831" customFormat="1" ht="13.5" thickBot="1">
      <c r="A46" s="1859" t="s">
        <v>1514</v>
      </c>
      <c r="C46" s="1860" t="e">
        <f ca="1">ROUND(C45/10000,0)</f>
        <v>#N/A</v>
      </c>
      <c r="D46" s="1861" t="str">
        <f>C2</f>
        <v>万元</v>
      </c>
      <c r="I46" s="1862" t="s">
        <v>1515</v>
      </c>
      <c r="J46" s="1863"/>
      <c r="K46" s="1864"/>
      <c r="L46" s="1865" t="e">
        <f ca="1">IF(M47="住宅",0,IF(L48&gt;J51,L60,J60))</f>
        <v>#N/A</v>
      </c>
      <c r="O46" s="1866" t="s">
        <v>1516</v>
      </c>
      <c r="P46" s="1867" t="s">
        <v>1517</v>
      </c>
      <c r="Q46" s="1868" t="s">
        <v>1518</v>
      </c>
      <c r="R46" s="1868" t="s">
        <v>1519</v>
      </c>
    </row>
    <row r="47" spans="1:18" s="1831" customFormat="1" ht="13.5" thickBot="1">
      <c r="A47" s="1164" t="s">
        <v>1390</v>
      </c>
      <c r="B47" s="1196" t="s">
        <v>1391</v>
      </c>
      <c r="C47" s="1196" t="s">
        <v>1392</v>
      </c>
      <c r="D47" s="1196" t="s">
        <v>1393</v>
      </c>
      <c r="E47" s="1278" t="s">
        <v>1394</v>
      </c>
      <c r="F47" s="1279"/>
      <c r="G47" s="791"/>
      <c r="I47" s="1869" t="s">
        <v>1520</v>
      </c>
      <c r="J47" s="1870" t="s">
        <v>3076</v>
      </c>
      <c r="K47" s="1871" t="s">
        <v>1521</v>
      </c>
      <c r="L47" s="1872" t="e">
        <f ca="1">INDIRECT("'数据-取费表'!d"&amp;$G$1)</f>
        <v>#N/A</v>
      </c>
      <c r="M47" s="1827" t="str">
        <f>IF(ISNUMBER(FIND("住宅",C1)),"住宅","非住宅")</f>
        <v>非住宅</v>
      </c>
      <c r="O47" s="1873" t="s">
        <v>1036</v>
      </c>
      <c r="P47" s="1874" t="s">
        <v>1522</v>
      </c>
      <c r="Q47" s="1875" t="e">
        <f ca="1">C40+J29</f>
        <v>#N/A</v>
      </c>
      <c r="R47" s="1875" t="s">
        <v>1523</v>
      </c>
    </row>
    <row r="48" spans="1:18" s="1831" customFormat="1" ht="28.5" thickBot="1">
      <c r="A48" s="1357" t="s">
        <v>1131</v>
      </c>
      <c r="B48" s="344" t="s">
        <v>1395</v>
      </c>
      <c r="C48" s="1806" t="e">
        <f ca="1">C49+C53+C55</f>
        <v>#N/A</v>
      </c>
      <c r="D48" s="1359"/>
      <c r="E48" s="1360"/>
      <c r="F48" s="1180"/>
      <c r="G48" s="791"/>
      <c r="H48" s="792"/>
      <c r="I48" s="1876" t="s">
        <v>1524</v>
      </c>
      <c r="J48" s="1877" t="s">
        <v>3077</v>
      </c>
      <c r="K48" s="1878" t="s">
        <v>1525</v>
      </c>
      <c r="L48" s="1879" t="e">
        <f ca="1">INDIRECT("'数据-取费表'!f"&amp;$G$1)</f>
        <v>#N/A</v>
      </c>
      <c r="O48" s="1873" t="s">
        <v>1037</v>
      </c>
      <c r="P48" s="1874" t="s">
        <v>1526</v>
      </c>
      <c r="Q48" s="1875" t="e">
        <f ca="1">J60</f>
        <v>#N/A</v>
      </c>
      <c r="R48" s="1875" t="s">
        <v>1527</v>
      </c>
    </row>
    <row r="49" spans="1:18" s="1831" customFormat="1" ht="13.5" thickBot="1">
      <c r="A49" s="1193" t="s">
        <v>1132</v>
      </c>
      <c r="B49" s="1818" t="s">
        <v>1484</v>
      </c>
      <c r="C49" s="1361" t="e">
        <f ca="1">ROUND(F49*F51*F50*(1-F52),0)</f>
        <v>#N/A</v>
      </c>
      <c r="D49" s="1275" t="s">
        <v>1398</v>
      </c>
      <c r="E49" s="1819" t="s">
        <v>1485</v>
      </c>
      <c r="F49" s="1280"/>
      <c r="G49" s="1880"/>
      <c r="H49" s="792"/>
      <c r="I49" s="1876" t="s">
        <v>1528</v>
      </c>
      <c r="J49" s="1881">
        <v>2021</v>
      </c>
      <c r="K49" s="1878" t="s">
        <v>1529</v>
      </c>
      <c r="L49" s="1882"/>
      <c r="O49" s="1883" t="s">
        <v>1038</v>
      </c>
      <c r="P49" s="1874" t="s">
        <v>1530</v>
      </c>
      <c r="Q49" s="1875" t="e">
        <f ca="1">C29</f>
        <v>#N/A</v>
      </c>
      <c r="R49" s="1875" t="s">
        <v>1523</v>
      </c>
    </row>
    <row r="50" spans="1:18" s="1831" customFormat="1" ht="13.5" thickBot="1">
      <c r="A50" s="1194"/>
      <c r="B50" s="1197"/>
      <c r="C50" s="1198"/>
      <c r="D50" s="1171"/>
      <c r="E50" s="1276" t="s">
        <v>1400</v>
      </c>
      <c r="F50" s="1277" t="e">
        <f ca="1">F7</f>
        <v>#N/A</v>
      </c>
      <c r="H50" s="792"/>
      <c r="I50" s="1876" t="s">
        <v>1531</v>
      </c>
      <c r="J50" s="1884">
        <f>SUMPRODUCT((I63:I65=J47)*(J62:L62=J48)*(J63:L65))</f>
        <v>60</v>
      </c>
      <c r="K50" s="1878" t="s">
        <v>1532</v>
      </c>
      <c r="L50" s="1882"/>
      <c r="M50" s="1885"/>
      <c r="O50" s="1883" t="s">
        <v>1039</v>
      </c>
      <c r="P50" s="1874" t="s">
        <v>1533</v>
      </c>
      <c r="Q50" s="1886" t="e">
        <f ca="1">J58</f>
        <v>#N/A</v>
      </c>
      <c r="R50" s="1875"/>
    </row>
    <row r="51" spans="1:18" s="1831" customFormat="1" ht="13.5" thickBot="1">
      <c r="A51" s="1195"/>
      <c r="B51" s="1197"/>
      <c r="C51" s="1198"/>
      <c r="D51" s="1171"/>
      <c r="E51" s="1199" t="s">
        <v>1401</v>
      </c>
      <c r="F51" s="347" t="e">
        <f ca="1">F8</f>
        <v>#N/A</v>
      </c>
      <c r="I51" s="1887" t="s">
        <v>1534</v>
      </c>
      <c r="J51" s="1888">
        <f>IF(J49="",J50,J49+J50-YEAR('数据-取费表'!B2))</f>
        <v>61</v>
      </c>
      <c r="K51" s="1889" t="s">
        <v>1535</v>
      </c>
      <c r="L51" s="1890" t="e">
        <f ca="1">ROUND(-PV(INDIRECT("'数据-取费表'!h"&amp;$G$1),J51,(C39-C13*C76),0),0)</f>
        <v>#N/A</v>
      </c>
      <c r="M51" s="1891"/>
      <c r="O51" s="1883" t="s">
        <v>1040</v>
      </c>
      <c r="P51" s="1874" t="s">
        <v>1536</v>
      </c>
      <c r="Q51" s="1886">
        <f>J52</f>
        <v>0.09</v>
      </c>
      <c r="R51" s="1875"/>
    </row>
    <row r="52" spans="1:18" s="1831" customFormat="1" ht="13.5" thickBot="1">
      <c r="A52" s="1195"/>
      <c r="B52" s="1197"/>
      <c r="C52" s="1198"/>
      <c r="D52" s="1171"/>
      <c r="E52" s="1199" t="s">
        <v>1402</v>
      </c>
      <c r="F52" s="1274"/>
      <c r="I52" s="1892" t="s">
        <v>1537</v>
      </c>
      <c r="J52" s="1893">
        <v>0.09</v>
      </c>
      <c r="K52" s="1892" t="s">
        <v>1538</v>
      </c>
      <c r="L52" s="1893"/>
      <c r="O52" s="1883" t="s">
        <v>1041</v>
      </c>
      <c r="P52" s="1874" t="s">
        <v>1539</v>
      </c>
      <c r="Q52" s="1875" t="e">
        <f ca="1">J53</f>
        <v>#N/A</v>
      </c>
      <c r="R52" s="1875" t="s">
        <v>1540</v>
      </c>
    </row>
    <row r="53" spans="1:18" s="1831" customFormat="1" ht="30.75" customHeight="1" thickBot="1">
      <c r="A53" s="1358" t="s">
        <v>1133</v>
      </c>
      <c r="B53" s="368" t="s">
        <v>1403</v>
      </c>
      <c r="C53" s="360">
        <f ca="1">ROUND(IF(F53="押一",C49/12*F11,IF(F53="押二",C49/12*2*F11,IF(F53="押三",C49/12*3*F11,C54*F11))),0)</f>
        <v>0</v>
      </c>
      <c r="D53" s="1813" t="s">
        <v>3038</v>
      </c>
      <c r="E53" s="357" t="s">
        <v>1404</v>
      </c>
      <c r="F53" s="1363"/>
      <c r="I53" s="1894" t="s">
        <v>1541</v>
      </c>
      <c r="J53" s="2935" t="e">
        <f ca="1">IF(M47="住宅",IF(D1="——",MAX(J51,L48),MAX(J51,L48-'数据-取费表'!B24)),IF(D1="——",MIN(J51,L48),MIN(J51,L48-'数据-取费表'!B24)))</f>
        <v>#N/A</v>
      </c>
      <c r="K53" s="3181" t="s">
        <v>1542</v>
      </c>
      <c r="L53" s="3182"/>
      <c r="O53" s="1873" t="s">
        <v>1042</v>
      </c>
      <c r="P53" s="1874" t="s">
        <v>1543</v>
      </c>
      <c r="Q53" s="1875" t="e">
        <f ca="1">Q47+Q48</f>
        <v>#N/A</v>
      </c>
      <c r="R53" s="1875" t="s">
        <v>1043</v>
      </c>
    </row>
    <row r="54" spans="1:18" s="1831" customFormat="1" ht="13.5" thickBot="1">
      <c r="A54" s="1193"/>
      <c r="B54" s="1929" t="s">
        <v>1597</v>
      </c>
      <c r="C54" s="1177"/>
      <c r="D54" s="1813"/>
      <c r="E54" s="1821"/>
      <c r="F54" s="1895"/>
      <c r="I54" s="189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97"/>
      <c r="K54" s="1897"/>
      <c r="L54" s="1897"/>
      <c r="M54" s="1880"/>
      <c r="O54" s="1858" t="s">
        <v>1544</v>
      </c>
      <c r="P54" s="1828"/>
      <c r="Q54" s="1828"/>
      <c r="R54" s="1828"/>
    </row>
    <row r="55" spans="1:18" s="1831" customFormat="1" ht="13.5" thickBot="1">
      <c r="A55" s="1332" t="s">
        <v>1071</v>
      </c>
      <c r="B55" s="1816" t="s">
        <v>1407</v>
      </c>
      <c r="C55" s="1333"/>
      <c r="D55" s="1813"/>
      <c r="E55" s="1821"/>
      <c r="F55" s="1895"/>
      <c r="I55" s="1898" t="s">
        <v>1545</v>
      </c>
      <c r="J55" s="1899" t="e">
        <f ca="1">ROUND(IF(J47="钢混",J57/J50,1-(1-2%)*(J50-J57)/J50),3)</f>
        <v>#N/A</v>
      </c>
      <c r="K55" s="1900" t="s">
        <v>1546</v>
      </c>
      <c r="L55" s="1901"/>
      <c r="O55" s="1866" t="s">
        <v>1516</v>
      </c>
      <c r="P55" s="1867" t="s">
        <v>1517</v>
      </c>
      <c r="Q55" s="1868" t="s">
        <v>1518</v>
      </c>
      <c r="R55" s="1868" t="s">
        <v>1519</v>
      </c>
    </row>
    <row r="56" spans="1:18" s="1831" customFormat="1" ht="36" customHeight="1" thickTop="1" thickBot="1">
      <c r="A56" s="1175">
        <v>2</v>
      </c>
      <c r="B56" s="1176" t="s">
        <v>1408</v>
      </c>
      <c r="C56" s="276" t="e">
        <f ca="1">C13</f>
        <v>#N/A</v>
      </c>
      <c r="D56" s="1902"/>
      <c r="E56" s="1903"/>
      <c r="F56" s="1895"/>
      <c r="I56" s="1904" t="s">
        <v>1548</v>
      </c>
      <c r="J56" s="1905" t="s">
        <v>3069</v>
      </c>
      <c r="K56" s="1876" t="s">
        <v>1549</v>
      </c>
      <c r="L56" s="1879" t="e">
        <f ca="1">IF(L48&lt;J51,"——",L48-J51)</f>
        <v>#N/A</v>
      </c>
      <c r="O56" s="1873" t="s">
        <v>1036</v>
      </c>
      <c r="P56" s="1874" t="s">
        <v>1522</v>
      </c>
      <c r="Q56" s="1875" t="e">
        <f ca="1">C40+J29</f>
        <v>#N/A</v>
      </c>
      <c r="R56" s="1875" t="s">
        <v>1523</v>
      </c>
    </row>
    <row r="57" spans="1:18" s="1831" customFormat="1" ht="24.75" thickBot="1">
      <c r="A57" s="1906"/>
      <c r="B57" s="1168" t="s">
        <v>1472</v>
      </c>
      <c r="C57" s="282" t="e">
        <f ca="1">C29</f>
        <v>#N/A</v>
      </c>
      <c r="D57" s="1907"/>
      <c r="E57" s="1908"/>
      <c r="F57" s="1909"/>
      <c r="I57" s="1910" t="s">
        <v>1550</v>
      </c>
      <c r="J57" s="1911" t="e">
        <f ca="1">IF(OR(M47="住宅",J51&lt;L48,J56="是"),"——",J51-L48)</f>
        <v>#N/A</v>
      </c>
      <c r="K57" s="1876" t="s">
        <v>1599</v>
      </c>
      <c r="L57" s="1879" t="e">
        <f ca="1">IF(L48&lt;J51,"——",IF(L55="比较法",L49,IF(L55="基准地价",L50,L51)))</f>
        <v>#N/A</v>
      </c>
      <c r="O57" s="1873" t="s">
        <v>1037</v>
      </c>
      <c r="P57" s="1874" t="s">
        <v>1600</v>
      </c>
      <c r="Q57" s="1875" t="e">
        <f ca="1">L60</f>
        <v>#N/A</v>
      </c>
      <c r="R57" s="1875" t="s">
        <v>1601</v>
      </c>
    </row>
    <row r="58" spans="1:18" s="1831" customFormat="1" ht="24.75" thickBot="1">
      <c r="A58" s="359" t="s">
        <v>1026</v>
      </c>
      <c r="B58" s="1176" t="s">
        <v>1418</v>
      </c>
      <c r="C58" s="360" t="e">
        <f ca="1">ROUND(C59+C64+C65+C66,0)</f>
        <v>#N/A</v>
      </c>
      <c r="D58" s="1178" t="s">
        <v>1419</v>
      </c>
      <c r="E58" s="1179"/>
      <c r="F58" s="1180"/>
      <c r="I58" s="1910" t="s">
        <v>1554</v>
      </c>
      <c r="J58" s="1912" t="e">
        <f ca="1">IF(J55&lt;0.4,0.4,J55)</f>
        <v>#N/A</v>
      </c>
      <c r="K58" s="1889" t="s">
        <v>1602</v>
      </c>
      <c r="L58" s="1879" t="e">
        <f ca="1">ROUND(POWER(1+L52,L47-L48)*(POWER(1+L52,L48)-1)/(POWER(1+L52,L47)-1),4)</f>
        <v>#N/A</v>
      </c>
      <c r="O58" s="1883" t="s">
        <v>1038</v>
      </c>
      <c r="P58" s="1874" t="s">
        <v>1556</v>
      </c>
      <c r="Q58" s="1875">
        <f>IF(L55="比较法",L49,IF(L55="基准地价",L50,0))</f>
        <v>0</v>
      </c>
      <c r="R58" s="1875" t="s">
        <v>1523</v>
      </c>
    </row>
    <row r="59" spans="1:18" s="1831" customFormat="1" ht="24.75" thickBot="1">
      <c r="A59" s="1200" t="s">
        <v>1031</v>
      </c>
      <c r="B59" s="1168" t="s">
        <v>1423</v>
      </c>
      <c r="C59" s="24" t="e">
        <f ca="1">ROUND(IF(项目基本情况!B11="自然人",C48*F59,C60+C61+C62),0)</f>
        <v>#N/A</v>
      </c>
      <c r="D59" s="1181" t="s">
        <v>1424</v>
      </c>
      <c r="E59" s="1182" t="s">
        <v>1425</v>
      </c>
      <c r="F59" s="367" t="str">
        <f ca="1">IF(项目基本情况!B11="企业","",IF(INDIRECT("'数据-取费表'!c"&amp;$G$1)="住宅",5%,IF(F49*F50*F51/12/(1+'数据-取费表'!C42)&gt;20000,12%,7%)))</f>
        <v/>
      </c>
      <c r="I59" s="1910" t="s">
        <v>1557</v>
      </c>
      <c r="J59" s="1911" t="e">
        <f ca="1">IF(OR(M47="住宅",J51&lt;L48,J56="是"),"——",ROUND(C29*J58,0))</f>
        <v>#N/A</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#N/A</v>
      </c>
      <c r="M59" s="1828" t="e">
        <f ca="1">ROUND(POWER(1+L52,L47-(J51+'数据-取费表'!B24))*(POWER(1+L52,(J51+'数据-取费表'!B24))-1)/(POWER(1+L52,L47)-1),4)</f>
        <v>#N/A</v>
      </c>
      <c r="N59" s="1828" t="e">
        <f ca="1">ROUND(POWER(1+L52,L47-(J51+'数据-取费表'!B20))*(POWER(1+L52,(J51+'数据-取费表'!B20))-1)/(POWER(1+L52,L47)-1),4)</f>
        <v>#N/A</v>
      </c>
      <c r="O59" s="1883" t="s">
        <v>1039</v>
      </c>
      <c r="P59" s="1874" t="s">
        <v>1558</v>
      </c>
      <c r="Q59" s="1886">
        <f>L52</f>
        <v>0</v>
      </c>
      <c r="R59" s="1875"/>
    </row>
    <row r="60" spans="1:18" s="1831" customFormat="1" ht="16.5" thickBot="1">
      <c r="A60" s="1200" t="s">
        <v>1030</v>
      </c>
      <c r="B60" s="1168" t="s">
        <v>1427</v>
      </c>
      <c r="C60" s="24" t="e">
        <f ca="1">IF(项目基本情况!B11="自然人","——",ROUND(C48*F60/(1+'数据-取费表'!C42),0))</f>
        <v>#N/A</v>
      </c>
      <c r="D60" s="1182" t="s">
        <v>1428</v>
      </c>
      <c r="E60" s="1168" t="s">
        <v>1416</v>
      </c>
      <c r="F60" s="376">
        <f t="shared" ref="F60:F66" si="0">F32</f>
        <v>5.5000000000000007E-2</v>
      </c>
      <c r="I60" s="1913" t="s">
        <v>1559</v>
      </c>
      <c r="J60" s="1914" t="e">
        <f ca="1">IF(OR(M47="住宅",J51&lt;L48,J56="是"),"0",ROUND(J59/(1+J52)^J53,0))</f>
        <v>#N/A</v>
      </c>
      <c r="K60" s="1915" t="s">
        <v>1560</v>
      </c>
      <c r="L60" s="1914" t="e">
        <f ca="1">IF(OR(M47="住宅",L48&lt;J51),0,ROUND(L57*(L58/L59-1),0))</f>
        <v>#N/A</v>
      </c>
      <c r="O60" s="1883" t="s">
        <v>1040</v>
      </c>
      <c r="P60" s="1874" t="s">
        <v>1561</v>
      </c>
      <c r="Q60" s="1875" t="e">
        <f ca="1">L58</f>
        <v>#N/A</v>
      </c>
      <c r="R60" s="1875" t="s">
        <v>1562</v>
      </c>
    </row>
    <row r="61" spans="1:18" s="1831" customFormat="1" ht="13.5" thickBot="1">
      <c r="A61" s="1200" t="s">
        <v>1486</v>
      </c>
      <c r="B61" s="1168" t="s">
        <v>1487</v>
      </c>
      <c r="C61" s="24" t="e">
        <f ca="1">IF(项目基本情况!B11="自然人","——",IF(D61="按租金收入计税",ROUND(C48*F61,0),IF(D61="按房产原值计税",ROUND(C57*F61*0.7,0),INDIRECT("'数据-取费表'!Aj"&amp;$G$1))))</f>
        <v>#N/A</v>
      </c>
      <c r="D61" s="1817" t="s">
        <v>1432</v>
      </c>
      <c r="E61" s="1168" t="s">
        <v>1488</v>
      </c>
      <c r="F61" s="366">
        <f t="shared" si="0"/>
        <v>0.12</v>
      </c>
      <c r="I61" s="1916"/>
      <c r="J61" s="1916"/>
      <c r="K61" s="1916"/>
      <c r="L61" s="1916"/>
      <c r="O61" s="1883" t="s">
        <v>1041</v>
      </c>
      <c r="P61" s="1874" t="str">
        <f>K59</f>
        <v>续建工期及建筑物耐用年限下的土地年期修正系数Kn</v>
      </c>
      <c r="Q61" s="1875" t="e">
        <f ca="1">L59</f>
        <v>#N/A</v>
      </c>
      <c r="R61" s="1875" t="s">
        <v>1563</v>
      </c>
    </row>
    <row r="62" spans="1:18" s="1831" customFormat="1" ht="13.5" thickBot="1">
      <c r="A62" s="1200" t="s">
        <v>1489</v>
      </c>
      <c r="B62" s="1167" t="s">
        <v>1490</v>
      </c>
      <c r="C62" s="25" t="e">
        <f ca="1">IF(项目基本情况!B11="自然人","——",ROUND(F62*F63,0))</f>
        <v>#N/A</v>
      </c>
      <c r="D62" s="1183" t="s">
        <v>1491</v>
      </c>
      <c r="E62" s="1168" t="s">
        <v>1492</v>
      </c>
      <c r="F62" s="370">
        <f t="shared" si="0"/>
        <v>1.5</v>
      </c>
      <c r="I62" s="1917" t="s">
        <v>1564</v>
      </c>
      <c r="J62" s="1918" t="s">
        <v>1565</v>
      </c>
      <c r="K62" s="1918" t="s">
        <v>1566</v>
      </c>
      <c r="L62" s="1918" t="s">
        <v>1567</v>
      </c>
      <c r="M62" s="1919" t="s">
        <v>1568</v>
      </c>
      <c r="O62" s="1873" t="s">
        <v>1042</v>
      </c>
      <c r="P62" s="1874" t="s">
        <v>1569</v>
      </c>
      <c r="Q62" s="1875" t="e">
        <f ca="1">Q56+Q57</f>
        <v>#N/A</v>
      </c>
      <c r="R62" s="1875" t="s">
        <v>1043</v>
      </c>
    </row>
    <row r="63" spans="1:18" s="1831" customFormat="1" ht="13.5" thickBot="1">
      <c r="A63" s="371"/>
      <c r="B63" s="1174"/>
      <c r="C63" s="29"/>
      <c r="D63" s="1184"/>
      <c r="E63" s="1168" t="s">
        <v>1493</v>
      </c>
      <c r="F63" s="347" t="e">
        <f t="shared" ca="1" si="0"/>
        <v>#N/A</v>
      </c>
      <c r="I63" s="1917" t="s">
        <v>1570</v>
      </c>
      <c r="J63" s="1918">
        <v>70</v>
      </c>
      <c r="K63" s="1918">
        <v>50</v>
      </c>
      <c r="L63" s="1918">
        <v>80</v>
      </c>
      <c r="M63" s="1920">
        <v>0.02</v>
      </c>
      <c r="O63" s="1858" t="s">
        <v>1571</v>
      </c>
      <c r="P63" s="1828"/>
      <c r="Q63" s="1828"/>
      <c r="R63" s="1828"/>
    </row>
    <row r="64" spans="1:18" s="1831" customFormat="1" ht="13.5" thickBot="1">
      <c r="A64" s="1200" t="s">
        <v>1494</v>
      </c>
      <c r="B64" s="1168" t="s">
        <v>1495</v>
      </c>
      <c r="C64" s="24" t="e">
        <f ca="1">ROUND(C57*F64,0)</f>
        <v>#N/A</v>
      </c>
      <c r="D64" s="1182" t="s">
        <v>1496</v>
      </c>
      <c r="E64" s="1168" t="s">
        <v>1488</v>
      </c>
      <c r="F64" s="373" t="e">
        <f t="shared" ca="1" si="0"/>
        <v>#N/A</v>
      </c>
      <c r="I64" s="1917" t="s">
        <v>1572</v>
      </c>
      <c r="J64" s="1918">
        <v>50</v>
      </c>
      <c r="K64" s="1918">
        <v>35</v>
      </c>
      <c r="L64" s="1918">
        <v>60</v>
      </c>
      <c r="M64" s="1919">
        <v>0</v>
      </c>
      <c r="O64" s="1866" t="s">
        <v>1516</v>
      </c>
      <c r="P64" s="1867" t="s">
        <v>1517</v>
      </c>
      <c r="Q64" s="1868" t="s">
        <v>1518</v>
      </c>
      <c r="R64" s="1868" t="s">
        <v>1519</v>
      </c>
    </row>
    <row r="65" spans="1:18" s="1831" customFormat="1" ht="13.5" thickBot="1">
      <c r="A65" s="1200" t="s">
        <v>1497</v>
      </c>
      <c r="B65" s="1168" t="s">
        <v>1447</v>
      </c>
      <c r="C65" s="24" t="e">
        <f ca="1">ROUND(C56*F65,0)</f>
        <v>#N/A</v>
      </c>
      <c r="D65" s="1182" t="s">
        <v>1448</v>
      </c>
      <c r="E65" s="1168" t="s">
        <v>1449</v>
      </c>
      <c r="F65" s="375" t="e">
        <f t="shared" ca="1" si="0"/>
        <v>#N/A</v>
      </c>
      <c r="I65" s="1917" t="s">
        <v>1573</v>
      </c>
      <c r="J65" s="1918">
        <v>40</v>
      </c>
      <c r="K65" s="1918">
        <v>30</v>
      </c>
      <c r="L65" s="1918">
        <v>50</v>
      </c>
      <c r="M65" s="1920">
        <v>0.02</v>
      </c>
      <c r="O65" s="1873" t="s">
        <v>1036</v>
      </c>
      <c r="P65" s="1874" t="s">
        <v>1574</v>
      </c>
      <c r="Q65" s="1875" t="e">
        <f ca="1">C40+J29</f>
        <v>#N/A</v>
      </c>
      <c r="R65" s="1875" t="s">
        <v>1523</v>
      </c>
    </row>
    <row r="66" spans="1:18" s="1831" customFormat="1" ht="16.5" thickBot="1">
      <c r="A66" s="1200" t="s">
        <v>1498</v>
      </c>
      <c r="B66" s="1168" t="s">
        <v>1433</v>
      </c>
      <c r="C66" s="24" t="e">
        <f ca="1">ROUND(C48*F66,0)</f>
        <v>#N/A</v>
      </c>
      <c r="D66" s="1182" t="s">
        <v>1499</v>
      </c>
      <c r="E66" s="1168" t="s">
        <v>1416</v>
      </c>
      <c r="F66" s="356" t="e">
        <f t="shared" ca="1" si="0"/>
        <v>#N/A</v>
      </c>
      <c r="O66" s="1873" t="s">
        <v>1037</v>
      </c>
      <c r="P66" s="1874" t="s">
        <v>1552</v>
      </c>
      <c r="Q66" s="1875" t="e">
        <f ca="1">L60</f>
        <v>#N/A</v>
      </c>
      <c r="R66" s="1875" t="s">
        <v>1575</v>
      </c>
    </row>
    <row r="67" spans="1:18" s="1831" customFormat="1" ht="16.5" thickBot="1">
      <c r="A67" s="1175" t="s">
        <v>1027</v>
      </c>
      <c r="B67" s="1185" t="s">
        <v>1457</v>
      </c>
      <c r="C67" s="360" t="e">
        <f ca="1">C48-C58</f>
        <v>#N/A</v>
      </c>
      <c r="D67" s="1181" t="s">
        <v>1458</v>
      </c>
      <c r="E67" s="1186"/>
      <c r="F67" s="1187"/>
      <c r="O67" s="1883" t="s">
        <v>1038</v>
      </c>
      <c r="P67" s="1874" t="s">
        <v>1556</v>
      </c>
      <c r="Q67" s="1921" t="e">
        <f ca="1">L51</f>
        <v>#N/A</v>
      </c>
      <c r="R67" s="1875" t="s">
        <v>1576</v>
      </c>
    </row>
    <row r="68" spans="1:18" s="1831" customFormat="1" ht="16.5" thickBot="1">
      <c r="A68" s="1165" t="s">
        <v>1028</v>
      </c>
      <c r="B68" s="1166" t="s">
        <v>1479</v>
      </c>
      <c r="C68" s="345" t="e">
        <f ca="1">ROUND(C67*(1-((1+F70)/(1+F68))^F69)/(F68-F70),0)</f>
        <v>#N/A</v>
      </c>
      <c r="D68" s="1183" t="s">
        <v>1463</v>
      </c>
      <c r="E68" s="1168" t="s">
        <v>1464</v>
      </c>
      <c r="F68" s="356" t="e">
        <f ca="1">F40</f>
        <v>#N/A</v>
      </c>
      <c r="O68" s="1883" t="s">
        <v>1039</v>
      </c>
      <c r="P68" s="1922" t="s">
        <v>1577</v>
      </c>
      <c r="Q68" s="1875" t="e">
        <f ca="1">ROUND(Q69-Q70*Q71,0)</f>
        <v>#N/A</v>
      </c>
      <c r="R68" s="1875" t="s">
        <v>1047</v>
      </c>
    </row>
    <row r="69" spans="1:18" s="1831" customFormat="1" ht="13.5" thickBot="1">
      <c r="A69" s="1169"/>
      <c r="B69" s="1170"/>
      <c r="C69" s="350"/>
      <c r="D69" s="1188" t="s">
        <v>1467</v>
      </c>
      <c r="E69" s="1168" t="s">
        <v>1468</v>
      </c>
      <c r="F69" s="378" t="e">
        <f ca="1">F41</f>
        <v>#N/A</v>
      </c>
      <c r="O69" s="1883" t="s">
        <v>1044</v>
      </c>
      <c r="P69" s="1922" t="s">
        <v>1578</v>
      </c>
      <c r="Q69" s="1875" t="e">
        <f ca="1">C39</f>
        <v>#N/A</v>
      </c>
      <c r="R69" s="1875" t="s">
        <v>1523</v>
      </c>
    </row>
    <row r="70" spans="1:18" s="1831" customFormat="1" ht="13.5" thickBot="1">
      <c r="A70" s="1172"/>
      <c r="B70" s="1173"/>
      <c r="C70" s="354"/>
      <c r="D70" s="1184"/>
      <c r="E70" s="1168" t="s">
        <v>1471</v>
      </c>
      <c r="F70" s="1274" t="e">
        <f ca="1">F42</f>
        <v>#N/A</v>
      </c>
      <c r="O70" s="1883" t="s">
        <v>1045</v>
      </c>
      <c r="P70" s="1922" t="s">
        <v>1579</v>
      </c>
      <c r="Q70" s="1875" t="e">
        <f ca="1">C13</f>
        <v>#N/A</v>
      </c>
      <c r="R70" s="1875" t="s">
        <v>1523</v>
      </c>
    </row>
    <row r="71" spans="1:18" s="1831" customFormat="1" ht="13.5" thickBot="1">
      <c r="A71" s="1189" t="s">
        <v>1029</v>
      </c>
      <c r="B71" s="1190" t="s">
        <v>1481</v>
      </c>
      <c r="C71" s="381" t="e">
        <f ca="1">ROUND(C68/F71,0)</f>
        <v>#N/A</v>
      </c>
      <c r="D71" s="1191" t="s">
        <v>1482</v>
      </c>
      <c r="E71" s="1192" t="s">
        <v>1483</v>
      </c>
      <c r="F71" s="384" t="e">
        <f ca="1">F43</f>
        <v>#N/A</v>
      </c>
      <c r="O71" s="1883" t="s">
        <v>1046</v>
      </c>
      <c r="P71" s="1922" t="s">
        <v>1580</v>
      </c>
      <c r="Q71" s="1886" t="e">
        <f ca="1">C76</f>
        <v>#N/A</v>
      </c>
      <c r="R71" s="1875"/>
    </row>
    <row r="72" spans="1:18" s="1831" customFormat="1" ht="13.5" thickBot="1">
      <c r="B72" s="795"/>
      <c r="C72" s="795"/>
      <c r="O72" s="1883" t="s">
        <v>1040</v>
      </c>
      <c r="P72" s="1874" t="s">
        <v>1558</v>
      </c>
      <c r="Q72" s="1886">
        <f>L52</f>
        <v>0</v>
      </c>
      <c r="R72" s="1875"/>
    </row>
    <row r="73" spans="1:18" ht="16.5" thickBot="1">
      <c r="A73" s="1831"/>
      <c r="B73" s="795"/>
      <c r="C73" s="795"/>
      <c r="D73" s="1831"/>
      <c r="E73" s="1831"/>
      <c r="F73" s="1831"/>
      <c r="O73" s="1883" t="s">
        <v>1041</v>
      </c>
      <c r="P73" s="1874" t="s">
        <v>1561</v>
      </c>
      <c r="Q73" s="1875" t="e">
        <f ca="1">L58</f>
        <v>#N/A</v>
      </c>
      <c r="R73" s="1875" t="s">
        <v>1562</v>
      </c>
    </row>
    <row r="74" spans="1:18" ht="13.5" thickBot="1">
      <c r="A74" s="1831"/>
      <c r="B74" s="317" t="s">
        <v>1581</v>
      </c>
      <c r="C74" s="1924"/>
      <c r="D74" s="1831"/>
      <c r="E74" s="1831"/>
      <c r="F74" s="1831"/>
      <c r="O74" s="1883" t="s">
        <v>1048</v>
      </c>
      <c r="P74" s="1874" t="str">
        <f>K59</f>
        <v>续建工期及建筑物耐用年限下的土地年期修正系数Kn</v>
      </c>
      <c r="Q74" s="1875" t="e">
        <f ca="1">L59</f>
        <v>#N/A</v>
      </c>
      <c r="R74" s="1875" t="s">
        <v>1563</v>
      </c>
    </row>
    <row r="75" spans="1:18" ht="13.5" thickBot="1">
      <c r="A75" s="1831"/>
      <c r="B75" s="385" t="s">
        <v>1500</v>
      </c>
      <c r="C75" s="386" t="e">
        <f ca="1">ROUND(C13*C76,0)</f>
        <v>#N/A</v>
      </c>
      <c r="D75" s="1831"/>
      <c r="E75" s="1831"/>
      <c r="F75" s="1831"/>
      <c r="K75" s="1857"/>
      <c r="L75" s="1831"/>
      <c r="O75" s="1873" t="s">
        <v>1042</v>
      </c>
      <c r="P75" s="1874" t="s">
        <v>1543</v>
      </c>
      <c r="Q75" s="1875" t="e">
        <f ca="1">Q65+Q66</f>
        <v>#N/A</v>
      </c>
      <c r="R75" s="1875" t="s">
        <v>1043</v>
      </c>
    </row>
    <row r="76" spans="1:18">
      <c r="B76" s="387" t="s">
        <v>1501</v>
      </c>
      <c r="C76" s="388" t="e">
        <f ca="1">INDIRECT("'数据-取费表'!j"&amp;$G$1)</f>
        <v>#N/A</v>
      </c>
      <c r="I76" s="1831"/>
      <c r="J76" s="1831"/>
      <c r="K76" s="1857"/>
      <c r="L76" s="1831"/>
    </row>
    <row r="77" spans="1:18">
      <c r="B77" s="389" t="s">
        <v>1502</v>
      </c>
      <c r="C77" s="390"/>
      <c r="I77" s="1831"/>
      <c r="J77" s="1831"/>
      <c r="K77" s="1857"/>
      <c r="L77" s="1831"/>
    </row>
    <row r="78" spans="1:18">
      <c r="B78" s="314" t="s">
        <v>1503</v>
      </c>
      <c r="C78" s="391"/>
    </row>
    <row r="79" spans="1:18">
      <c r="B79" s="385" t="s">
        <v>1504</v>
      </c>
      <c r="C79" s="318" t="e">
        <f ca="1">1-C80</f>
        <v>#N/A</v>
      </c>
    </row>
    <row r="80" spans="1:18">
      <c r="B80" s="385" t="s">
        <v>1505</v>
      </c>
      <c r="C80" s="318" t="e">
        <f ca="1">ROUND(C75/C39,3)</f>
        <v>#N/A</v>
      </c>
    </row>
    <row r="81" spans="2:3">
      <c r="B81" s="314" t="s">
        <v>1506</v>
      </c>
      <c r="C81" s="282"/>
    </row>
    <row r="82" spans="2:3">
      <c r="B82" s="317" t="s">
        <v>1507</v>
      </c>
      <c r="C82" s="319" t="e">
        <f ca="1">1-C83</f>
        <v>#N/A</v>
      </c>
    </row>
    <row r="83" spans="2:3">
      <c r="B83" s="317" t="s">
        <v>1508</v>
      </c>
      <c r="C83" s="318"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33" customWidth="1"/>
    <col min="2" max="2" width="12" style="1933" customWidth="1"/>
    <col min="3" max="3" width="9" style="1933"/>
    <col min="4" max="4" width="14.125" style="1933" customWidth="1"/>
    <col min="5" max="5" width="9" style="1933"/>
    <col min="6" max="6" width="12.875" style="1933" customWidth="1"/>
    <col min="7" max="16384" width="9" style="1933"/>
  </cols>
  <sheetData>
    <row r="1" spans="1:6" ht="21">
      <c r="A1" s="2548" t="s">
        <v>2521</v>
      </c>
      <c r="B1" s="2549"/>
      <c r="C1" s="2549"/>
      <c r="D1" s="2549"/>
      <c r="E1" s="2550"/>
    </row>
    <row r="2" spans="1:6" ht="15.75">
      <c r="A2" s="2551" t="s">
        <v>2325</v>
      </c>
      <c r="B2" s="2552">
        <f ca="1">SUMIF(B6:B13,"&lt;&gt;#ref!",B6:B13)</f>
        <v>1026</v>
      </c>
      <c r="C2" s="2553" t="s">
        <v>2514</v>
      </c>
      <c r="D2" s="2554" t="s">
        <v>2515</v>
      </c>
      <c r="E2" s="2555">
        <f>SUM(E6:E13)</f>
        <v>4756.67</v>
      </c>
    </row>
    <row r="3" spans="1:6" ht="15.75">
      <c r="A3" s="2551" t="s">
        <v>1389</v>
      </c>
      <c r="B3" s="2552">
        <f ca="1">ROUND(B2*10000/E2,0)</f>
        <v>2157</v>
      </c>
      <c r="C3" s="2553" t="s">
        <v>2522</v>
      </c>
      <c r="D3" s="2556"/>
      <c r="E3" s="2557"/>
    </row>
    <row r="4" spans="1:6" ht="15.75">
      <c r="A4" s="2558"/>
      <c r="B4" s="2556"/>
      <c r="C4" s="2556"/>
      <c r="D4" s="2556"/>
      <c r="E4" s="2557"/>
    </row>
    <row r="5" spans="1:6" ht="15">
      <c r="A5" s="2559" t="s">
        <v>2516</v>
      </c>
      <c r="B5" s="3186" t="s">
        <v>2517</v>
      </c>
      <c r="C5" s="3186"/>
      <c r="D5" s="2560"/>
      <c r="E5" s="2561" t="s">
        <v>2518</v>
      </c>
      <c r="F5" s="2562" t="s">
        <v>2519</v>
      </c>
    </row>
    <row r="6" spans="1:6">
      <c r="A6" s="2563">
        <f>'数据-取费表'!AN6</f>
        <v>0</v>
      </c>
      <c r="B6" s="2562" t="e">
        <f ca="1">IF(F6="是",'数据-取费表'!AO6,0)</f>
        <v>#REF!</v>
      </c>
      <c r="C6" s="2553" t="s">
        <v>2514</v>
      </c>
      <c r="D6" s="2556"/>
      <c r="E6" s="2564">
        <f>IF(OR(A6=0,F6="否"),0,'数据-取费表'!K6+'数据-取费表'!S6)</f>
        <v>0</v>
      </c>
      <c r="F6" s="2565" t="s">
        <v>2520</v>
      </c>
    </row>
    <row r="7" spans="1:6">
      <c r="A7" s="2563">
        <f>'数据-取费表'!AN7</f>
        <v>0</v>
      </c>
      <c r="B7" s="2562" t="e">
        <f ca="1">IF(F7="是",'数据-取费表'!AO7,0)</f>
        <v>#REF!</v>
      </c>
      <c r="C7" s="2553" t="s">
        <v>2514</v>
      </c>
      <c r="D7" s="2556"/>
      <c r="E7" s="2564">
        <f>IF(OR(A7=0,F7="否"),0,'数据-取费表'!K7+'数据-取费表'!S7)</f>
        <v>0</v>
      </c>
      <c r="F7" s="2565" t="s">
        <v>2520</v>
      </c>
    </row>
    <row r="8" spans="1:6">
      <c r="A8" s="2563">
        <f>'数据-取费表'!AN8</f>
        <v>0</v>
      </c>
      <c r="B8" s="2562" t="e">
        <f ca="1">IF(F8="是",'数据-取费表'!AO8,0)</f>
        <v>#REF!</v>
      </c>
      <c r="C8" s="2553" t="s">
        <v>2514</v>
      </c>
      <c r="D8" s="2556"/>
      <c r="E8" s="2564">
        <f>IF(OR(A8=0,F8="否"),0,'数据-取费表'!K8+'数据-取费表'!S8)</f>
        <v>0</v>
      </c>
      <c r="F8" s="2565" t="s">
        <v>2520</v>
      </c>
    </row>
    <row r="9" spans="1:6">
      <c r="A9" s="2563" t="str">
        <f>'数据-取费表'!AN9</f>
        <v>收益法</v>
      </c>
      <c r="B9" s="2562">
        <f ca="1">IF(F9="是",'数据-取费表'!AO9,0)</f>
        <v>1026</v>
      </c>
      <c r="C9" s="2553" t="s">
        <v>2514</v>
      </c>
      <c r="D9" s="2556"/>
      <c r="E9" s="2564">
        <f>IF(OR(A9=0,F9="否"),0,'数据-取费表'!K9+'数据-取费表'!S9)</f>
        <v>4756.67</v>
      </c>
      <c r="F9" s="2565" t="s">
        <v>2520</v>
      </c>
    </row>
    <row r="10" spans="1:6">
      <c r="A10" s="2563">
        <f>'数据-取费表'!AN10</f>
        <v>0</v>
      </c>
      <c r="B10" s="2562" t="e">
        <f ca="1">IF(F10="是",'数据-取费表'!AO10,0)</f>
        <v>#REF!</v>
      </c>
      <c r="C10" s="2553" t="s">
        <v>2514</v>
      </c>
      <c r="D10" s="2556"/>
      <c r="E10" s="2564">
        <f>IF(OR(A10=0,F10="否"),0,'数据-取费表'!K10+'数据-取费表'!S10)</f>
        <v>0</v>
      </c>
      <c r="F10" s="2565" t="s">
        <v>2520</v>
      </c>
    </row>
    <row r="11" spans="1:6">
      <c r="A11" s="2563">
        <f>'数据-取费表'!AN11</f>
        <v>0</v>
      </c>
      <c r="B11" s="2562" t="e">
        <f ca="1">IF(F11="是",'数据-取费表'!AO11,0)</f>
        <v>#REF!</v>
      </c>
      <c r="C11" s="2553" t="s">
        <v>2514</v>
      </c>
      <c r="D11" s="2556"/>
      <c r="E11" s="2564">
        <f>IF(OR(A11=0,F11="否"),0,'数据-取费表'!K11+'数据-取费表'!S11)</f>
        <v>0</v>
      </c>
      <c r="F11" s="2565" t="s">
        <v>2520</v>
      </c>
    </row>
    <row r="12" spans="1:6">
      <c r="A12" s="2563">
        <f>'数据-取费表'!AN12</f>
        <v>0</v>
      </c>
      <c r="B12" s="2562" t="e">
        <f ca="1">IF(F12="是",'数据-取费表'!AO12,0)</f>
        <v>#REF!</v>
      </c>
      <c r="C12" s="2553" t="s">
        <v>2514</v>
      </c>
      <c r="D12" s="2556"/>
      <c r="E12" s="2564">
        <f>IF(OR(A12=0,F12="否"),0,'数据-取费表'!K12+'数据-取费表'!S12)</f>
        <v>0</v>
      </c>
      <c r="F12" s="2565" t="s">
        <v>2520</v>
      </c>
    </row>
    <row r="13" spans="1:6" ht="15" thickBot="1">
      <c r="A13" s="2566">
        <f>'数据-取费表'!AN13</f>
        <v>0</v>
      </c>
      <c r="B13" s="2562" t="e">
        <f ca="1">IF(F13="是",'数据-取费表'!AO13,0)</f>
        <v>#REF!</v>
      </c>
      <c r="C13" s="2567" t="s">
        <v>2514</v>
      </c>
      <c r="D13" s="2568"/>
      <c r="E13" s="2564">
        <f>IF(OR(A13=0,F13="否"),0,'数据-取费表'!K13+'数据-取费表'!S13)</f>
        <v>0</v>
      </c>
      <c r="F13" s="2565"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19" sqref="F19"/>
    </sheetView>
  </sheetViews>
  <sheetFormatPr defaultRowHeight="13.5"/>
  <cols>
    <col min="1" max="1" width="10.5" customWidth="1"/>
    <col min="2" max="2" width="12.875" customWidth="1"/>
    <col min="3" max="3" width="8.75" customWidth="1"/>
  </cols>
  <sheetData>
    <row r="1" spans="1:9" ht="14.25">
      <c r="A1" s="3187" t="s">
        <v>1072</v>
      </c>
      <c r="B1" s="3188"/>
      <c r="C1" s="3189"/>
      <c r="D1" s="3190">
        <f>SUM(I10,I15,I20,I21,I23)</f>
        <v>0</v>
      </c>
      <c r="E1" s="3190"/>
      <c r="F1" s="3190"/>
      <c r="G1" s="3190"/>
      <c r="H1" s="3190"/>
      <c r="I1" s="3191"/>
    </row>
    <row r="2" spans="1:9">
      <c r="A2" s="3192" t="s">
        <v>1073</v>
      </c>
      <c r="B2" s="3193" t="s">
        <v>1074</v>
      </c>
      <c r="C2" s="3193"/>
      <c r="D2" s="1300" t="s">
        <v>1075</v>
      </c>
      <c r="E2" s="1300" t="s">
        <v>1076</v>
      </c>
      <c r="F2" s="1300" t="s">
        <v>1077</v>
      </c>
      <c r="G2" s="1300" t="s">
        <v>1078</v>
      </c>
      <c r="H2" s="1300" t="s">
        <v>1079</v>
      </c>
      <c r="I2" s="1301" t="s">
        <v>1080</v>
      </c>
    </row>
    <row r="3" spans="1:9">
      <c r="A3" s="3192"/>
      <c r="B3" s="3193" t="s">
        <v>1081</v>
      </c>
      <c r="C3" s="3193"/>
      <c r="D3" s="1302"/>
      <c r="E3" s="1300"/>
      <c r="F3" s="1303"/>
      <c r="G3" s="1303"/>
      <c r="H3" s="1304"/>
      <c r="I3" s="1305">
        <f>ROUND(D3*E3*F3*G3*H3/10000,0)</f>
        <v>0</v>
      </c>
    </row>
    <row r="4" spans="1:9">
      <c r="A4" s="3192"/>
      <c r="B4" s="3193" t="s">
        <v>1082</v>
      </c>
      <c r="C4" s="3193"/>
      <c r="D4" s="1302"/>
      <c r="E4" s="1300"/>
      <c r="F4" s="1303"/>
      <c r="G4" s="1303"/>
      <c r="H4" s="1304"/>
      <c r="I4" s="1305">
        <f t="shared" ref="I4:I9" si="0">ROUND(D4*E4*F4*G4*H4/10000,0)</f>
        <v>0</v>
      </c>
    </row>
    <row r="5" spans="1:9">
      <c r="A5" s="3192"/>
      <c r="B5" s="3193" t="s">
        <v>1083</v>
      </c>
      <c r="C5" s="3193"/>
      <c r="D5" s="1302"/>
      <c r="E5" s="1300"/>
      <c r="F5" s="1303"/>
      <c r="G5" s="1303"/>
      <c r="H5" s="1304"/>
      <c r="I5" s="1305">
        <f t="shared" si="0"/>
        <v>0</v>
      </c>
    </row>
    <row r="6" spans="1:9">
      <c r="A6" s="3192"/>
      <c r="B6" s="3193" t="s">
        <v>1084</v>
      </c>
      <c r="C6" s="3193"/>
      <c r="D6" s="1302"/>
      <c r="E6" s="1300"/>
      <c r="F6" s="1303"/>
      <c r="G6" s="1303"/>
      <c r="H6" s="1304"/>
      <c r="I6" s="1305">
        <f t="shared" si="0"/>
        <v>0</v>
      </c>
    </row>
    <row r="7" spans="1:9">
      <c r="A7" s="3192"/>
      <c r="B7" s="3193" t="s">
        <v>1085</v>
      </c>
      <c r="C7" s="3193"/>
      <c r="D7" s="1302"/>
      <c r="E7" s="1300"/>
      <c r="F7" s="1303"/>
      <c r="G7" s="1303"/>
      <c r="H7" s="1304"/>
      <c r="I7" s="1305">
        <f t="shared" si="0"/>
        <v>0</v>
      </c>
    </row>
    <row r="8" spans="1:9">
      <c r="A8" s="3192"/>
      <c r="B8" s="3193" t="s">
        <v>1086</v>
      </c>
      <c r="C8" s="3193"/>
      <c r="D8" s="1302"/>
      <c r="E8" s="1300"/>
      <c r="F8" s="1303"/>
      <c r="G8" s="1303"/>
      <c r="H8" s="1304"/>
      <c r="I8" s="1305">
        <f t="shared" si="0"/>
        <v>0</v>
      </c>
    </row>
    <row r="9" spans="1:9">
      <c r="A9" s="3192"/>
      <c r="B9" s="3193" t="s">
        <v>1087</v>
      </c>
      <c r="C9" s="3193"/>
      <c r="D9" s="1302"/>
      <c r="E9" s="1300"/>
      <c r="F9" s="1303"/>
      <c r="G9" s="1303"/>
      <c r="H9" s="1304"/>
      <c r="I9" s="1305">
        <f t="shared" si="0"/>
        <v>0</v>
      </c>
    </row>
    <row r="10" spans="1:9">
      <c r="A10" s="3192"/>
      <c r="B10" s="3194" t="s">
        <v>1088</v>
      </c>
      <c r="C10" s="3194"/>
      <c r="D10" s="1306"/>
      <c r="E10" s="1306" t="e">
        <f>ROUND(D1*10000/D10/H9,0)</f>
        <v>#DIV/0!</v>
      </c>
      <c r="F10" s="1307"/>
      <c r="G10" s="1307"/>
      <c r="H10" s="1308"/>
      <c r="I10" s="1309">
        <f>SUM(I3:I9)</f>
        <v>0</v>
      </c>
    </row>
    <row r="11" spans="1:9" ht="14.25">
      <c r="A11" s="3192" t="s">
        <v>1089</v>
      </c>
      <c r="B11" s="3193" t="s">
        <v>1090</v>
      </c>
      <c r="C11" s="3193"/>
      <c r="D11" s="1302" t="s">
        <v>1091</v>
      </c>
      <c r="E11" s="1302" t="s">
        <v>1092</v>
      </c>
      <c r="F11" s="1303" t="s">
        <v>1093</v>
      </c>
      <c r="G11" s="1303" t="s">
        <v>1079</v>
      </c>
      <c r="H11" s="1310" t="s">
        <v>1094</v>
      </c>
      <c r="I11" s="1301" t="s">
        <v>1080</v>
      </c>
    </row>
    <row r="12" spans="1:9">
      <c r="A12" s="3192"/>
      <c r="B12" s="3193" t="s">
        <v>1095</v>
      </c>
      <c r="C12" s="3193"/>
      <c r="D12" s="1302"/>
      <c r="E12" s="1302"/>
      <c r="F12" s="1303"/>
      <c r="G12" s="1304"/>
      <c r="H12" s="1311"/>
      <c r="I12" s="1301">
        <f>ROUND(D12*E12*F12*G12/10000,0)</f>
        <v>0</v>
      </c>
    </row>
    <row r="13" spans="1:9">
      <c r="A13" s="3192"/>
      <c r="B13" s="3193" t="s">
        <v>1096</v>
      </c>
      <c r="C13" s="3193"/>
      <c r="D13" s="1302"/>
      <c r="E13" s="1302"/>
      <c r="F13" s="1303"/>
      <c r="G13" s="1304"/>
      <c r="H13" s="1311"/>
      <c r="I13" s="1301">
        <f>ROUND(D13*E13*F13*G13/10000,0)</f>
        <v>0</v>
      </c>
    </row>
    <row r="14" spans="1:9">
      <c r="A14" s="3192"/>
      <c r="B14" s="3193" t="s">
        <v>1097</v>
      </c>
      <c r="C14" s="3193"/>
      <c r="D14" s="1302"/>
      <c r="E14" s="1302"/>
      <c r="F14" s="1303"/>
      <c r="G14" s="1304"/>
      <c r="H14" s="1311"/>
      <c r="I14" s="1301">
        <f>ROUND(D14*E14*F14*G14/10000,0)</f>
        <v>0</v>
      </c>
    </row>
    <row r="15" spans="1:9">
      <c r="A15" s="3192"/>
      <c r="B15" s="3194" t="s">
        <v>1088</v>
      </c>
      <c r="C15" s="3194"/>
      <c r="D15" s="1306"/>
      <c r="E15" s="1306">
        <f>SUM(E12:E14)</f>
        <v>0</v>
      </c>
      <c r="F15" s="1307"/>
      <c r="G15" s="1304"/>
      <c r="H15" s="1311"/>
      <c r="I15" s="1312">
        <f>SUM(I12:I14)</f>
        <v>0</v>
      </c>
    </row>
    <row r="16" spans="1:9" ht="24">
      <c r="A16" s="3192" t="s">
        <v>1098</v>
      </c>
      <c r="B16" s="3193" t="s">
        <v>1099</v>
      </c>
      <c r="C16" s="3193"/>
      <c r="D16" s="1302" t="s">
        <v>1075</v>
      </c>
      <c r="E16" s="1313" t="s">
        <v>1100</v>
      </c>
      <c r="F16" s="1303" t="s">
        <v>1101</v>
      </c>
      <c r="G16" s="1304" t="s">
        <v>1079</v>
      </c>
      <c r="H16" s="1310" t="s">
        <v>1094</v>
      </c>
      <c r="I16" s="1301" t="s">
        <v>1080</v>
      </c>
    </row>
    <row r="17" spans="1:9" ht="14.25">
      <c r="A17" s="3192"/>
      <c r="B17" s="3193" t="s">
        <v>1102</v>
      </c>
      <c r="C17" s="3193"/>
      <c r="D17" s="1302"/>
      <c r="E17" s="1302"/>
      <c r="F17" s="1303"/>
      <c r="G17" s="1304"/>
      <c r="H17" s="1314"/>
      <c r="I17" s="1315">
        <f>ROUND(D17*E17*F17*G17/10000,0)</f>
        <v>0</v>
      </c>
    </row>
    <row r="18" spans="1:9" ht="14.25">
      <c r="A18" s="3192"/>
      <c r="B18" s="3193" t="s">
        <v>1103</v>
      </c>
      <c r="C18" s="3193"/>
      <c r="D18" s="1302"/>
      <c r="E18" s="1302"/>
      <c r="F18" s="1303"/>
      <c r="G18" s="1304"/>
      <c r="H18" s="1314"/>
      <c r="I18" s="1315">
        <f>ROUND(D18*E18*F18*G18/10000,0)</f>
        <v>0</v>
      </c>
    </row>
    <row r="19" spans="1:9" ht="14.25">
      <c r="A19" s="3192"/>
      <c r="B19" s="3193" t="s">
        <v>1104</v>
      </c>
      <c r="C19" s="3193"/>
      <c r="D19" s="1302"/>
      <c r="E19" s="1302"/>
      <c r="F19" s="1303"/>
      <c r="G19" s="1304"/>
      <c r="H19" s="1314"/>
      <c r="I19" s="1315">
        <f>ROUND(D19*E19*F19*G19/10000,0)</f>
        <v>0</v>
      </c>
    </row>
    <row r="20" spans="1:9">
      <c r="A20" s="3192"/>
      <c r="B20" s="3194" t="s">
        <v>1088</v>
      </c>
      <c r="C20" s="3194"/>
      <c r="D20" s="1306">
        <f>SUM(D17:D19)</f>
        <v>0</v>
      </c>
      <c r="E20" s="1306"/>
      <c r="F20" s="1307"/>
      <c r="G20" s="1304"/>
      <c r="H20" s="1311"/>
      <c r="I20" s="1312">
        <f>SUM(I17:I19)</f>
        <v>0</v>
      </c>
    </row>
    <row r="21" spans="1:9">
      <c r="A21" s="3192" t="s">
        <v>1105</v>
      </c>
      <c r="B21" s="3196"/>
      <c r="C21" s="3196"/>
      <c r="D21" s="3196"/>
      <c r="E21" s="3196"/>
      <c r="F21" s="3196"/>
      <c r="G21" s="3196"/>
      <c r="H21" s="1754">
        <v>0.1</v>
      </c>
      <c r="I21" s="1309">
        <f>ROUND(I10*H21,0)</f>
        <v>0</v>
      </c>
    </row>
    <row r="22" spans="1:9" ht="14.25">
      <c r="A22" s="3197" t="s">
        <v>1106</v>
      </c>
      <c r="B22" s="3198"/>
      <c r="C22" s="3199"/>
      <c r="D22" s="1316" t="s">
        <v>1107</v>
      </c>
      <c r="E22" s="1316" t="s">
        <v>1108</v>
      </c>
      <c r="F22" s="1317" t="s">
        <v>1109</v>
      </c>
      <c r="G22" s="1317" t="s">
        <v>1110</v>
      </c>
      <c r="H22" s="1310" t="s">
        <v>1111</v>
      </c>
      <c r="I22" s="1301" t="s">
        <v>1112</v>
      </c>
    </row>
    <row r="23" spans="1:9" ht="14.25" thickBot="1">
      <c r="A23" s="3200"/>
      <c r="B23" s="3201"/>
      <c r="C23" s="3202"/>
      <c r="D23" s="1318"/>
      <c r="E23" s="1318"/>
      <c r="F23" s="1318"/>
      <c r="G23" s="1319"/>
      <c r="H23" s="1320"/>
      <c r="I23" s="1321">
        <f>ROUND(E23*D23*F23*(1-G23)/10000,0)</f>
        <v>0</v>
      </c>
    </row>
    <row r="26" spans="1:9">
      <c r="A26" s="1322" t="s">
        <v>1113</v>
      </c>
      <c r="B26" s="1322"/>
      <c r="C26" s="1322"/>
      <c r="D26" s="1322"/>
      <c r="E26" s="3203">
        <f>C27-C30-C31-C32</f>
        <v>0</v>
      </c>
      <c r="F26" s="3203"/>
      <c r="G26" s="3203"/>
      <c r="H26" s="1734" t="s">
        <v>1335</v>
      </c>
    </row>
    <row r="27" spans="1:9">
      <c r="A27" s="1323">
        <v>1</v>
      </c>
      <c r="B27" s="1324" t="s">
        <v>1114</v>
      </c>
      <c r="C27" s="1324">
        <f>C28+C29</f>
        <v>0</v>
      </c>
      <c r="D27" s="1324"/>
      <c r="E27" s="3204"/>
      <c r="F27" s="3204"/>
      <c r="G27" s="3204"/>
    </row>
    <row r="28" spans="1:9">
      <c r="A28" s="1325" t="s">
        <v>1115</v>
      </c>
      <c r="B28" s="1324" t="s">
        <v>1116</v>
      </c>
      <c r="C28" s="1324"/>
      <c r="D28" s="1324"/>
      <c r="E28" s="3204"/>
      <c r="F28" s="3204"/>
      <c r="G28" s="3204"/>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195"/>
      <c r="F32" s="3195"/>
      <c r="G32" s="3195"/>
    </row>
    <row r="33" spans="1:7" hidden="1">
      <c r="A33" s="3205" t="s">
        <v>1125</v>
      </c>
      <c r="B33" s="3206"/>
      <c r="C33" s="3206"/>
      <c r="D33" s="3207"/>
      <c r="E33" s="3203"/>
      <c r="F33" s="3203"/>
      <c r="G33" s="3203"/>
    </row>
    <row r="34" spans="1:7" hidden="1">
      <c r="A34" s="1327">
        <v>1</v>
      </c>
      <c r="B34" s="1324" t="s">
        <v>1126</v>
      </c>
      <c r="C34" s="1324"/>
      <c r="D34" s="1324"/>
      <c r="E34" s="3204"/>
      <c r="F34" s="3204"/>
      <c r="G34" s="3204"/>
    </row>
    <row r="35" spans="1:7" hidden="1">
      <c r="A35" s="1327">
        <v>2</v>
      </c>
      <c r="B35" s="1324" t="s">
        <v>1127</v>
      </c>
      <c r="C35" s="1324"/>
      <c r="D35" s="1324"/>
      <c r="E35" s="3204"/>
      <c r="F35" s="3204"/>
      <c r="G35" s="3204"/>
    </row>
    <row r="36" spans="1:7" hidden="1">
      <c r="A36" s="1327">
        <v>3</v>
      </c>
      <c r="B36" s="1324" t="s">
        <v>1128</v>
      </c>
      <c r="C36" s="1324"/>
      <c r="D36" s="1324"/>
      <c r="E36" s="3204"/>
      <c r="F36" s="3204"/>
      <c r="G36" s="3204"/>
    </row>
    <row r="37" spans="1:7" hidden="1">
      <c r="A37" s="1327">
        <v>4</v>
      </c>
      <c r="B37" s="1324" t="s">
        <v>1129</v>
      </c>
      <c r="C37" s="1324"/>
      <c r="D37" s="1324"/>
      <c r="E37" s="3204"/>
      <c r="F37" s="3204"/>
      <c r="G37" s="3204"/>
    </row>
    <row r="38" spans="1:7" hidden="1">
      <c r="A38" s="3205" t="s">
        <v>1130</v>
      </c>
      <c r="B38" s="3206"/>
      <c r="C38" s="3206"/>
      <c r="D38" s="3207"/>
      <c r="E38" s="3203"/>
      <c r="F38" s="3203"/>
      <c r="G38" s="320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1" zoomScale="85" zoomScaleNormal="85" workbookViewId="0">
      <selection activeCell="K47" sqref="K47"/>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0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569" t="s">
        <v>2524</v>
      </c>
      <c r="C1" s="1631" t="s">
        <v>2525</v>
      </c>
      <c r="D1" s="1618" t="s">
        <v>3308</v>
      </c>
      <c r="E1" s="2570"/>
      <c r="F1" s="2571" t="s">
        <v>2526</v>
      </c>
      <c r="G1" s="1628" t="s">
        <v>2527</v>
      </c>
      <c r="H1" s="1627"/>
      <c r="I1" s="1627"/>
      <c r="J1" s="1627"/>
      <c r="K1" s="1629"/>
      <c r="L1" s="1630"/>
      <c r="M1" s="1631"/>
      <c r="N1" s="1631"/>
      <c r="O1" s="1631"/>
      <c r="P1" s="2572"/>
      <c r="Q1" s="1617"/>
      <c r="R1" s="1617"/>
      <c r="S1" s="1617"/>
      <c r="T1" s="1617"/>
      <c r="U1" s="1617"/>
      <c r="V1" s="1617"/>
      <c r="W1" s="1617"/>
      <c r="X1" s="1617"/>
      <c r="Y1" s="1617"/>
      <c r="Z1" s="1617"/>
      <c r="AA1" s="1617"/>
      <c r="AB1" s="1617"/>
      <c r="AC1" s="1625"/>
    </row>
    <row r="2" spans="1:29" s="392" customFormat="1" ht="28.5" customHeight="1" thickTop="1">
      <c r="A2" s="1614" t="s">
        <v>1388</v>
      </c>
      <c r="B2" s="1415">
        <f>IF(C2="——",ROUND(C49*D3/10000,0),ROUND(C49*D3/10000,0)-D2)</f>
        <v>9259</v>
      </c>
      <c r="C2" s="2573" t="s">
        <v>70</v>
      </c>
      <c r="D2" s="1362" t="e">
        <f ca="1">SUMIF(INDIRECT("'"&amp;F2&amp;"'"&amp;"!A:A"),"承租人权益价值",INDIRECT("'"&amp;F2&amp;"'"&amp;"!c:c"))</f>
        <v>#REF!</v>
      </c>
      <c r="E2" s="2574" t="s">
        <v>2326</v>
      </c>
      <c r="F2" s="2575"/>
      <c r="G2" s="1123"/>
      <c r="H2" s="1123"/>
      <c r="I2" s="1123"/>
      <c r="J2" s="1123"/>
      <c r="K2" s="2576"/>
      <c r="L2" s="2577"/>
      <c r="M2" s="2578"/>
      <c r="N2" s="2578"/>
      <c r="O2" s="2578"/>
      <c r="P2" s="2579"/>
      <c r="Q2" s="2580"/>
      <c r="R2" s="2580"/>
      <c r="S2" s="2580"/>
      <c r="T2" s="2580"/>
      <c r="U2" s="2580"/>
      <c r="V2" s="2580"/>
      <c r="W2" s="2580"/>
      <c r="X2" s="2580"/>
      <c r="Y2" s="2580"/>
      <c r="Z2" s="2580"/>
      <c r="AA2" s="2580"/>
      <c r="AB2" s="2580"/>
      <c r="AC2" s="2581"/>
    </row>
    <row r="3" spans="1:29" s="392" customFormat="1" ht="28.5" customHeight="1" thickBot="1">
      <c r="A3" s="247" t="s">
        <v>1389</v>
      </c>
      <c r="B3" s="398">
        <f>IF(C2="——",C49,ROUND(B2*10000/D3,0))</f>
        <v>34952</v>
      </c>
      <c r="C3" s="399" t="s">
        <v>2529</v>
      </c>
      <c r="D3" s="398">
        <f>IF(D1="",'数据-汇总表'!E3,SUMIF('数据-汇总表'!$C19:$C33,D1,'数据-汇总表'!$E19:$E33))</f>
        <v>2648.98</v>
      </c>
      <c r="E3" s="1123"/>
      <c r="F3" s="2582"/>
      <c r="G3" s="1123"/>
      <c r="H3" s="1123"/>
      <c r="I3" s="1123"/>
      <c r="J3" s="1123"/>
      <c r="K3" s="2576"/>
      <c r="L3" s="2577"/>
      <c r="M3" s="2578"/>
      <c r="N3" s="2578"/>
      <c r="O3" s="2578"/>
      <c r="P3" s="2579"/>
      <c r="Q3" s="2580"/>
      <c r="R3" s="2580"/>
      <c r="S3" s="2580"/>
      <c r="T3" s="2580"/>
      <c r="U3" s="2580"/>
      <c r="V3" s="2580"/>
      <c r="W3" s="2580"/>
      <c r="X3" s="2580"/>
      <c r="Y3" s="2580"/>
      <c r="Z3" s="2580"/>
      <c r="AA3" s="2580"/>
      <c r="AB3" s="2580"/>
      <c r="AC3" s="1281"/>
    </row>
    <row r="4" spans="1:29" ht="15">
      <c r="A4" s="400" t="s">
        <v>2530</v>
      </c>
      <c r="B4" s="401"/>
      <c r="C4" s="3236" t="s">
        <v>2531</v>
      </c>
      <c r="D4" s="3237"/>
      <c r="E4" s="3238" t="s">
        <v>2532</v>
      </c>
      <c r="F4" s="3239"/>
      <c r="G4" s="3236" t="s">
        <v>2533</v>
      </c>
      <c r="H4" s="3237"/>
      <c r="I4" s="3236" t="s">
        <v>2534</v>
      </c>
      <c r="J4" s="3237"/>
      <c r="K4" s="2583" t="s">
        <v>2535</v>
      </c>
      <c r="L4" s="1129"/>
      <c r="M4" s="1130"/>
      <c r="N4" s="1130"/>
      <c r="O4" s="1130"/>
      <c r="P4" s="3240" t="s">
        <v>2536</v>
      </c>
      <c r="Q4" s="3241"/>
      <c r="R4" s="3226" t="s">
        <v>2532</v>
      </c>
      <c r="S4" s="3227"/>
      <c r="T4" s="3226" t="s">
        <v>2533</v>
      </c>
      <c r="U4" s="3227"/>
      <c r="V4" s="3225" t="s">
        <v>2534</v>
      </c>
      <c r="W4" s="3225"/>
      <c r="X4" s="2972"/>
      <c r="Y4" s="3226" t="s">
        <v>2536</v>
      </c>
      <c r="Z4" s="3227"/>
      <c r="AA4" s="3232" t="s">
        <v>2532</v>
      </c>
      <c r="AB4" s="3232" t="s">
        <v>2533</v>
      </c>
      <c r="AC4" s="3232" t="s">
        <v>2534</v>
      </c>
    </row>
    <row r="5" spans="1:29" ht="15">
      <c r="A5" s="403"/>
      <c r="B5" s="404"/>
      <c r="C5" s="3246" t="s">
        <v>3279</v>
      </c>
      <c r="D5" s="3247"/>
      <c r="E5" s="3248" t="s">
        <v>3281</v>
      </c>
      <c r="F5" s="3249"/>
      <c r="G5" s="3246" t="s">
        <v>3283</v>
      </c>
      <c r="H5" s="3247"/>
      <c r="I5" s="3246" t="s">
        <v>3282</v>
      </c>
      <c r="J5" s="3247"/>
      <c r="K5" s="2584"/>
      <c r="L5" s="1129"/>
      <c r="M5" s="1130"/>
      <c r="N5" s="1130"/>
      <c r="O5" s="1130"/>
      <c r="P5" s="3242"/>
      <c r="Q5" s="3243"/>
      <c r="R5" s="3228"/>
      <c r="S5" s="3229"/>
      <c r="T5" s="3228"/>
      <c r="U5" s="3229"/>
      <c r="V5" s="3225"/>
      <c r="W5" s="3225"/>
      <c r="X5" s="2972"/>
      <c r="Y5" s="3228"/>
      <c r="Z5" s="3229"/>
      <c r="AA5" s="3233"/>
      <c r="AB5" s="3233"/>
      <c r="AC5" s="3233"/>
    </row>
    <row r="6" spans="1:29" ht="15.75" thickBot="1">
      <c r="A6" s="405"/>
      <c r="B6" s="406"/>
      <c r="C6" s="3250" t="s">
        <v>3280</v>
      </c>
      <c r="D6" s="3251"/>
      <c r="E6" s="3252" t="s">
        <v>3280</v>
      </c>
      <c r="F6" s="3253"/>
      <c r="G6" s="3252" t="s">
        <v>3280</v>
      </c>
      <c r="H6" s="3253"/>
      <c r="I6" s="3254" t="s">
        <v>2541</v>
      </c>
      <c r="J6" s="3251"/>
      <c r="K6" s="2584" t="s">
        <v>2542</v>
      </c>
      <c r="L6" s="1129"/>
      <c r="M6" s="1130"/>
      <c r="N6" s="1130"/>
      <c r="O6" s="1130"/>
      <c r="P6" s="3244"/>
      <c r="Q6" s="3245"/>
      <c r="R6" s="3228"/>
      <c r="S6" s="3229"/>
      <c r="T6" s="3230"/>
      <c r="U6" s="3231"/>
      <c r="V6" s="3225"/>
      <c r="W6" s="3225"/>
      <c r="X6" s="2972"/>
      <c r="Y6" s="3230"/>
      <c r="Z6" s="3231"/>
      <c r="AA6" s="3234"/>
      <c r="AB6" s="3234"/>
      <c r="AC6" s="3234"/>
    </row>
    <row r="7" spans="1:29" s="117" customFormat="1" ht="15.75" thickBot="1">
      <c r="A7" s="407" t="s">
        <v>2543</v>
      </c>
      <c r="B7" s="408"/>
      <c r="C7" s="409">
        <f>'数据-取费表'!B2</f>
        <v>43962</v>
      </c>
      <c r="D7" s="410">
        <v>100</v>
      </c>
      <c r="E7" s="411">
        <v>43922</v>
      </c>
      <c r="F7" s="412">
        <f>SUMIF(58:58,YEAR(E7)&amp;"-"&amp;MONTH(E7),59:59)</f>
        <v>100</v>
      </c>
      <c r="G7" s="411">
        <v>43952</v>
      </c>
      <c r="H7" s="410">
        <f>SUMIF(58:58,YEAR(G7)&amp;"-"&amp;MONTH(G7),59:59)</f>
        <v>100</v>
      </c>
      <c r="I7" s="411">
        <v>43922</v>
      </c>
      <c r="J7" s="410">
        <f>SUMIF(58:58,YEAR(I7)&amp;"-"&amp;MONTH(I7),59:59)</f>
        <v>100</v>
      </c>
      <c r="K7" s="2585"/>
      <c r="L7" s="1131"/>
      <c r="M7" s="1132"/>
      <c r="N7" s="1132"/>
      <c r="O7" s="1132"/>
      <c r="P7" s="3222" t="s">
        <v>2544</v>
      </c>
      <c r="Q7" s="3235"/>
      <c r="R7" s="769" t="s">
        <v>23</v>
      </c>
      <c r="S7" s="770">
        <f t="shared" ref="S7:S15" si="0">F7</f>
        <v>100</v>
      </c>
      <c r="T7" s="769" t="s">
        <v>23</v>
      </c>
      <c r="U7" s="770">
        <f t="shared" ref="U7:U15" si="1">H7</f>
        <v>100</v>
      </c>
      <c r="V7" s="769" t="s">
        <v>23</v>
      </c>
      <c r="W7" s="770">
        <f t="shared" ref="W7:W15" si="2">J7</f>
        <v>100</v>
      </c>
      <c r="X7" s="771"/>
      <c r="Y7" s="3222" t="s">
        <v>2544</v>
      </c>
      <c r="Z7" s="3223"/>
      <c r="AA7" s="772">
        <f>D7/F7</f>
        <v>1</v>
      </c>
      <c r="AB7" s="772">
        <f>D7/H7</f>
        <v>1</v>
      </c>
      <c r="AC7" s="772">
        <f>D7/J7</f>
        <v>1</v>
      </c>
    </row>
    <row r="8" spans="1:29" s="117" customFormat="1" ht="15.75" thickBot="1">
      <c r="A8" s="407" t="s">
        <v>2545</v>
      </c>
      <c r="B8" s="408"/>
      <c r="C8" s="413" t="s">
        <v>2546</v>
      </c>
      <c r="D8" s="410">
        <v>100</v>
      </c>
      <c r="E8" s="2586" t="s">
        <v>3224</v>
      </c>
      <c r="F8" s="412">
        <f>SUMIF(61:61,E8,62:62)-SUMIF(61:61,C8,62:62)+100</f>
        <v>100</v>
      </c>
      <c r="G8" s="2586" t="s">
        <v>3224</v>
      </c>
      <c r="H8" s="410">
        <f>SUMIF(61:61,G8,62:62)-SUMIF(61:61,C8,62:62)+100</f>
        <v>100</v>
      </c>
      <c r="I8" s="2586" t="s">
        <v>3224</v>
      </c>
      <c r="J8" s="410">
        <f>SUMIF(61:61,I8,62:62)-SUMIF(61:61,C8,62:62)+100</f>
        <v>100</v>
      </c>
      <c r="K8" s="2585"/>
      <c r="L8" s="1131"/>
      <c r="M8" s="1132"/>
      <c r="N8" s="1132"/>
      <c r="O8" s="1132"/>
      <c r="P8" s="3222" t="s">
        <v>2547</v>
      </c>
      <c r="Q8" s="3223"/>
      <c r="R8" s="769" t="s">
        <v>23</v>
      </c>
      <c r="S8" s="770">
        <f t="shared" si="0"/>
        <v>100</v>
      </c>
      <c r="T8" s="769" t="s">
        <v>23</v>
      </c>
      <c r="U8" s="770">
        <f t="shared" si="1"/>
        <v>100</v>
      </c>
      <c r="V8" s="769" t="s">
        <v>23</v>
      </c>
      <c r="W8" s="770">
        <f t="shared" si="2"/>
        <v>100</v>
      </c>
      <c r="X8" s="771"/>
      <c r="Y8" s="3222" t="s">
        <v>2547</v>
      </c>
      <c r="Z8" s="3223"/>
      <c r="AA8" s="772">
        <f t="shared" ref="AA8:AA19" si="3">D8/F8</f>
        <v>1</v>
      </c>
      <c r="AB8" s="772">
        <f t="shared" ref="AB8:AB19" si="4">D8/H8</f>
        <v>1</v>
      </c>
      <c r="AC8" s="772">
        <f t="shared" ref="AC8:AC19" si="5">D8/J8</f>
        <v>1</v>
      </c>
    </row>
    <row r="9" spans="1:29" s="117" customFormat="1">
      <c r="A9" s="414" t="s">
        <v>2548</v>
      </c>
      <c r="B9" s="71" t="s">
        <v>2549</v>
      </c>
      <c r="C9" s="2977" t="s">
        <v>3296</v>
      </c>
      <c r="D9" s="135">
        <v>100</v>
      </c>
      <c r="E9" s="416" t="s">
        <v>3267</v>
      </c>
      <c r="F9" s="417">
        <f>SUMIF(63:63,E9,64:64)-SUMIF(63:63,C9,64:64)+100</f>
        <v>100</v>
      </c>
      <c r="G9" s="416" t="s">
        <v>3267</v>
      </c>
      <c r="H9" s="135">
        <f>SUMIF(63:63,G9,64:64)-SUMIF(63:63,C9,64:64)+100</f>
        <v>100</v>
      </c>
      <c r="I9" s="416" t="s">
        <v>3267</v>
      </c>
      <c r="J9" s="135">
        <f>SUMIF(63:63,I9,64:64)-SUMIF(63:63,C9,64:64)+100</f>
        <v>100</v>
      </c>
      <c r="K9" s="2585"/>
      <c r="L9" s="1131"/>
      <c r="M9" s="1132"/>
      <c r="N9" s="1132"/>
      <c r="O9" s="1132"/>
      <c r="P9" s="3224" t="s">
        <v>2550</v>
      </c>
      <c r="Q9" s="2969" t="str">
        <f t="shared" ref="Q9:Q15" si="6">B9</f>
        <v>用途</v>
      </c>
      <c r="R9" s="769" t="s">
        <v>17</v>
      </c>
      <c r="S9" s="770">
        <f t="shared" si="0"/>
        <v>100</v>
      </c>
      <c r="T9" s="769" t="s">
        <v>17</v>
      </c>
      <c r="U9" s="770">
        <f t="shared" si="1"/>
        <v>100</v>
      </c>
      <c r="V9" s="769" t="s">
        <v>17</v>
      </c>
      <c r="W9" s="770">
        <f t="shared" si="2"/>
        <v>100</v>
      </c>
      <c r="X9" s="771"/>
      <c r="Y9" s="3055" t="s">
        <v>2551</v>
      </c>
      <c r="Z9" s="2970" t="str">
        <f t="shared" ref="Z9:Z15" si="7">Q9</f>
        <v>用途</v>
      </c>
      <c r="AA9" s="772">
        <f t="shared" si="3"/>
        <v>1</v>
      </c>
      <c r="AB9" s="772">
        <f t="shared" si="4"/>
        <v>1</v>
      </c>
      <c r="AC9" s="772">
        <f t="shared" si="5"/>
        <v>1</v>
      </c>
    </row>
    <row r="10" spans="1:29" s="426" customFormat="1" ht="27">
      <c r="A10" s="420"/>
      <c r="B10" s="2971" t="s">
        <v>2552</v>
      </c>
      <c r="C10" s="422" t="s">
        <v>3297</v>
      </c>
      <c r="D10" s="136">
        <v>100</v>
      </c>
      <c r="E10" s="423" t="s">
        <v>3297</v>
      </c>
      <c r="F10" s="424">
        <f>SUMIF(65:65,E10,66:66)-SUMIF(65:65,C10,66:66)+100</f>
        <v>100</v>
      </c>
      <c r="G10" s="423" t="s">
        <v>3297</v>
      </c>
      <c r="H10" s="136">
        <f>SUMIF(65:65,G10,66:66)-SUMIF(65:65,C10,66:66)+100</f>
        <v>100</v>
      </c>
      <c r="I10" s="423" t="s">
        <v>3297</v>
      </c>
      <c r="J10" s="136">
        <f>SUMIF(65:65,I10,66:66)-SUMIF(65:65,C10,66:66)+100</f>
        <v>100</v>
      </c>
      <c r="K10" s="425">
        <v>1</v>
      </c>
      <c r="L10" s="1134"/>
      <c r="M10" s="1135"/>
      <c r="N10" s="1135"/>
      <c r="O10" s="1135"/>
      <c r="P10" s="3224"/>
      <c r="Q10" s="2969" t="str">
        <f t="shared" si="6"/>
        <v>土地使用年限（年）</v>
      </c>
      <c r="R10" s="769" t="s">
        <v>17</v>
      </c>
      <c r="S10" s="770">
        <f t="shared" si="0"/>
        <v>100</v>
      </c>
      <c r="T10" s="769" t="s">
        <v>17</v>
      </c>
      <c r="U10" s="770">
        <f t="shared" si="1"/>
        <v>100</v>
      </c>
      <c r="V10" s="769" t="s">
        <v>17</v>
      </c>
      <c r="W10" s="770">
        <f t="shared" si="2"/>
        <v>100</v>
      </c>
      <c r="X10" s="771"/>
      <c r="Y10" s="3055"/>
      <c r="Z10" s="2970" t="str">
        <f t="shared" si="7"/>
        <v>土地使用年限（年）</v>
      </c>
      <c r="AA10" s="772">
        <f t="shared" si="3"/>
        <v>1</v>
      </c>
      <c r="AB10" s="772">
        <f t="shared" si="4"/>
        <v>1</v>
      </c>
      <c r="AC10" s="772">
        <f t="shared" si="5"/>
        <v>1</v>
      </c>
    </row>
    <row r="11" spans="1:29" ht="15.75" thickBot="1">
      <c r="A11" s="427"/>
      <c r="B11" s="2971" t="s">
        <v>2553</v>
      </c>
      <c r="C11" s="428">
        <f>'土地比较法-住宅、综合'!C11</f>
        <v>1.05</v>
      </c>
      <c r="D11" s="136">
        <v>100</v>
      </c>
      <c r="E11" s="429">
        <v>1.6</v>
      </c>
      <c r="F11" s="424">
        <f>LOOKUP(E11,68:68,69:69)-LOOKUP(C11,68:68,69:69)+100</f>
        <v>100</v>
      </c>
      <c r="G11" s="428">
        <v>1.6</v>
      </c>
      <c r="H11" s="136">
        <f>LOOKUP(G11,68:68,69:69)-LOOKUP(C11,68:68,69:69)+100</f>
        <v>100</v>
      </c>
      <c r="I11" s="428">
        <v>1.6</v>
      </c>
      <c r="J11" s="136">
        <f>LOOKUP(I11,68:68,69:69)-LOOKUP(C11,68:68,69:69)+100</f>
        <v>100</v>
      </c>
      <c r="K11" s="425">
        <v>2</v>
      </c>
      <c r="L11" s="1137"/>
      <c r="M11" s="1130"/>
      <c r="N11" s="1130"/>
      <c r="O11" s="1130"/>
      <c r="P11" s="3224"/>
      <c r="Q11" s="2969" t="str">
        <f t="shared" si="6"/>
        <v>容积率</v>
      </c>
      <c r="R11" s="769" t="s">
        <v>21</v>
      </c>
      <c r="S11" s="770">
        <f t="shared" si="0"/>
        <v>100</v>
      </c>
      <c r="T11" s="769" t="s">
        <v>21</v>
      </c>
      <c r="U11" s="770">
        <f t="shared" si="1"/>
        <v>100</v>
      </c>
      <c r="V11" s="769" t="s">
        <v>21</v>
      </c>
      <c r="W11" s="770">
        <f t="shared" si="2"/>
        <v>100</v>
      </c>
      <c r="X11" s="771"/>
      <c r="Y11" s="3055"/>
      <c r="Z11" s="2970" t="str">
        <f t="shared" si="7"/>
        <v>容积率</v>
      </c>
      <c r="AA11" s="772">
        <f t="shared" si="3"/>
        <v>1</v>
      </c>
      <c r="AB11" s="772">
        <f t="shared" si="4"/>
        <v>1</v>
      </c>
      <c r="AC11" s="772">
        <f t="shared" si="5"/>
        <v>1</v>
      </c>
    </row>
    <row r="12" spans="1:29" s="117" customFormat="1" ht="15.75" hidden="1" thickBot="1">
      <c r="A12" s="430"/>
      <c r="B12" s="2587">
        <v>111</v>
      </c>
      <c r="C12" s="431"/>
      <c r="D12" s="432">
        <v>100</v>
      </c>
      <c r="E12" s="431"/>
      <c r="F12" s="424">
        <f>SUMIF(70:70,E12,71:71)-SUMIF(70:70,C12,71:71)+100</f>
        <v>100</v>
      </c>
      <c r="G12" s="431"/>
      <c r="H12" s="136">
        <f>SUMIF(70:70,G12,71:71)-SUMIF(70:70,C12,71:71)+100</f>
        <v>100</v>
      </c>
      <c r="I12" s="431"/>
      <c r="J12" s="136">
        <f>SUMIF(70:70,I12,71:71)-SUMIF(70:70,C12,71:71)+100</f>
        <v>100</v>
      </c>
      <c r="K12" s="2588"/>
      <c r="L12" s="1131"/>
      <c r="M12" s="1132"/>
      <c r="N12" s="1132"/>
      <c r="O12" s="1132"/>
      <c r="P12" s="3224"/>
      <c r="Q12" s="2969">
        <f t="shared" si="6"/>
        <v>111</v>
      </c>
      <c r="R12" s="769" t="s">
        <v>21</v>
      </c>
      <c r="S12" s="770">
        <f t="shared" si="0"/>
        <v>100</v>
      </c>
      <c r="T12" s="769" t="s">
        <v>21</v>
      </c>
      <c r="U12" s="770">
        <f t="shared" si="1"/>
        <v>100</v>
      </c>
      <c r="V12" s="769" t="s">
        <v>21</v>
      </c>
      <c r="W12" s="770">
        <f t="shared" si="2"/>
        <v>100</v>
      </c>
      <c r="X12" s="771"/>
      <c r="Y12" s="3055"/>
      <c r="Z12" s="2970">
        <f t="shared" si="7"/>
        <v>111</v>
      </c>
      <c r="AA12" s="772">
        <f>D12/F12</f>
        <v>1</v>
      </c>
      <c r="AB12" s="772">
        <f>D12/H12</f>
        <v>1</v>
      </c>
      <c r="AC12" s="772">
        <f>D12/J12</f>
        <v>1</v>
      </c>
    </row>
    <row r="13" spans="1:29" ht="15.75" hidden="1" thickBot="1">
      <c r="A13" s="427"/>
      <c r="B13" s="2587">
        <v>111</v>
      </c>
      <c r="C13" s="433"/>
      <c r="D13" s="434">
        <v>100</v>
      </c>
      <c r="E13" s="433"/>
      <c r="F13" s="424">
        <f>SUMIF(72:72,E13,73:73)-SUMIF(72:72,C13,73:73)+100</f>
        <v>100</v>
      </c>
      <c r="G13" s="433"/>
      <c r="H13" s="434">
        <f>SUMIF(72:72,G13,73:73)-SUMIF(72:72,C13,73:73)+100</f>
        <v>100</v>
      </c>
      <c r="I13" s="433"/>
      <c r="J13" s="434">
        <f>SUMIF(72:72,I13,73:73)-SUMIF(72:72,C13,73:73)+100</f>
        <v>100</v>
      </c>
      <c r="K13" s="2588"/>
      <c r="L13" s="1139"/>
      <c r="M13" s="1130"/>
      <c r="N13" s="1130"/>
      <c r="O13" s="1130"/>
      <c r="P13" s="3224"/>
      <c r="Q13" s="2969">
        <f t="shared" si="6"/>
        <v>111</v>
      </c>
      <c r="R13" s="769" t="s">
        <v>21</v>
      </c>
      <c r="S13" s="770">
        <f t="shared" si="0"/>
        <v>100</v>
      </c>
      <c r="T13" s="769" t="s">
        <v>21</v>
      </c>
      <c r="U13" s="770">
        <f t="shared" si="1"/>
        <v>100</v>
      </c>
      <c r="V13" s="769" t="s">
        <v>21</v>
      </c>
      <c r="W13" s="770">
        <f t="shared" si="2"/>
        <v>100</v>
      </c>
      <c r="X13" s="771"/>
      <c r="Y13" s="3055"/>
      <c r="Z13" s="2970">
        <f t="shared" si="7"/>
        <v>111</v>
      </c>
      <c r="AA13" s="772">
        <f t="shared" si="3"/>
        <v>1</v>
      </c>
      <c r="AB13" s="772">
        <f t="shared" si="4"/>
        <v>1</v>
      </c>
      <c r="AC13" s="772">
        <f t="shared" si="5"/>
        <v>1</v>
      </c>
    </row>
    <row r="14" spans="1:29" ht="15.75" hidden="1" thickBot="1">
      <c r="A14" s="435"/>
      <c r="B14" s="2589">
        <v>111</v>
      </c>
      <c r="C14" s="436"/>
      <c r="D14" s="437">
        <v>100</v>
      </c>
      <c r="E14" s="436"/>
      <c r="F14" s="438">
        <f>SUMIF(74:74,E14,75:75)-SUMIF(74:74,C14,75:75)+100</f>
        <v>100</v>
      </c>
      <c r="G14" s="436"/>
      <c r="H14" s="437">
        <f>SUMIF(74:74,G14,75:75)-SUMIF(74:74,C14,75:75)+100</f>
        <v>100</v>
      </c>
      <c r="I14" s="436"/>
      <c r="J14" s="437">
        <f>SUMIF(74:74,I14,75:75)-SUMIF(74:74,C14,75:75)+100</f>
        <v>100</v>
      </c>
      <c r="K14" s="2588"/>
      <c r="L14" s="1139"/>
      <c r="M14" s="1130"/>
      <c r="N14" s="1130"/>
      <c r="O14" s="1130"/>
      <c r="P14" s="3224"/>
      <c r="Q14" s="2969">
        <f t="shared" si="6"/>
        <v>111</v>
      </c>
      <c r="R14" s="769" t="s">
        <v>21</v>
      </c>
      <c r="S14" s="770">
        <f t="shared" si="0"/>
        <v>100</v>
      </c>
      <c r="T14" s="769" t="s">
        <v>21</v>
      </c>
      <c r="U14" s="770">
        <f t="shared" si="1"/>
        <v>100</v>
      </c>
      <c r="V14" s="769" t="s">
        <v>21</v>
      </c>
      <c r="W14" s="770">
        <f t="shared" si="2"/>
        <v>100</v>
      </c>
      <c r="X14" s="771"/>
      <c r="Y14" s="3055"/>
      <c r="Z14" s="2970">
        <f t="shared" si="7"/>
        <v>111</v>
      </c>
      <c r="AA14" s="772">
        <f t="shared" si="3"/>
        <v>1</v>
      </c>
      <c r="AB14" s="772">
        <f t="shared" si="4"/>
        <v>1</v>
      </c>
      <c r="AC14" s="772">
        <f t="shared" si="5"/>
        <v>1</v>
      </c>
    </row>
    <row r="15" spans="1:29" ht="99.75">
      <c r="A15" s="439" t="s">
        <v>2554</v>
      </c>
      <c r="B15" s="69" t="s">
        <v>2081</v>
      </c>
      <c r="C15" s="2590"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9"/>
      <c r="M15" s="1130"/>
      <c r="N15" s="1130"/>
      <c r="O15" s="1130"/>
      <c r="P15" s="3213" t="s">
        <v>2555</v>
      </c>
      <c r="Q15" s="2974" t="str">
        <f t="shared" si="6"/>
        <v>居住社区成熟度</v>
      </c>
      <c r="R15" s="773" t="s">
        <v>21</v>
      </c>
      <c r="S15" s="774">
        <f t="shared" si="0"/>
        <v>100</v>
      </c>
      <c r="T15" s="773" t="s">
        <v>21</v>
      </c>
      <c r="U15" s="774">
        <f t="shared" si="1"/>
        <v>100</v>
      </c>
      <c r="V15" s="773" t="s">
        <v>21</v>
      </c>
      <c r="W15" s="774">
        <f t="shared" si="2"/>
        <v>100</v>
      </c>
      <c r="X15" s="2972"/>
      <c r="Y15" s="3215" t="s">
        <v>2555</v>
      </c>
      <c r="Z15" s="2973" t="str">
        <f t="shared" si="7"/>
        <v>居住社区成熟度</v>
      </c>
      <c r="AA15" s="2975">
        <f t="shared" si="3"/>
        <v>1</v>
      </c>
      <c r="AB15" s="2975">
        <f t="shared" si="4"/>
        <v>1</v>
      </c>
      <c r="AC15" s="2975">
        <f t="shared" si="5"/>
        <v>1</v>
      </c>
    </row>
    <row r="16" spans="1:29" ht="15">
      <c r="A16" s="427"/>
      <c r="B16" s="445"/>
      <c r="C16" s="446" t="s">
        <v>3252</v>
      </c>
      <c r="D16" s="447"/>
      <c r="E16" s="446" t="s">
        <v>3252</v>
      </c>
      <c r="F16" s="447"/>
      <c r="G16" s="446" t="s">
        <v>3252</v>
      </c>
      <c r="H16" s="449"/>
      <c r="I16" s="446" t="s">
        <v>3252</v>
      </c>
      <c r="J16" s="447"/>
      <c r="K16" s="2593"/>
      <c r="L16" s="1139"/>
      <c r="M16" s="1130"/>
      <c r="N16" s="1130"/>
      <c r="O16" s="1130"/>
      <c r="P16" s="3214"/>
      <c r="Q16" s="2974"/>
      <c r="R16" s="773"/>
      <c r="S16" s="774"/>
      <c r="T16" s="773"/>
      <c r="U16" s="774"/>
      <c r="V16" s="773"/>
      <c r="W16" s="774"/>
      <c r="X16" s="2972"/>
      <c r="Y16" s="3216"/>
      <c r="Z16" s="2973"/>
      <c r="AA16" s="2975">
        <v>1</v>
      </c>
      <c r="AB16" s="2975">
        <v>1</v>
      </c>
      <c r="AC16" s="2975">
        <v>1</v>
      </c>
    </row>
    <row r="17" spans="1:29" ht="85.5">
      <c r="A17" s="427"/>
      <c r="B17" s="450" t="s">
        <v>2093</v>
      </c>
      <c r="C17" s="2594"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9"/>
      <c r="M17" s="1130"/>
      <c r="N17" s="1130"/>
      <c r="O17" s="1130"/>
      <c r="P17" s="3214"/>
      <c r="Q17" s="2974" t="str">
        <f>B17</f>
        <v>交通便捷度</v>
      </c>
      <c r="R17" s="773" t="s">
        <v>21</v>
      </c>
      <c r="S17" s="774">
        <f>F17</f>
        <v>100</v>
      </c>
      <c r="T17" s="773" t="s">
        <v>21</v>
      </c>
      <c r="U17" s="774">
        <f>H17</f>
        <v>100</v>
      </c>
      <c r="V17" s="773" t="s">
        <v>21</v>
      </c>
      <c r="W17" s="774">
        <f>J17</f>
        <v>100</v>
      </c>
      <c r="X17" s="2972"/>
      <c r="Y17" s="3216"/>
      <c r="Z17" s="2973" t="str">
        <f>Q17</f>
        <v>交通便捷度</v>
      </c>
      <c r="AA17" s="2975">
        <f t="shared" si="3"/>
        <v>1</v>
      </c>
      <c r="AB17" s="2975">
        <f t="shared" si="4"/>
        <v>1</v>
      </c>
      <c r="AC17" s="2975">
        <f t="shared" si="5"/>
        <v>1</v>
      </c>
    </row>
    <row r="18" spans="1:29" ht="15">
      <c r="A18" s="427"/>
      <c r="B18" s="455"/>
      <c r="C18" s="446" t="s">
        <v>3252</v>
      </c>
      <c r="D18" s="449"/>
      <c r="E18" s="446" t="s">
        <v>3252</v>
      </c>
      <c r="F18" s="449"/>
      <c r="G18" s="446" t="s">
        <v>3252</v>
      </c>
      <c r="H18" s="447"/>
      <c r="I18" s="446" t="s">
        <v>3252</v>
      </c>
      <c r="J18" s="447"/>
      <c r="K18" s="2593"/>
      <c r="L18" s="1139"/>
      <c r="M18" s="1130"/>
      <c r="N18" s="1130"/>
      <c r="O18" s="1130"/>
      <c r="P18" s="3214"/>
      <c r="Q18" s="2974"/>
      <c r="R18" s="773"/>
      <c r="S18" s="774"/>
      <c r="T18" s="773"/>
      <c r="U18" s="774"/>
      <c r="V18" s="773"/>
      <c r="W18" s="774"/>
      <c r="X18" s="2972"/>
      <c r="Y18" s="3216"/>
      <c r="Z18" s="2973"/>
      <c r="AA18" s="2975">
        <v>1</v>
      </c>
      <c r="AB18" s="2975">
        <v>1</v>
      </c>
      <c r="AC18" s="2975">
        <v>1</v>
      </c>
    </row>
    <row r="19" spans="1:29" ht="42.75">
      <c r="A19" s="427"/>
      <c r="B19" s="450" t="s">
        <v>2091</v>
      </c>
      <c r="C19" s="2594"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9"/>
      <c r="M19" s="1130"/>
      <c r="N19" s="1130"/>
      <c r="O19" s="1130"/>
      <c r="P19" s="3214"/>
      <c r="Q19" s="2974" t="str">
        <f>B19</f>
        <v>公共配套设施</v>
      </c>
      <c r="R19" s="773" t="s">
        <v>21</v>
      </c>
      <c r="S19" s="774">
        <f>F19</f>
        <v>100</v>
      </c>
      <c r="T19" s="773" t="s">
        <v>21</v>
      </c>
      <c r="U19" s="774">
        <f>H19</f>
        <v>100</v>
      </c>
      <c r="V19" s="773" t="s">
        <v>21</v>
      </c>
      <c r="W19" s="774">
        <f>J19</f>
        <v>100</v>
      </c>
      <c r="X19" s="2972"/>
      <c r="Y19" s="3216"/>
      <c r="Z19" s="2973" t="str">
        <f>Q19</f>
        <v>公共配套设施</v>
      </c>
      <c r="AA19" s="2975">
        <f t="shared" si="3"/>
        <v>1</v>
      </c>
      <c r="AB19" s="2975">
        <f t="shared" si="4"/>
        <v>1</v>
      </c>
      <c r="AC19" s="2975">
        <f t="shared" si="5"/>
        <v>1</v>
      </c>
    </row>
    <row r="20" spans="1:29" ht="15">
      <c r="A20" s="427"/>
      <c r="B20" s="455"/>
      <c r="C20" s="446" t="s">
        <v>3253</v>
      </c>
      <c r="D20" s="447"/>
      <c r="E20" s="446" t="s">
        <v>3253</v>
      </c>
      <c r="F20" s="447"/>
      <c r="G20" s="446" t="s">
        <v>3253</v>
      </c>
      <c r="H20" s="447"/>
      <c r="I20" s="446" t="s">
        <v>3253</v>
      </c>
      <c r="J20" s="447"/>
      <c r="K20" s="2593"/>
      <c r="L20" s="1139"/>
      <c r="M20" s="1130"/>
      <c r="N20" s="1130"/>
      <c r="O20" s="1130"/>
      <c r="P20" s="3214"/>
      <c r="Q20" s="2974"/>
      <c r="R20" s="773"/>
      <c r="S20" s="774"/>
      <c r="T20" s="773"/>
      <c r="U20" s="774"/>
      <c r="V20" s="773"/>
      <c r="W20" s="774"/>
      <c r="X20" s="2972"/>
      <c r="Y20" s="3216"/>
      <c r="Z20" s="2973"/>
      <c r="AA20" s="2975">
        <v>1</v>
      </c>
      <c r="AB20" s="2975">
        <v>1</v>
      </c>
      <c r="AC20" s="2975">
        <v>1</v>
      </c>
    </row>
    <row r="21" spans="1:29" ht="28.5">
      <c r="A21" s="427"/>
      <c r="B21" s="1381" t="s">
        <v>2094</v>
      </c>
      <c r="C21" s="2594"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9"/>
      <c r="M21" s="1130"/>
      <c r="N21" s="1130"/>
      <c r="O21" s="1130"/>
      <c r="P21" s="3214"/>
      <c r="Q21" s="2974" t="str">
        <f>B21</f>
        <v>基础设施水平</v>
      </c>
      <c r="R21" s="773" t="s">
        <v>17</v>
      </c>
      <c r="S21" s="774">
        <f>F21</f>
        <v>100</v>
      </c>
      <c r="T21" s="773" t="s">
        <v>17</v>
      </c>
      <c r="U21" s="774">
        <f>H21</f>
        <v>100</v>
      </c>
      <c r="V21" s="773" t="s">
        <v>17</v>
      </c>
      <c r="W21" s="774">
        <f>J21</f>
        <v>100</v>
      </c>
      <c r="X21" s="2972"/>
      <c r="Y21" s="3216"/>
      <c r="Z21" s="2973" t="str">
        <f>Q21</f>
        <v>基础设施水平</v>
      </c>
      <c r="AA21" s="2975">
        <f t="shared" ref="AA21" si="8">D21/F21</f>
        <v>1</v>
      </c>
      <c r="AB21" s="2975">
        <f t="shared" ref="AB21" si="9">D21/H21</f>
        <v>1</v>
      </c>
      <c r="AC21" s="2975">
        <f t="shared" ref="AC21" si="10">D21/J21</f>
        <v>1</v>
      </c>
    </row>
    <row r="22" spans="1:29" ht="15">
      <c r="A22" s="427"/>
      <c r="B22" s="1381"/>
      <c r="C22" s="2595" t="s">
        <v>3239</v>
      </c>
      <c r="D22" s="447"/>
      <c r="E22" s="2595" t="s">
        <v>3239</v>
      </c>
      <c r="F22" s="447"/>
      <c r="G22" s="2595" t="s">
        <v>3239</v>
      </c>
      <c r="H22" s="447"/>
      <c r="I22" s="2595" t="s">
        <v>3239</v>
      </c>
      <c r="J22" s="447"/>
      <c r="K22" s="2599"/>
      <c r="L22" s="1139"/>
      <c r="M22" s="1130"/>
      <c r="N22" s="1130"/>
      <c r="O22" s="1130"/>
      <c r="P22" s="3214"/>
      <c r="Q22" s="2974"/>
      <c r="R22" s="773"/>
      <c r="S22" s="774"/>
      <c r="T22" s="773"/>
      <c r="U22" s="774"/>
      <c r="V22" s="773"/>
      <c r="W22" s="774"/>
      <c r="X22" s="2972"/>
      <c r="Y22" s="3216"/>
      <c r="Z22" s="2973"/>
      <c r="AA22" s="2975">
        <v>1</v>
      </c>
      <c r="AB22" s="2975">
        <v>1</v>
      </c>
      <c r="AC22" s="2975">
        <v>1</v>
      </c>
    </row>
    <row r="23" spans="1:29" ht="57">
      <c r="A23" s="427"/>
      <c r="B23" s="450" t="s">
        <v>2098</v>
      </c>
      <c r="C23" s="2594"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9"/>
      <c r="M23" s="1130"/>
      <c r="N23" s="1130"/>
      <c r="O23" s="1130"/>
      <c r="P23" s="3214"/>
      <c r="Q23" s="2974" t="str">
        <f>B23</f>
        <v>自然及人文环境</v>
      </c>
      <c r="R23" s="773" t="s">
        <v>21</v>
      </c>
      <c r="S23" s="774">
        <f>F23</f>
        <v>100</v>
      </c>
      <c r="T23" s="773" t="s">
        <v>21</v>
      </c>
      <c r="U23" s="774">
        <f>H23</f>
        <v>100</v>
      </c>
      <c r="V23" s="773" t="s">
        <v>21</v>
      </c>
      <c r="W23" s="774">
        <f>J23</f>
        <v>100</v>
      </c>
      <c r="X23" s="2972"/>
      <c r="Y23" s="3216"/>
      <c r="Z23" s="2973" t="str">
        <f>Q23</f>
        <v>自然及人文环境</v>
      </c>
      <c r="AA23" s="2975">
        <f>D23/F23</f>
        <v>1</v>
      </c>
      <c r="AB23" s="2975">
        <f>D23/H23</f>
        <v>1</v>
      </c>
      <c r="AC23" s="2975">
        <f>D23/J23</f>
        <v>1</v>
      </c>
    </row>
    <row r="24" spans="1:29" ht="15.75" thickBot="1">
      <c r="A24" s="427"/>
      <c r="B24" s="455"/>
      <c r="C24" s="446" t="s">
        <v>3251</v>
      </c>
      <c r="D24" s="447"/>
      <c r="E24" s="446" t="s">
        <v>3251</v>
      </c>
      <c r="F24" s="447"/>
      <c r="G24" s="446" t="s">
        <v>3251</v>
      </c>
      <c r="H24" s="447"/>
      <c r="I24" s="446" t="s">
        <v>3251</v>
      </c>
      <c r="J24" s="447"/>
      <c r="K24" s="2593"/>
      <c r="L24" s="1139"/>
      <c r="M24" s="1130"/>
      <c r="N24" s="1130"/>
      <c r="O24" s="1130"/>
      <c r="P24" s="3214"/>
      <c r="Q24" s="2974"/>
      <c r="R24" s="773"/>
      <c r="S24" s="774"/>
      <c r="T24" s="773"/>
      <c r="U24" s="774"/>
      <c r="V24" s="773"/>
      <c r="W24" s="774"/>
      <c r="X24" s="2972"/>
      <c r="Y24" s="3216"/>
      <c r="Z24" s="2973"/>
      <c r="AA24" s="2975">
        <v>1</v>
      </c>
      <c r="AB24" s="2975">
        <v>1</v>
      </c>
      <c r="AC24" s="2975">
        <v>1</v>
      </c>
    </row>
    <row r="25" spans="1:29" ht="15.75" hidden="1" thickBot="1">
      <c r="A25" s="427"/>
      <c r="B25" s="2971" t="s">
        <v>2556</v>
      </c>
      <c r="C25" s="459"/>
      <c r="D25" s="434">
        <v>100</v>
      </c>
      <c r="E25" s="2600"/>
      <c r="F25" s="434">
        <f>SUMIF(86:86,E25,87:87)-SUMIF(86:86,C25,87:87)+100</f>
        <v>100</v>
      </c>
      <c r="G25" s="2601"/>
      <c r="H25" s="434">
        <f>SUMIF(86:86,G25,87:87)-SUMIF(86:86,C25,87:87)+100</f>
        <v>100</v>
      </c>
      <c r="I25" s="2601"/>
      <c r="J25" s="434">
        <f>SUMIF(86:86,I25,87:87)-SUMIF(86:86,C25,87:87)+100</f>
        <v>100</v>
      </c>
      <c r="K25" s="425"/>
      <c r="L25" s="1139"/>
      <c r="M25" s="1130"/>
      <c r="N25" s="1130"/>
      <c r="O25" s="1130"/>
      <c r="P25" s="3214"/>
      <c r="Q25" s="2974" t="str">
        <f t="shared" ref="Q25:Q46" si="11">B25</f>
        <v>楼层-1</v>
      </c>
      <c r="R25" s="773" t="s">
        <v>21</v>
      </c>
      <c r="S25" s="774">
        <f t="shared" ref="S25:S46" si="12">F25</f>
        <v>100</v>
      </c>
      <c r="T25" s="773" t="s">
        <v>21</v>
      </c>
      <c r="U25" s="774">
        <f t="shared" ref="U25:U46" si="13">H25</f>
        <v>100</v>
      </c>
      <c r="V25" s="773" t="s">
        <v>21</v>
      </c>
      <c r="W25" s="774">
        <f t="shared" ref="W25:W46" si="14">J25</f>
        <v>100</v>
      </c>
      <c r="X25" s="2972"/>
      <c r="Y25" s="3216"/>
      <c r="Z25" s="2973" t="str">
        <f>Q25</f>
        <v>楼层-1</v>
      </c>
      <c r="AA25" s="2975">
        <f t="shared" ref="AA25:AA46" si="15">D25/F25</f>
        <v>1</v>
      </c>
      <c r="AB25" s="2975">
        <f t="shared" ref="AB25:AB46" si="16">D25/H25</f>
        <v>1</v>
      </c>
      <c r="AC25" s="2975">
        <f t="shared" ref="AC25:AC46" si="17">D25/J25</f>
        <v>1</v>
      </c>
    </row>
    <row r="26" spans="1:29" ht="15.75" hidden="1" thickBot="1">
      <c r="A26" s="427"/>
      <c r="B26" s="2971" t="s">
        <v>2557</v>
      </c>
      <c r="C26" s="459"/>
      <c r="D26" s="434">
        <v>100</v>
      </c>
      <c r="E26" s="2600"/>
      <c r="F26" s="434">
        <f>SUMIF(88:88,E26,89:89)-SUMIF(88:88,C26,89:89)+100</f>
        <v>100</v>
      </c>
      <c r="G26" s="2601"/>
      <c r="H26" s="434">
        <f>SUMIF(88:88,G26,89:89)-SUMIF(88:88,C26,89:89)+100</f>
        <v>100</v>
      </c>
      <c r="I26" s="2601"/>
      <c r="J26" s="434">
        <f>SUMIF(88:88,I26,89:89)-SUMIF(88:88,C26,89:89)+100</f>
        <v>100</v>
      </c>
      <c r="K26" s="425"/>
      <c r="L26" s="1139"/>
      <c r="M26" s="1130"/>
      <c r="N26" s="1130"/>
      <c r="O26" s="1130"/>
      <c r="P26" s="3214"/>
      <c r="Q26" s="2974" t="str">
        <f t="shared" si="11"/>
        <v>朝向</v>
      </c>
      <c r="R26" s="773" t="s">
        <v>21</v>
      </c>
      <c r="S26" s="774">
        <f t="shared" si="12"/>
        <v>100</v>
      </c>
      <c r="T26" s="773" t="s">
        <v>21</v>
      </c>
      <c r="U26" s="774">
        <f t="shared" si="13"/>
        <v>100</v>
      </c>
      <c r="V26" s="773" t="s">
        <v>21</v>
      </c>
      <c r="W26" s="774">
        <f t="shared" si="14"/>
        <v>100</v>
      </c>
      <c r="X26" s="2972"/>
      <c r="Y26" s="3216"/>
      <c r="Z26" s="2973" t="str">
        <f>Q26</f>
        <v>朝向</v>
      </c>
      <c r="AA26" s="2975">
        <f t="shared" si="15"/>
        <v>1</v>
      </c>
      <c r="AB26" s="2975">
        <f t="shared" si="16"/>
        <v>1</v>
      </c>
      <c r="AC26" s="2975">
        <f t="shared" si="17"/>
        <v>1</v>
      </c>
    </row>
    <row r="27" spans="1:29" s="117" customFormat="1" ht="15.75" hidden="1" thickBot="1">
      <c r="A27" s="430"/>
      <c r="B27" s="1383">
        <v>111</v>
      </c>
      <c r="C27" s="431"/>
      <c r="D27" s="461">
        <v>100</v>
      </c>
      <c r="E27" s="464"/>
      <c r="F27" s="461">
        <f>SUMIF(90:90,E27,91:91)-SUMIF(90:90,C27,91:91)+100</f>
        <v>100</v>
      </c>
      <c r="G27" s="462"/>
      <c r="H27" s="461">
        <f>SUMIF(90:90,G27,91:91)-SUMIF(90:90,C27,91:91)+100</f>
        <v>100</v>
      </c>
      <c r="I27" s="462"/>
      <c r="J27" s="461">
        <f>SUMIF(90:90,I27,91:91)-SUMIF(90:90,C27,91:91)+100</f>
        <v>100</v>
      </c>
      <c r="K27" s="2588"/>
      <c r="L27" s="1131"/>
      <c r="M27" s="1132"/>
      <c r="N27" s="1132"/>
      <c r="O27" s="1132"/>
      <c r="P27" s="3214"/>
      <c r="Q27" s="2969">
        <f t="shared" si="11"/>
        <v>111</v>
      </c>
      <c r="R27" s="769" t="s">
        <v>21</v>
      </c>
      <c r="S27" s="770">
        <f t="shared" si="12"/>
        <v>100</v>
      </c>
      <c r="T27" s="769" t="s">
        <v>21</v>
      </c>
      <c r="U27" s="770">
        <f t="shared" si="13"/>
        <v>100</v>
      </c>
      <c r="V27" s="769" t="s">
        <v>21</v>
      </c>
      <c r="W27" s="770">
        <f t="shared" si="14"/>
        <v>100</v>
      </c>
      <c r="X27" s="771"/>
      <c r="Y27" s="3216"/>
      <c r="Z27" s="2970">
        <f>Q27</f>
        <v>111</v>
      </c>
      <c r="AA27" s="2975">
        <f t="shared" si="15"/>
        <v>1</v>
      </c>
      <c r="AB27" s="2975">
        <f t="shared" si="16"/>
        <v>1</v>
      </c>
      <c r="AC27" s="2975">
        <f t="shared" si="17"/>
        <v>1</v>
      </c>
    </row>
    <row r="28" spans="1:29" ht="15.75" hidden="1" thickBot="1">
      <c r="A28" s="427"/>
      <c r="B28" s="1383">
        <v>111</v>
      </c>
      <c r="C28" s="433"/>
      <c r="D28" s="434">
        <v>100</v>
      </c>
      <c r="E28" s="433"/>
      <c r="F28" s="434">
        <f>SUMIF(92:92,E28,93:93)-SUMIF(92:92,C28,93:93)+100</f>
        <v>100</v>
      </c>
      <c r="G28" s="2602"/>
      <c r="H28" s="434">
        <f>SUMIF(92:92,G28,93:93)-SUMIF(92:92,C28,93:93)+100</f>
        <v>100</v>
      </c>
      <c r="I28" s="433"/>
      <c r="J28" s="434">
        <f>SUMIF(92:92,I28,93:93)-SUMIF(92:92,C28,93:93)+100</f>
        <v>100</v>
      </c>
      <c r="K28" s="2588"/>
      <c r="L28" s="1139"/>
      <c r="M28" s="1130"/>
      <c r="N28" s="1130"/>
      <c r="O28" s="1130"/>
      <c r="P28" s="3214"/>
      <c r="Q28" s="2974">
        <f t="shared" si="11"/>
        <v>111</v>
      </c>
      <c r="R28" s="773" t="s">
        <v>21</v>
      </c>
      <c r="S28" s="774">
        <f t="shared" si="12"/>
        <v>100</v>
      </c>
      <c r="T28" s="773" t="s">
        <v>21</v>
      </c>
      <c r="U28" s="774">
        <f t="shared" si="13"/>
        <v>100</v>
      </c>
      <c r="V28" s="773" t="s">
        <v>21</v>
      </c>
      <c r="W28" s="774">
        <f t="shared" si="14"/>
        <v>100</v>
      </c>
      <c r="X28" s="2972"/>
      <c r="Y28" s="3216"/>
      <c r="Z28" s="2973">
        <f t="shared" ref="Z28:Z46" si="18">Q28</f>
        <v>111</v>
      </c>
      <c r="AA28" s="2975">
        <f t="shared" si="15"/>
        <v>1</v>
      </c>
      <c r="AB28" s="2975">
        <f t="shared" si="16"/>
        <v>1</v>
      </c>
      <c r="AC28" s="2975">
        <f t="shared" si="17"/>
        <v>1</v>
      </c>
    </row>
    <row r="29" spans="1:29" ht="15.75" hidden="1" thickBot="1">
      <c r="A29" s="427"/>
      <c r="B29" s="1383">
        <v>111</v>
      </c>
      <c r="C29" s="433"/>
      <c r="D29" s="434">
        <v>100</v>
      </c>
      <c r="E29" s="433"/>
      <c r="F29" s="434">
        <f>SUMIF(94:94,E29,95:95)-SUMIF(94:94,C29,95:95)+100</f>
        <v>100</v>
      </c>
      <c r="G29" s="2602"/>
      <c r="H29" s="434">
        <f>SUMIF(94:94,G29,95:95)-SUMIF(94:94,C29,95:95)+100</f>
        <v>100</v>
      </c>
      <c r="I29" s="433"/>
      <c r="J29" s="434">
        <f>SUMIF(94:94,I29,95:95)-SUMIF(94:94,C29,95:95)+100</f>
        <v>100</v>
      </c>
      <c r="K29" s="2588"/>
      <c r="L29" s="1139"/>
      <c r="M29" s="1130"/>
      <c r="N29" s="1130"/>
      <c r="O29" s="1130"/>
      <c r="P29" s="3214"/>
      <c r="Q29" s="2974">
        <f t="shared" si="11"/>
        <v>111</v>
      </c>
      <c r="R29" s="773" t="s">
        <v>21</v>
      </c>
      <c r="S29" s="774">
        <f t="shared" si="12"/>
        <v>100</v>
      </c>
      <c r="T29" s="773" t="s">
        <v>21</v>
      </c>
      <c r="U29" s="774">
        <f t="shared" si="13"/>
        <v>100</v>
      </c>
      <c r="V29" s="773" t="s">
        <v>21</v>
      </c>
      <c r="W29" s="774">
        <f t="shared" si="14"/>
        <v>100</v>
      </c>
      <c r="X29" s="2972"/>
      <c r="Y29" s="3216"/>
      <c r="Z29" s="2973">
        <f t="shared" si="18"/>
        <v>111</v>
      </c>
      <c r="AA29" s="2975">
        <f t="shared" si="15"/>
        <v>1</v>
      </c>
      <c r="AB29" s="2975">
        <f t="shared" si="16"/>
        <v>1</v>
      </c>
      <c r="AC29" s="2975">
        <f t="shared" si="17"/>
        <v>1</v>
      </c>
    </row>
    <row r="30" spans="1:29" ht="15.75" hidden="1" thickBot="1">
      <c r="A30" s="427"/>
      <c r="B30" s="1383">
        <v>111</v>
      </c>
      <c r="C30" s="433"/>
      <c r="D30" s="434">
        <v>100</v>
      </c>
      <c r="E30" s="433"/>
      <c r="F30" s="434">
        <f>SUMIF(96:96,E30,97:97)-SUMIF(96:96,C30,97:97)+100</f>
        <v>100</v>
      </c>
      <c r="G30" s="2602"/>
      <c r="H30" s="434">
        <f>SUMIF(96:96,G30,97:97)-SUMIF(96:96,C30,97:97)+100</f>
        <v>100</v>
      </c>
      <c r="I30" s="433"/>
      <c r="J30" s="434">
        <f>SUMIF(96:96,I30,97:97)-SUMIF(96:96,C30,97:97)+100</f>
        <v>100</v>
      </c>
      <c r="K30" s="2588"/>
      <c r="L30" s="1139"/>
      <c r="M30" s="1130"/>
      <c r="N30" s="1130"/>
      <c r="O30" s="1130"/>
      <c r="P30" s="3214"/>
      <c r="Q30" s="2974">
        <f t="shared" si="11"/>
        <v>111</v>
      </c>
      <c r="R30" s="773" t="s">
        <v>21</v>
      </c>
      <c r="S30" s="774">
        <f t="shared" si="12"/>
        <v>100</v>
      </c>
      <c r="T30" s="773" t="s">
        <v>21</v>
      </c>
      <c r="U30" s="774">
        <f t="shared" si="13"/>
        <v>100</v>
      </c>
      <c r="V30" s="773" t="s">
        <v>21</v>
      </c>
      <c r="W30" s="774">
        <f t="shared" si="14"/>
        <v>100</v>
      </c>
      <c r="X30" s="2972"/>
      <c r="Y30" s="3216"/>
      <c r="Z30" s="2973">
        <f t="shared" si="18"/>
        <v>111</v>
      </c>
      <c r="AA30" s="2975">
        <f t="shared" si="15"/>
        <v>1</v>
      </c>
      <c r="AB30" s="2975">
        <f t="shared" si="16"/>
        <v>1</v>
      </c>
      <c r="AC30" s="2975">
        <f t="shared" si="17"/>
        <v>1</v>
      </c>
    </row>
    <row r="31" spans="1:29" ht="15.75" hidden="1" thickBot="1">
      <c r="A31" s="435"/>
      <c r="B31" s="1383">
        <v>111</v>
      </c>
      <c r="C31" s="436"/>
      <c r="D31" s="437">
        <v>100</v>
      </c>
      <c r="E31" s="436"/>
      <c r="F31" s="437">
        <f>SUMIF(98:98,E31,99:99)-SUMIF(98:98,C31,99:99)+100</f>
        <v>100</v>
      </c>
      <c r="G31" s="2603"/>
      <c r="H31" s="437">
        <f>SUMIF(98:98,G31,99:99)-SUMIF(98:98,C31,99:99)+100</f>
        <v>100</v>
      </c>
      <c r="I31" s="436"/>
      <c r="J31" s="437">
        <f>SUMIF(98:98,I31,99:99)-SUMIF(98:98,C31,99:99)+100</f>
        <v>100</v>
      </c>
      <c r="K31" s="2588"/>
      <c r="L31" s="1139"/>
      <c r="M31" s="1130"/>
      <c r="N31" s="1130"/>
      <c r="O31" s="1130"/>
      <c r="P31" s="3214"/>
      <c r="Q31" s="2974">
        <f t="shared" si="11"/>
        <v>111</v>
      </c>
      <c r="R31" s="773" t="s">
        <v>21</v>
      </c>
      <c r="S31" s="774">
        <f t="shared" si="12"/>
        <v>100</v>
      </c>
      <c r="T31" s="773" t="s">
        <v>21</v>
      </c>
      <c r="U31" s="774">
        <f t="shared" si="13"/>
        <v>100</v>
      </c>
      <c r="V31" s="773" t="s">
        <v>21</v>
      </c>
      <c r="W31" s="774">
        <f t="shared" si="14"/>
        <v>100</v>
      </c>
      <c r="X31" s="2972"/>
      <c r="Y31" s="3216"/>
      <c r="Z31" s="2973">
        <f t="shared" si="18"/>
        <v>111</v>
      </c>
      <c r="AA31" s="2975">
        <f t="shared" si="15"/>
        <v>1</v>
      </c>
      <c r="AB31" s="2975">
        <f t="shared" si="16"/>
        <v>1</v>
      </c>
      <c r="AC31" s="2975">
        <f t="shared" si="17"/>
        <v>1</v>
      </c>
    </row>
    <row r="32" spans="1:29" ht="15">
      <c r="A32" s="439" t="s">
        <v>2558</v>
      </c>
      <c r="B32" s="71" t="s">
        <v>2559</v>
      </c>
      <c r="C32" s="2604" t="s">
        <v>3308</v>
      </c>
      <c r="D32" s="466">
        <v>100</v>
      </c>
      <c r="E32" s="2604" t="s">
        <v>3268</v>
      </c>
      <c r="F32" s="460">
        <f>SUMIF(100:100,E32,101:101)-SUMIF(100:100,C32,101:101)+100</f>
        <v>90</v>
      </c>
      <c r="G32" s="2604" t="s">
        <v>3268</v>
      </c>
      <c r="H32" s="466">
        <f>SUMIF(100:100,G32,101:101)-SUMIF(100:100,C32,101:101)+100</f>
        <v>90</v>
      </c>
      <c r="I32" s="2604" t="s">
        <v>3268</v>
      </c>
      <c r="J32" s="434">
        <f>SUMIF(100:100,I32,101:101)-SUMIF(100:100,C32,101:101)+100</f>
        <v>90</v>
      </c>
      <c r="K32" s="425">
        <v>5</v>
      </c>
      <c r="L32" s="1139"/>
      <c r="M32" s="1130"/>
      <c r="N32" s="1130"/>
      <c r="O32" s="1130"/>
      <c r="P32" s="3217" t="s">
        <v>2560</v>
      </c>
      <c r="Q32" s="2974" t="str">
        <f t="shared" si="11"/>
        <v>建筑类型</v>
      </c>
      <c r="R32" s="773" t="s">
        <v>21</v>
      </c>
      <c r="S32" s="774">
        <f t="shared" si="12"/>
        <v>90</v>
      </c>
      <c r="T32" s="773" t="s">
        <v>21</v>
      </c>
      <c r="U32" s="774">
        <f t="shared" si="13"/>
        <v>90</v>
      </c>
      <c r="V32" s="773" t="s">
        <v>21</v>
      </c>
      <c r="W32" s="774">
        <f t="shared" si="14"/>
        <v>90</v>
      </c>
      <c r="X32" s="2972"/>
      <c r="Y32" s="3220" t="s">
        <v>2560</v>
      </c>
      <c r="Z32" s="2973" t="str">
        <f t="shared" si="18"/>
        <v>建筑类型</v>
      </c>
      <c r="AA32" s="2975">
        <f t="shared" si="15"/>
        <v>1.1111111111111112</v>
      </c>
      <c r="AB32" s="2975">
        <f t="shared" si="16"/>
        <v>1.1111111111111112</v>
      </c>
      <c r="AC32" s="2975">
        <f t="shared" si="17"/>
        <v>1.1111111111111112</v>
      </c>
    </row>
    <row r="33" spans="1:29" s="470" customFormat="1" ht="15">
      <c r="A33" s="467"/>
      <c r="B33" s="2971" t="s">
        <v>2561</v>
      </c>
      <c r="C33" s="468">
        <f>'数据-基础表'!B3</f>
        <v>46712.319999999992</v>
      </c>
      <c r="D33" s="136">
        <v>100</v>
      </c>
      <c r="E33" s="429">
        <v>160000</v>
      </c>
      <c r="F33" s="424">
        <f>LOOKUP(E33,103:103,104:104)-LOOKUP(C33,103:103,104:104)+100</f>
        <v>101.5</v>
      </c>
      <c r="G33" s="428">
        <v>76560.03</v>
      </c>
      <c r="H33" s="136">
        <f>LOOKUP(G33,103:103,104:104)-LOOKUP(C33,103:103,104:104)+100</f>
        <v>100.5</v>
      </c>
      <c r="I33" s="429">
        <v>210500</v>
      </c>
      <c r="J33" s="136">
        <f>LOOKUP(I33,103:103,104:104)-LOOKUP(C33,103:103,104:104)+100</f>
        <v>102</v>
      </c>
      <c r="K33" s="2588"/>
      <c r="L33" s="1137"/>
      <c r="M33" s="1140"/>
      <c r="N33" s="1140"/>
      <c r="O33" s="1140"/>
      <c r="P33" s="3218"/>
      <c r="Q33" s="775" t="str">
        <f t="shared" si="11"/>
        <v>项目建筑规模</v>
      </c>
      <c r="R33" s="776" t="s">
        <v>21</v>
      </c>
      <c r="S33" s="777">
        <f t="shared" si="12"/>
        <v>101.5</v>
      </c>
      <c r="T33" s="776" t="s">
        <v>21</v>
      </c>
      <c r="U33" s="777">
        <f t="shared" si="13"/>
        <v>100.5</v>
      </c>
      <c r="V33" s="776" t="s">
        <v>21</v>
      </c>
      <c r="W33" s="777">
        <f t="shared" si="14"/>
        <v>102</v>
      </c>
      <c r="X33" s="778"/>
      <c r="Y33" s="3220"/>
      <c r="Z33" s="779" t="str">
        <f t="shared" si="18"/>
        <v>项目建筑规模</v>
      </c>
      <c r="AA33" s="2975">
        <f t="shared" si="15"/>
        <v>0.98522167487684731</v>
      </c>
      <c r="AB33" s="2975">
        <f t="shared" si="16"/>
        <v>0.99502487562189057</v>
      </c>
      <c r="AC33" s="2975">
        <f t="shared" si="17"/>
        <v>0.98039215686274506</v>
      </c>
    </row>
    <row r="34" spans="1:29" ht="15">
      <c r="A34" s="471"/>
      <c r="B34" s="2971" t="s">
        <v>2562</v>
      </c>
      <c r="C34" s="2605" t="s">
        <v>3076</v>
      </c>
      <c r="D34" s="434">
        <v>100</v>
      </c>
      <c r="E34" s="2605" t="s">
        <v>3076</v>
      </c>
      <c r="F34" s="460">
        <f>SUMIF(105:105,E34,106:106)-SUMIF(105:105,C34,106:106)+100</f>
        <v>100</v>
      </c>
      <c r="G34" s="2605" t="s">
        <v>3076</v>
      </c>
      <c r="H34" s="434">
        <f>SUMIF(105:105,G34,106:106)-SUMIF(105:105,C34,106:106)+100</f>
        <v>100</v>
      </c>
      <c r="I34" s="2605" t="s">
        <v>3076</v>
      </c>
      <c r="J34" s="434">
        <f>SUMIF(105:105,I34,106:106)-SUMIF(105:105,C34,106:106)+100</f>
        <v>100</v>
      </c>
      <c r="K34" s="425">
        <v>2</v>
      </c>
      <c r="L34" s="1139"/>
      <c r="M34" s="1130"/>
      <c r="N34" s="1130"/>
      <c r="O34" s="1130"/>
      <c r="P34" s="3218"/>
      <c r="Q34" s="2974" t="str">
        <f t="shared" si="11"/>
        <v>建筑结构</v>
      </c>
      <c r="R34" s="773" t="s">
        <v>21</v>
      </c>
      <c r="S34" s="774">
        <f t="shared" si="12"/>
        <v>100</v>
      </c>
      <c r="T34" s="773" t="s">
        <v>21</v>
      </c>
      <c r="U34" s="774">
        <f t="shared" si="13"/>
        <v>100</v>
      </c>
      <c r="V34" s="773" t="s">
        <v>21</v>
      </c>
      <c r="W34" s="774">
        <f t="shared" si="14"/>
        <v>100</v>
      </c>
      <c r="X34" s="2972"/>
      <c r="Y34" s="3220"/>
      <c r="Z34" s="2973" t="str">
        <f t="shared" si="18"/>
        <v>建筑结构</v>
      </c>
      <c r="AA34" s="2975">
        <f t="shared" si="15"/>
        <v>1</v>
      </c>
      <c r="AB34" s="2975">
        <f t="shared" si="16"/>
        <v>1</v>
      </c>
      <c r="AC34" s="2975">
        <f t="shared" si="17"/>
        <v>1</v>
      </c>
    </row>
    <row r="35" spans="1:29" ht="15">
      <c r="A35" s="471"/>
      <c r="B35" s="2971" t="s">
        <v>2563</v>
      </c>
      <c r="C35" s="2600" t="s">
        <v>3251</v>
      </c>
      <c r="D35" s="434">
        <v>100</v>
      </c>
      <c r="E35" s="2600" t="s">
        <v>3251</v>
      </c>
      <c r="F35" s="460">
        <f>SUMIF(107:107,E35,108:108)-SUMIF(107:107,C35,108:108)+100</f>
        <v>100</v>
      </c>
      <c r="G35" s="2600" t="s">
        <v>3251</v>
      </c>
      <c r="H35" s="434">
        <f>SUMIF(107:107,G35,108:108)-SUMIF(107:107,C35,108:108)+100</f>
        <v>100</v>
      </c>
      <c r="I35" s="2600" t="s">
        <v>3251</v>
      </c>
      <c r="J35" s="434">
        <f>SUMIF(107:107,I35,108:108)-SUMIF(107:107,C35,108:108)+100</f>
        <v>100</v>
      </c>
      <c r="K35" s="425">
        <v>2</v>
      </c>
      <c r="L35" s="1139"/>
      <c r="M35" s="1130"/>
      <c r="N35" s="1130"/>
      <c r="O35" s="1130"/>
      <c r="P35" s="3218"/>
      <c r="Q35" s="2974" t="str">
        <f t="shared" si="11"/>
        <v>建筑品质</v>
      </c>
      <c r="R35" s="773" t="s">
        <v>21</v>
      </c>
      <c r="S35" s="774">
        <f t="shared" si="12"/>
        <v>100</v>
      </c>
      <c r="T35" s="773" t="s">
        <v>21</v>
      </c>
      <c r="U35" s="774">
        <f t="shared" si="13"/>
        <v>100</v>
      </c>
      <c r="V35" s="773" t="s">
        <v>21</v>
      </c>
      <c r="W35" s="774">
        <f t="shared" si="14"/>
        <v>100</v>
      </c>
      <c r="X35" s="2972"/>
      <c r="Y35" s="3220"/>
      <c r="Z35" s="2973" t="str">
        <f t="shared" si="18"/>
        <v>建筑品质</v>
      </c>
      <c r="AA35" s="2975">
        <f t="shared" si="15"/>
        <v>1</v>
      </c>
      <c r="AB35" s="2975">
        <f t="shared" si="16"/>
        <v>1</v>
      </c>
      <c r="AC35" s="2975">
        <f t="shared" si="17"/>
        <v>1</v>
      </c>
    </row>
    <row r="36" spans="1:29" ht="15">
      <c r="A36" s="471"/>
      <c r="B36" s="2971" t="s">
        <v>2564</v>
      </c>
      <c r="C36" s="2600" t="s">
        <v>3290</v>
      </c>
      <c r="D36" s="434">
        <v>100</v>
      </c>
      <c r="E36" s="2600" t="s">
        <v>3290</v>
      </c>
      <c r="F36" s="460">
        <f>SUMIF(109:109,E36,110:110)-SUMIF(109:109,C36,110:110)+100</f>
        <v>100</v>
      </c>
      <c r="G36" s="2600" t="s">
        <v>3290</v>
      </c>
      <c r="H36" s="434">
        <f>SUMIF(109:109,G36,110:110)-SUMIF(109:109,C36,110:110)+100</f>
        <v>100</v>
      </c>
      <c r="I36" s="2600" t="s">
        <v>3290</v>
      </c>
      <c r="J36" s="434">
        <f>SUMIF(109:109,I36,110:110)-SUMIF(109:109,C36,110:110)+100</f>
        <v>100</v>
      </c>
      <c r="K36" s="425">
        <v>1.5</v>
      </c>
      <c r="L36" s="1139"/>
      <c r="M36" s="1130"/>
      <c r="N36" s="1130"/>
      <c r="O36" s="1130"/>
      <c r="P36" s="3218"/>
      <c r="Q36" s="2974" t="str">
        <f t="shared" si="11"/>
        <v>公共部分装修</v>
      </c>
      <c r="R36" s="773" t="s">
        <v>21</v>
      </c>
      <c r="S36" s="774">
        <f t="shared" si="12"/>
        <v>100</v>
      </c>
      <c r="T36" s="773" t="s">
        <v>21</v>
      </c>
      <c r="U36" s="774">
        <f t="shared" si="13"/>
        <v>100</v>
      </c>
      <c r="V36" s="773" t="s">
        <v>21</v>
      </c>
      <c r="W36" s="774">
        <f t="shared" si="14"/>
        <v>100</v>
      </c>
      <c r="X36" s="2972"/>
      <c r="Y36" s="3220"/>
      <c r="Z36" s="2973" t="str">
        <f t="shared" si="18"/>
        <v>公共部分装修</v>
      </c>
      <c r="AA36" s="2975">
        <f t="shared" si="15"/>
        <v>1</v>
      </c>
      <c r="AB36" s="2975">
        <f t="shared" si="16"/>
        <v>1</v>
      </c>
      <c r="AC36" s="2975">
        <f t="shared" si="17"/>
        <v>1</v>
      </c>
    </row>
    <row r="37" spans="1:29" s="117" customFormat="1" ht="15">
      <c r="A37" s="472"/>
      <c r="B37" s="2971" t="s">
        <v>2565</v>
      </c>
      <c r="C37" s="473">
        <v>1</v>
      </c>
      <c r="D37" s="136">
        <v>100</v>
      </c>
      <c r="E37" s="473">
        <v>1</v>
      </c>
      <c r="F37" s="424">
        <f>LOOKUP(E37,112:112,113:113)-LOOKUP(C37,112:112,113:113)+100</f>
        <v>100</v>
      </c>
      <c r="G37" s="473">
        <v>1</v>
      </c>
      <c r="H37" s="136">
        <f>LOOKUP(G37,112:112,113:113)-LOOKUP(C37,112:112,113:113)+100</f>
        <v>100</v>
      </c>
      <c r="I37" s="473">
        <v>1</v>
      </c>
      <c r="J37" s="136">
        <f>LOOKUP(I37,112:112,113:113)-LOOKUP(C37,112:112,113:113)+100</f>
        <v>100</v>
      </c>
      <c r="K37" s="425">
        <v>1</v>
      </c>
      <c r="L37" s="1131"/>
      <c r="M37" s="1132"/>
      <c r="N37" s="1132"/>
      <c r="O37" s="1132"/>
      <c r="P37" s="3218"/>
      <c r="Q37" s="2969" t="str">
        <f t="shared" si="11"/>
        <v>成新度</v>
      </c>
      <c r="R37" s="769" t="s">
        <v>21</v>
      </c>
      <c r="S37" s="770">
        <f t="shared" si="12"/>
        <v>100</v>
      </c>
      <c r="T37" s="769" t="s">
        <v>21</v>
      </c>
      <c r="U37" s="770">
        <f t="shared" si="13"/>
        <v>100</v>
      </c>
      <c r="V37" s="769" t="s">
        <v>21</v>
      </c>
      <c r="W37" s="770">
        <f t="shared" si="14"/>
        <v>100</v>
      </c>
      <c r="X37" s="771"/>
      <c r="Y37" s="3220"/>
      <c r="Z37" s="2970" t="str">
        <f t="shared" si="18"/>
        <v>成新度</v>
      </c>
      <c r="AA37" s="772">
        <f t="shared" si="15"/>
        <v>1</v>
      </c>
      <c r="AB37" s="772">
        <f t="shared" si="16"/>
        <v>1</v>
      </c>
      <c r="AC37" s="772">
        <f t="shared" si="17"/>
        <v>1</v>
      </c>
    </row>
    <row r="38" spans="1:29" ht="15">
      <c r="A38" s="471"/>
      <c r="B38" s="2971" t="s">
        <v>2566</v>
      </c>
      <c r="C38" s="2600" t="s">
        <v>3251</v>
      </c>
      <c r="D38" s="434">
        <v>100</v>
      </c>
      <c r="E38" s="2600" t="s">
        <v>3251</v>
      </c>
      <c r="F38" s="460">
        <f>SUMIF(114:114,E38,115:115)-SUMIF(114:114,C38,115:115)+100</f>
        <v>100</v>
      </c>
      <c r="G38" s="2600" t="s">
        <v>3251</v>
      </c>
      <c r="H38" s="434">
        <f>SUMIF(114:114,G38,115:115)-SUMIF(114:114,C38,115:115)+100</f>
        <v>100</v>
      </c>
      <c r="I38" s="2600" t="s">
        <v>3251</v>
      </c>
      <c r="J38" s="434">
        <f>SUMIF(114:114,I38,115:115)-SUMIF(114:114,C38,115:115)+100</f>
        <v>100</v>
      </c>
      <c r="K38" s="425">
        <v>1</v>
      </c>
      <c r="L38" s="1139"/>
      <c r="M38" s="1130"/>
      <c r="N38" s="1130"/>
      <c r="O38" s="1130"/>
      <c r="P38" s="3218" t="s">
        <v>2560</v>
      </c>
      <c r="Q38" s="2974" t="str">
        <f t="shared" si="11"/>
        <v>物业管理</v>
      </c>
      <c r="R38" s="773" t="s">
        <v>21</v>
      </c>
      <c r="S38" s="774">
        <f t="shared" si="12"/>
        <v>100</v>
      </c>
      <c r="T38" s="773" t="s">
        <v>21</v>
      </c>
      <c r="U38" s="774">
        <f t="shared" si="13"/>
        <v>100</v>
      </c>
      <c r="V38" s="773" t="s">
        <v>21</v>
      </c>
      <c r="W38" s="774">
        <f t="shared" si="14"/>
        <v>100</v>
      </c>
      <c r="X38" s="2972"/>
      <c r="Y38" s="3220" t="s">
        <v>2560</v>
      </c>
      <c r="Z38" s="2973" t="str">
        <f t="shared" si="18"/>
        <v>物业管理</v>
      </c>
      <c r="AA38" s="2975">
        <f t="shared" si="15"/>
        <v>1</v>
      </c>
      <c r="AB38" s="2975">
        <f t="shared" si="16"/>
        <v>1</v>
      </c>
      <c r="AC38" s="2975">
        <f t="shared" si="17"/>
        <v>1</v>
      </c>
    </row>
    <row r="39" spans="1:29" ht="15">
      <c r="A39" s="471"/>
      <c r="B39" s="2971" t="s">
        <v>2567</v>
      </c>
      <c r="C39" s="2600" t="s">
        <v>3239</v>
      </c>
      <c r="D39" s="434">
        <v>100</v>
      </c>
      <c r="E39" s="2600" t="s">
        <v>3239</v>
      </c>
      <c r="F39" s="460">
        <f>SUMIF(116:116,E39,117:117)-SUMIF(116:116,C39,117:117)+100</f>
        <v>100</v>
      </c>
      <c r="G39" s="2600" t="s">
        <v>3239</v>
      </c>
      <c r="H39" s="434">
        <f>SUMIF(116:116,G39,117:117)-SUMIF(116:116,C39,117:117)+100</f>
        <v>100</v>
      </c>
      <c r="I39" s="2600" t="s">
        <v>3239</v>
      </c>
      <c r="J39" s="434">
        <f>SUMIF(116:116,I39,117:117)-SUMIF(116:116,C39,117:117)+100</f>
        <v>100</v>
      </c>
      <c r="K39" s="425">
        <v>1</v>
      </c>
      <c r="L39" s="1139"/>
      <c r="M39" s="1130"/>
      <c r="N39" s="1130"/>
      <c r="O39" s="1130"/>
      <c r="P39" s="3218"/>
      <c r="Q39" s="2974" t="str">
        <f t="shared" si="11"/>
        <v>市政基础设施</v>
      </c>
      <c r="R39" s="773" t="s">
        <v>21</v>
      </c>
      <c r="S39" s="774">
        <f t="shared" si="12"/>
        <v>100</v>
      </c>
      <c r="T39" s="773" t="s">
        <v>21</v>
      </c>
      <c r="U39" s="774">
        <f t="shared" si="13"/>
        <v>100</v>
      </c>
      <c r="V39" s="773" t="s">
        <v>21</v>
      </c>
      <c r="W39" s="774">
        <f t="shared" si="14"/>
        <v>100</v>
      </c>
      <c r="X39" s="2972"/>
      <c r="Y39" s="3220"/>
      <c r="Z39" s="2973" t="str">
        <f t="shared" si="18"/>
        <v>市政基础设施</v>
      </c>
      <c r="AA39" s="2975">
        <f t="shared" si="15"/>
        <v>1</v>
      </c>
      <c r="AB39" s="2975">
        <f t="shared" si="16"/>
        <v>1</v>
      </c>
      <c r="AC39" s="2975">
        <f t="shared" si="17"/>
        <v>1</v>
      </c>
    </row>
    <row r="40" spans="1:29" ht="15" hidden="1">
      <c r="A40" s="471"/>
      <c r="B40" s="2971" t="s">
        <v>2568</v>
      </c>
      <c r="C40" s="2600"/>
      <c r="D40" s="434">
        <v>100</v>
      </c>
      <c r="E40" s="2600"/>
      <c r="F40" s="460">
        <f>SUMIF(118:118,E40,119:119)-SUMIF(118:118,C40,119:119)+100</f>
        <v>100</v>
      </c>
      <c r="G40" s="2600"/>
      <c r="H40" s="434">
        <f>SUMIF(118:118,G40,119:119)-SUMIF(118:118,C40,119:119)+100</f>
        <v>100</v>
      </c>
      <c r="I40" s="2600"/>
      <c r="J40" s="434">
        <f>SUMIF(118:118,I40,119:119)-SUMIF(118:118,C40,119:119)+100</f>
        <v>100</v>
      </c>
      <c r="K40" s="425"/>
      <c r="L40" s="1139"/>
      <c r="M40" s="1130"/>
      <c r="N40" s="1130"/>
      <c r="O40" s="1130"/>
      <c r="P40" s="3218"/>
      <c r="Q40" s="2974" t="str">
        <f t="shared" si="11"/>
        <v>房型</v>
      </c>
      <c r="R40" s="773" t="s">
        <v>21</v>
      </c>
      <c r="S40" s="774">
        <f t="shared" si="12"/>
        <v>100</v>
      </c>
      <c r="T40" s="773" t="s">
        <v>21</v>
      </c>
      <c r="U40" s="774">
        <f t="shared" si="13"/>
        <v>100</v>
      </c>
      <c r="V40" s="773" t="s">
        <v>21</v>
      </c>
      <c r="W40" s="774">
        <f t="shared" si="14"/>
        <v>100</v>
      </c>
      <c r="X40" s="2972"/>
      <c r="Y40" s="3220"/>
      <c r="Z40" s="2973" t="str">
        <f t="shared" si="18"/>
        <v>房型</v>
      </c>
      <c r="AA40" s="2975">
        <f t="shared" si="15"/>
        <v>1</v>
      </c>
      <c r="AB40" s="2975">
        <f t="shared" si="16"/>
        <v>1</v>
      </c>
      <c r="AC40" s="2975">
        <f t="shared" si="17"/>
        <v>1</v>
      </c>
    </row>
    <row r="41" spans="1:29" s="470" customFormat="1" ht="28.5" hidden="1">
      <c r="A41" s="467"/>
      <c r="B41" s="2971" t="s">
        <v>2569</v>
      </c>
      <c r="C41" s="468"/>
      <c r="D41" s="136">
        <v>100</v>
      </c>
      <c r="E41" s="468"/>
      <c r="F41" s="424">
        <f>SUMIF(120:120,E41,121:121)-SUMIF(120:120,C41,121:121)+100</f>
        <v>100</v>
      </c>
      <c r="G41" s="468"/>
      <c r="H41" s="136">
        <f>SUMIF(120:120,G41,121:121)-SUMIF(120:120,C41,121:121)+100</f>
        <v>100</v>
      </c>
      <c r="I41" s="468"/>
      <c r="J41" s="434">
        <f>SUMIF(120:120,I41,121:121)-SUMIF(120:120,C41,121:121)+100</f>
        <v>100</v>
      </c>
      <c r="K41" s="2588"/>
      <c r="L41" s="1137"/>
      <c r="M41" s="1140"/>
      <c r="N41" s="1140"/>
      <c r="O41" s="1140"/>
      <c r="P41" s="3218"/>
      <c r="Q41" s="775" t="str">
        <f t="shared" si="11"/>
        <v>单套/主力户型建筑面积</v>
      </c>
      <c r="R41" s="776" t="s">
        <v>21</v>
      </c>
      <c r="S41" s="777">
        <f t="shared" si="12"/>
        <v>100</v>
      </c>
      <c r="T41" s="776" t="s">
        <v>21</v>
      </c>
      <c r="U41" s="777">
        <f t="shared" si="13"/>
        <v>100</v>
      </c>
      <c r="V41" s="776" t="s">
        <v>21</v>
      </c>
      <c r="W41" s="777">
        <f t="shared" si="14"/>
        <v>100</v>
      </c>
      <c r="X41" s="778"/>
      <c r="Y41" s="3220"/>
      <c r="Z41" s="779" t="str">
        <f t="shared" si="18"/>
        <v>单套/主力户型建筑面积</v>
      </c>
      <c r="AA41" s="2975">
        <f t="shared" si="15"/>
        <v>1</v>
      </c>
      <c r="AB41" s="2975">
        <f t="shared" si="16"/>
        <v>1</v>
      </c>
      <c r="AC41" s="2975">
        <f t="shared" si="17"/>
        <v>1</v>
      </c>
    </row>
    <row r="42" spans="1:29" ht="15">
      <c r="A42" s="471"/>
      <c r="B42" s="2971" t="s">
        <v>2570</v>
      </c>
      <c r="C42" s="2600" t="s">
        <v>3294</v>
      </c>
      <c r="D42" s="434">
        <v>100</v>
      </c>
      <c r="E42" s="2600" t="s">
        <v>3290</v>
      </c>
      <c r="F42" s="460">
        <f>SUMIF(122:122,E42,123:123)-SUMIF(122:122,C42,123:123)+100</f>
        <v>103</v>
      </c>
      <c r="G42" s="2600" t="s">
        <v>3290</v>
      </c>
      <c r="H42" s="434">
        <f>SUMIF(122:122,G42,123:123)-SUMIF(122:122,C42,123:123)+100</f>
        <v>103</v>
      </c>
      <c r="I42" s="2600" t="s">
        <v>3290</v>
      </c>
      <c r="J42" s="434">
        <f>SUMIF(122:122,I42,123:123)-SUMIF(122:122,C42,123:123)+100</f>
        <v>103</v>
      </c>
      <c r="K42" s="425">
        <v>1</v>
      </c>
      <c r="L42" s="1139"/>
      <c r="M42" s="1130"/>
      <c r="N42" s="1130"/>
      <c r="O42" s="1130"/>
      <c r="P42" s="3218"/>
      <c r="Q42" s="2974" t="str">
        <f t="shared" si="11"/>
        <v>内部装修</v>
      </c>
      <c r="R42" s="773" t="s">
        <v>21</v>
      </c>
      <c r="S42" s="774">
        <f t="shared" si="12"/>
        <v>103</v>
      </c>
      <c r="T42" s="773" t="s">
        <v>21</v>
      </c>
      <c r="U42" s="774">
        <f t="shared" si="13"/>
        <v>103</v>
      </c>
      <c r="V42" s="773" t="s">
        <v>21</v>
      </c>
      <c r="W42" s="774">
        <f t="shared" si="14"/>
        <v>103</v>
      </c>
      <c r="X42" s="2972"/>
      <c r="Y42" s="3220"/>
      <c r="Z42" s="2973" t="str">
        <f t="shared" si="18"/>
        <v>内部装修</v>
      </c>
      <c r="AA42" s="2975">
        <f t="shared" si="15"/>
        <v>0.970873786407767</v>
      </c>
      <c r="AB42" s="2975">
        <f t="shared" si="16"/>
        <v>0.970873786407767</v>
      </c>
      <c r="AC42" s="2975">
        <f t="shared" si="17"/>
        <v>0.970873786407767</v>
      </c>
    </row>
    <row r="43" spans="1:29" ht="15.75" thickBot="1">
      <c r="A43" s="471"/>
      <c r="B43" s="2971" t="s">
        <v>2571</v>
      </c>
      <c r="C43" s="2600" t="s">
        <v>3251</v>
      </c>
      <c r="D43" s="434">
        <v>100</v>
      </c>
      <c r="E43" s="2600" t="s">
        <v>3251</v>
      </c>
      <c r="F43" s="460">
        <f>SUMIF(124:124,E43,125:125)-SUMIF(124:124,C43,125:125)+100</f>
        <v>100</v>
      </c>
      <c r="G43" s="2600" t="s">
        <v>3251</v>
      </c>
      <c r="H43" s="434">
        <f>SUMIF(124:124,G43,125:125)-SUMIF(124:124,C43,125:125)+100</f>
        <v>100</v>
      </c>
      <c r="I43" s="2600" t="s">
        <v>3251</v>
      </c>
      <c r="J43" s="434">
        <f>SUMIF(124:124,I43,125:125)-SUMIF(124:124,C43,125:125)+100</f>
        <v>100</v>
      </c>
      <c r="K43" s="425">
        <v>1</v>
      </c>
      <c r="L43" s="1139"/>
      <c r="M43" s="1130"/>
      <c r="N43" s="1130"/>
      <c r="O43" s="1130"/>
      <c r="P43" s="3218"/>
      <c r="Q43" s="2974" t="str">
        <f t="shared" si="11"/>
        <v>内部装修维护情况</v>
      </c>
      <c r="R43" s="773" t="s">
        <v>21</v>
      </c>
      <c r="S43" s="774">
        <f t="shared" si="12"/>
        <v>100</v>
      </c>
      <c r="T43" s="773" t="s">
        <v>21</v>
      </c>
      <c r="U43" s="774">
        <f t="shared" si="13"/>
        <v>100</v>
      </c>
      <c r="V43" s="773" t="s">
        <v>21</v>
      </c>
      <c r="W43" s="774">
        <f t="shared" si="14"/>
        <v>100</v>
      </c>
      <c r="X43" s="2972"/>
      <c r="Y43" s="3220"/>
      <c r="Z43" s="2973" t="str">
        <f t="shared" si="18"/>
        <v>内部装修维护情况</v>
      </c>
      <c r="AA43" s="2975">
        <f t="shared" si="15"/>
        <v>1</v>
      </c>
      <c r="AB43" s="2975">
        <f t="shared" si="16"/>
        <v>1</v>
      </c>
      <c r="AC43" s="2975">
        <f t="shared" si="17"/>
        <v>1</v>
      </c>
    </row>
    <row r="44" spans="1:29" s="117" customFormat="1" ht="15.75" hidden="1" thickBot="1">
      <c r="A44" s="472"/>
      <c r="B44" s="1383">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88"/>
      <c r="L44" s="1131"/>
      <c r="M44" s="1132"/>
      <c r="N44" s="1132"/>
      <c r="O44" s="1132"/>
      <c r="P44" s="3218"/>
      <c r="Q44" s="2969">
        <f t="shared" si="11"/>
        <v>111</v>
      </c>
      <c r="R44" s="769" t="s">
        <v>21</v>
      </c>
      <c r="S44" s="770">
        <f t="shared" si="12"/>
        <v>100</v>
      </c>
      <c r="T44" s="769" t="s">
        <v>21</v>
      </c>
      <c r="U44" s="770">
        <f t="shared" si="13"/>
        <v>100</v>
      </c>
      <c r="V44" s="769" t="s">
        <v>21</v>
      </c>
      <c r="W44" s="770">
        <f t="shared" si="14"/>
        <v>100</v>
      </c>
      <c r="X44" s="771"/>
      <c r="Y44" s="3220"/>
      <c r="Z44" s="2970">
        <f t="shared" si="18"/>
        <v>111</v>
      </c>
      <c r="AA44" s="772">
        <f t="shared" si="15"/>
        <v>1</v>
      </c>
      <c r="AB44" s="772">
        <f t="shared" si="16"/>
        <v>1</v>
      </c>
      <c r="AC44" s="772">
        <f t="shared" si="17"/>
        <v>1</v>
      </c>
    </row>
    <row r="45" spans="1:29" ht="15.75" hidden="1" thickBot="1">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88"/>
      <c r="L45" s="1139"/>
      <c r="M45" s="1130"/>
      <c r="N45" s="1130"/>
      <c r="O45" s="1130"/>
      <c r="P45" s="3218"/>
      <c r="Q45" s="2974">
        <f t="shared" si="11"/>
        <v>111</v>
      </c>
      <c r="R45" s="773" t="s">
        <v>21</v>
      </c>
      <c r="S45" s="774">
        <f t="shared" si="12"/>
        <v>100</v>
      </c>
      <c r="T45" s="773" t="s">
        <v>21</v>
      </c>
      <c r="U45" s="774">
        <f t="shared" si="13"/>
        <v>100</v>
      </c>
      <c r="V45" s="773" t="s">
        <v>21</v>
      </c>
      <c r="W45" s="774">
        <f t="shared" si="14"/>
        <v>100</v>
      </c>
      <c r="X45" s="2972"/>
      <c r="Y45" s="3220"/>
      <c r="Z45" s="2973">
        <f t="shared" si="18"/>
        <v>111</v>
      </c>
      <c r="AA45" s="2975">
        <f t="shared" si="15"/>
        <v>1</v>
      </c>
      <c r="AB45" s="2975">
        <f t="shared" si="16"/>
        <v>1</v>
      </c>
      <c r="AC45" s="2975">
        <f t="shared" si="17"/>
        <v>1</v>
      </c>
    </row>
    <row r="46" spans="1:29" ht="15.75" hidden="1" thickBot="1">
      <c r="A46" s="477"/>
      <c r="B46" s="2589">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88"/>
      <c r="L46" s="1139"/>
      <c r="M46" s="1130"/>
      <c r="N46" s="1130"/>
      <c r="O46" s="1130"/>
      <c r="P46" s="3219"/>
      <c r="Q46" s="2974">
        <f t="shared" si="11"/>
        <v>111</v>
      </c>
      <c r="R46" s="773" t="s">
        <v>20</v>
      </c>
      <c r="S46" s="774">
        <f t="shared" si="12"/>
        <v>100</v>
      </c>
      <c r="T46" s="773" t="s">
        <v>20</v>
      </c>
      <c r="U46" s="774">
        <f t="shared" si="13"/>
        <v>100</v>
      </c>
      <c r="V46" s="773" t="s">
        <v>20</v>
      </c>
      <c r="W46" s="774">
        <f t="shared" si="14"/>
        <v>100</v>
      </c>
      <c r="X46" s="2972"/>
      <c r="Y46" s="3221"/>
      <c r="Z46" s="2973">
        <f t="shared" si="18"/>
        <v>111</v>
      </c>
      <c r="AA46" s="2975">
        <f t="shared" si="15"/>
        <v>1</v>
      </c>
      <c r="AB46" s="2975">
        <f t="shared" si="16"/>
        <v>1</v>
      </c>
      <c r="AC46" s="2975">
        <f t="shared" si="17"/>
        <v>1</v>
      </c>
    </row>
    <row r="47" spans="1:29" ht="15">
      <c r="A47" s="478" t="s">
        <v>2572</v>
      </c>
      <c r="B47" s="479"/>
      <c r="C47" s="1404" t="s">
        <v>19</v>
      </c>
      <c r="D47" s="1405"/>
      <c r="E47" s="1406">
        <v>33235</v>
      </c>
      <c r="F47" s="1407"/>
      <c r="G47" s="1408">
        <v>33178</v>
      </c>
      <c r="H47" s="1409"/>
      <c r="I47" s="1406">
        <v>32073</v>
      </c>
      <c r="J47" s="1409"/>
      <c r="K47" s="2606"/>
      <c r="L47" s="1142"/>
      <c r="M47" s="1143"/>
      <c r="N47" s="1130"/>
      <c r="O47" s="1143"/>
      <c r="P47" s="3208" t="str">
        <f>A47</f>
        <v>成交单价（元/平方米）</v>
      </c>
      <c r="Q47" s="3208"/>
      <c r="R47" s="3209">
        <f>E47</f>
        <v>33235</v>
      </c>
      <c r="S47" s="3209"/>
      <c r="T47" s="3209">
        <f>G47</f>
        <v>33178</v>
      </c>
      <c r="U47" s="3209"/>
      <c r="V47" s="3209">
        <f>I47</f>
        <v>32073</v>
      </c>
      <c r="W47" s="3209"/>
      <c r="X47" s="758"/>
      <c r="Y47" s="780"/>
      <c r="Z47" s="758"/>
      <c r="AA47" s="758"/>
      <c r="AB47" s="758"/>
      <c r="AC47" s="758"/>
    </row>
    <row r="48" spans="1:29" ht="15.75" thickBot="1">
      <c r="A48" s="485" t="s">
        <v>2573</v>
      </c>
      <c r="B48" s="486"/>
      <c r="C48" s="1410">
        <f>R49</f>
        <v>34952</v>
      </c>
      <c r="D48" s="1411"/>
      <c r="E48" s="1412">
        <f>R48</f>
        <v>35322</v>
      </c>
      <c r="F48" s="1412"/>
      <c r="G48" s="1410">
        <f>T48</f>
        <v>35613</v>
      </c>
      <c r="H48" s="1411"/>
      <c r="I48" s="1412">
        <f>V48</f>
        <v>33920</v>
      </c>
      <c r="J48" s="1411"/>
      <c r="K48" s="2607"/>
      <c r="L48" s="1142"/>
      <c r="M48" s="1143"/>
      <c r="N48" s="1143"/>
      <c r="O48" s="1143"/>
      <c r="P48" s="3208" t="str">
        <f>A48</f>
        <v>比较价值（元/平方米）</v>
      </c>
      <c r="Q48" s="3208"/>
      <c r="R48" s="3209">
        <f>IF(F1="售价",ROUND(PRODUCT(R47,AA7:AA46),0),ROUND(PRODUCT(R47,AA7:AA46),1))</f>
        <v>35322</v>
      </c>
      <c r="S48" s="3209"/>
      <c r="T48" s="3209">
        <f>IF(F1="售价",ROUND(PRODUCT(T47,AB7:AB46),0),ROUND(PRODUCT(T47,AB7:AB46),1))</f>
        <v>35613</v>
      </c>
      <c r="U48" s="3209"/>
      <c r="V48" s="3209">
        <f>IF(F1="售价",ROUND(PRODUCT(V47,AC7:AC46),0),ROUND(PRODUCT(V47,AC7:AC46),1))</f>
        <v>33920</v>
      </c>
      <c r="W48" s="3209"/>
      <c r="X48" s="758"/>
      <c r="Y48" s="758"/>
      <c r="Z48" s="758"/>
      <c r="AA48" s="758"/>
      <c r="AB48" s="758"/>
      <c r="AC48" s="758"/>
    </row>
    <row r="49" spans="1:29" ht="15.75" thickBot="1">
      <c r="A49" s="491" t="s">
        <v>2574</v>
      </c>
      <c r="B49" s="492"/>
      <c r="C49" s="1413">
        <f>R49</f>
        <v>34952</v>
      </c>
      <c r="D49" s="1414"/>
      <c r="E49" s="1414"/>
      <c r="F49" s="1414"/>
      <c r="G49" s="1414"/>
      <c r="H49" s="1414"/>
      <c r="I49" s="1414"/>
      <c r="J49" s="1414"/>
      <c r="K49" s="2608"/>
      <c r="L49" s="1142"/>
      <c r="M49" s="1143"/>
      <c r="N49" s="1143"/>
      <c r="O49" s="1143"/>
      <c r="P49" s="3210" t="str">
        <f>A49</f>
        <v>估价对象XX用房的比较价值（楼面单价，元/平方米）</v>
      </c>
      <c r="Q49" s="3211"/>
      <c r="R49" s="3212">
        <f>IF(F1="售价",ROUND(AVERAGE(R48:V48),0),ROUND(AVERAGE(R48:V48),1))</f>
        <v>34952</v>
      </c>
      <c r="S49" s="3212"/>
      <c r="T49" s="3212"/>
      <c r="U49" s="3212"/>
      <c r="V49" s="3212"/>
      <c r="W49" s="3212"/>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2575</v>
      </c>
      <c r="D52" s="497"/>
      <c r="E52" s="498">
        <f>IF(E47&lt;E48,E48/E47-1,E47/E48-1)</f>
        <v>6.2795245975628022E-2</v>
      </c>
      <c r="F52" s="499" t="str">
        <f>IF(OR(E52&gt;=0.3,E52&lt;=-0.3),"超过30%","")</f>
        <v/>
      </c>
      <c r="G52" s="498">
        <f>IF(G47&lt;G48,G48/G47-1,G47/G48-1)</f>
        <v>7.3392006751461736E-2</v>
      </c>
      <c r="H52" s="499" t="str">
        <f>IF(OR(G52&gt;=0.3,G52&lt;=-0.3),"超过30%","")</f>
        <v/>
      </c>
      <c r="I52" s="498">
        <f>IF(I47&lt;I48,I48/I47-1,I47/I48-1)</f>
        <v>5.7587378792130384E-2</v>
      </c>
      <c r="J52" s="499" t="str">
        <f>IF(OR(I52&gt;=0.3,I52&lt;=-0.3),"超过30%","")</f>
        <v/>
      </c>
      <c r="K52" s="1104"/>
      <c r="L52" s="1105"/>
      <c r="M52" s="1143"/>
      <c r="N52" s="1143"/>
      <c r="O52" s="1143"/>
    </row>
    <row r="53" spans="1:29" ht="13.5" customHeight="1">
      <c r="A53" s="1143"/>
      <c r="B53" s="1143"/>
      <c r="C53" s="496" t="s">
        <v>2576</v>
      </c>
      <c r="D53" s="500"/>
      <c r="E53" s="498">
        <f>IF(E48&lt;G48,G48/E48-1,E48/G48-1)</f>
        <v>8.2384915916426937E-3</v>
      </c>
      <c r="F53" s="499" t="str">
        <f>IF(OR(E53&gt;=0.2,E53&lt;=-0.2),"超过20%","")</f>
        <v/>
      </c>
      <c r="G53" s="498">
        <f>IF(G48&lt;I48,I48/G48-1,G48/I48-1)</f>
        <v>4.9911556603773555E-2</v>
      </c>
      <c r="H53" s="499" t="str">
        <f>IF(OR(G53&gt;=0.2,G53&lt;=-0.2),"超过20%","")</f>
        <v/>
      </c>
      <c r="I53" s="498">
        <f>IF(I48&lt;E48,E48/I48-1,I48/E48-1)</f>
        <v>4.1332547169811384E-2</v>
      </c>
      <c r="J53" s="499" t="str">
        <f>IF(OR(I53&gt;=0.2,I53&lt;=-0.2),"超过20%","")</f>
        <v/>
      </c>
      <c r="K53" s="1104"/>
      <c r="L53" s="1105"/>
      <c r="M53" s="1143"/>
      <c r="N53" s="1143"/>
      <c r="O53" s="1143"/>
    </row>
    <row r="54" spans="1:29" s="501" customFormat="1" ht="13.5" customHeight="1">
      <c r="A54" s="1144"/>
      <c r="B54" s="1144"/>
      <c r="C54" s="496" t="s">
        <v>2577</v>
      </c>
      <c r="D54" s="500"/>
      <c r="E54" s="498">
        <f>IF(E47&lt;G47,G47/E47-1,E47/G47-1)</f>
        <v>1.7180059075290188E-3</v>
      </c>
      <c r="F54" s="499" t="str">
        <f>IF(OR(E54&gt;=0.3,E54&lt;=-0.3),"超过30%","")</f>
        <v/>
      </c>
      <c r="G54" s="498">
        <f>IF(G47&lt;I47,I47/G47-1,G47/I47-1)</f>
        <v>3.4452654881052647E-2</v>
      </c>
      <c r="H54" s="499" t="str">
        <f>IF(OR(G54&gt;=0.3,G54&lt;=-0.3),"超过30%","")</f>
        <v/>
      </c>
      <c r="I54" s="498">
        <f>IF(I47&lt;E47,E47/I47-1,I47/E47-1)</f>
        <v>3.6229850653197504E-2</v>
      </c>
      <c r="J54" s="499" t="str">
        <f>IF(OR(I54&gt;=0.3,I54&lt;=-0.3),"超过30%","")</f>
        <v/>
      </c>
      <c r="K54" s="1147"/>
      <c r="L54" s="1148"/>
      <c r="M54" s="1144"/>
      <c r="N54" s="1144"/>
      <c r="O54" s="1144"/>
      <c r="P54" s="2610"/>
    </row>
    <row r="55" spans="1:29" s="501" customFormat="1">
      <c r="A55" s="1144"/>
      <c r="B55" s="1145"/>
      <c r="C55" s="1149"/>
      <c r="D55" s="1144"/>
      <c r="E55" s="1144"/>
      <c r="F55" s="1144"/>
      <c r="G55" s="1144"/>
      <c r="H55" s="1144"/>
      <c r="I55" s="1144"/>
      <c r="J55" s="1144"/>
      <c r="K55" s="1147"/>
      <c r="L55" s="1148"/>
      <c r="M55" s="1144"/>
      <c r="N55" s="1144"/>
      <c r="O55" s="1144"/>
      <c r="P55" s="2610"/>
    </row>
    <row r="56" spans="1:29">
      <c r="A56" s="1143"/>
      <c r="B56" s="1145"/>
      <c r="C56" s="1149"/>
      <c r="D56" s="1143"/>
      <c r="E56" s="1143"/>
      <c r="F56" s="1143"/>
      <c r="G56" s="1143"/>
      <c r="H56" s="1143"/>
      <c r="I56" s="1143"/>
      <c r="J56" s="1143"/>
      <c r="K56" s="1104"/>
      <c r="L56" s="1105"/>
      <c r="M56" s="1143"/>
      <c r="N56" s="1143"/>
      <c r="O56" s="1143"/>
    </row>
    <row r="57" spans="1:29" ht="21.75" thickBot="1">
      <c r="A57" s="762" t="s">
        <v>2578</v>
      </c>
      <c r="B57" s="758"/>
      <c r="C57" s="763"/>
      <c r="D57" s="763"/>
      <c r="E57" s="763"/>
      <c r="F57" s="764"/>
      <c r="G57" s="764"/>
      <c r="H57" s="763"/>
      <c r="I57" s="763"/>
      <c r="J57" s="763"/>
      <c r="K57" s="1159"/>
      <c r="L57" s="1160"/>
      <c r="M57" s="1158"/>
      <c r="N57" s="1158"/>
      <c r="O57" s="1158"/>
      <c r="P57" s="2611"/>
      <c r="Q57" s="503"/>
    </row>
    <row r="58" spans="1:29" s="507" customFormat="1" ht="15">
      <c r="A58" s="504" t="s">
        <v>2543</v>
      </c>
      <c r="B58" s="505"/>
      <c r="C58" s="1573" t="str">
        <f>YEAR(C7)&amp;"-"&amp;MONTH(C7)</f>
        <v>2020-5</v>
      </c>
      <c r="D58" s="1572">
        <f>EDATE(C58,-1)</f>
        <v>43922</v>
      </c>
      <c r="E58" s="1572">
        <f>EDATE(D58,-1)</f>
        <v>43891</v>
      </c>
      <c r="F58" s="1572">
        <f t="shared" ref="F58:O58" si="19">EDATE(E58,-1)</f>
        <v>43862</v>
      </c>
      <c r="G58" s="1572">
        <f t="shared" si="19"/>
        <v>43831</v>
      </c>
      <c r="H58" s="1572">
        <f t="shared" si="19"/>
        <v>43800</v>
      </c>
      <c r="I58" s="1572">
        <f t="shared" si="19"/>
        <v>43770</v>
      </c>
      <c r="J58" s="1572">
        <f t="shared" si="19"/>
        <v>43739</v>
      </c>
      <c r="K58" s="1572">
        <f t="shared" si="19"/>
        <v>43709</v>
      </c>
      <c r="L58" s="1572">
        <f t="shared" si="19"/>
        <v>43678</v>
      </c>
      <c r="M58" s="1572">
        <f t="shared" si="19"/>
        <v>43647</v>
      </c>
      <c r="N58" s="1572">
        <f t="shared" si="19"/>
        <v>43617</v>
      </c>
      <c r="O58" s="1572">
        <f t="shared" si="19"/>
        <v>43586</v>
      </c>
      <c r="P58" s="1567"/>
    </row>
    <row r="59" spans="1:29" s="117" customFormat="1" ht="15">
      <c r="A59" s="508"/>
      <c r="B59" s="2612"/>
      <c r="C59" s="1570">
        <v>100</v>
      </c>
      <c r="D59" s="510">
        <v>100</v>
      </c>
      <c r="E59" s="511">
        <v>100</v>
      </c>
      <c r="F59" s="511"/>
      <c r="G59" s="511"/>
      <c r="H59" s="511"/>
      <c r="I59" s="511"/>
      <c r="J59" s="511"/>
      <c r="K59" s="511"/>
      <c r="L59" s="511"/>
      <c r="M59" s="512"/>
      <c r="N59" s="511"/>
      <c r="O59" s="512"/>
      <c r="P59" s="2613"/>
    </row>
    <row r="60" spans="1:29" s="117" customFormat="1" ht="15.75" thickBot="1">
      <c r="A60" s="514" t="s">
        <v>2580</v>
      </c>
      <c r="B60" s="515"/>
      <c r="C60" s="516"/>
      <c r="D60" s="517"/>
      <c r="E60" s="517"/>
      <c r="F60" s="517"/>
      <c r="G60" s="517"/>
      <c r="H60" s="517"/>
      <c r="I60" s="517"/>
      <c r="J60" s="517"/>
      <c r="K60" s="517"/>
      <c r="L60" s="517"/>
      <c r="M60" s="518"/>
      <c r="N60" s="517"/>
      <c r="O60" s="518"/>
      <c r="P60" s="2613"/>
      <c r="Q60" s="503"/>
    </row>
    <row r="61" spans="1:29" s="117" customFormat="1" ht="15">
      <c r="A61" s="520" t="s">
        <v>2545</v>
      </c>
      <c r="B61" s="509"/>
      <c r="C61" s="521" t="s">
        <v>2582</v>
      </c>
      <c r="D61" s="522"/>
      <c r="E61" s="522"/>
      <c r="F61" s="522"/>
      <c r="G61" s="522"/>
      <c r="H61" s="522"/>
      <c r="I61" s="522"/>
      <c r="J61" s="522"/>
      <c r="K61" s="522"/>
      <c r="L61" s="523"/>
      <c r="M61" s="524"/>
      <c r="N61" s="1150"/>
      <c r="O61" s="1150"/>
      <c r="P61" s="2614"/>
      <c r="Q61" s="503"/>
    </row>
    <row r="62" spans="1:29" s="117" customFormat="1" ht="15.75" thickBot="1">
      <c r="A62" s="520"/>
      <c r="B62" s="509"/>
      <c r="C62" s="510">
        <v>100</v>
      </c>
      <c r="D62" s="511"/>
      <c r="E62" s="511"/>
      <c r="F62" s="511"/>
      <c r="G62" s="511"/>
      <c r="H62" s="511"/>
      <c r="I62" s="511"/>
      <c r="J62" s="511"/>
      <c r="K62" s="511"/>
      <c r="L62" s="511"/>
      <c r="M62" s="513"/>
      <c r="N62" s="1150"/>
      <c r="O62" s="1150"/>
      <c r="P62" s="2613"/>
      <c r="Q62" s="503"/>
    </row>
    <row r="63" spans="1:29">
      <c r="A63" s="526" t="s">
        <v>2583</v>
      </c>
      <c r="B63" s="527" t="s">
        <v>2549</v>
      </c>
      <c r="C63" s="528" t="str">
        <f>C9</f>
        <v>住宅</v>
      </c>
      <c r="D63" s="529"/>
      <c r="E63" s="529"/>
      <c r="F63" s="529"/>
      <c r="G63" s="529"/>
      <c r="H63" s="529"/>
      <c r="I63" s="529"/>
      <c r="J63" s="529"/>
      <c r="K63" s="530"/>
      <c r="L63" s="531"/>
      <c r="M63" s="532"/>
      <c r="N63" s="1151"/>
      <c r="O63" s="1151"/>
      <c r="P63" s="2615"/>
      <c r="Q63" s="503"/>
    </row>
    <row r="64" spans="1:29" ht="15.75" thickBot="1">
      <c r="A64" s="533"/>
      <c r="B64" s="534"/>
      <c r="C64" s="535">
        <v>100</v>
      </c>
      <c r="D64" s="535"/>
      <c r="E64" s="535"/>
      <c r="F64" s="535"/>
      <c r="G64" s="535"/>
      <c r="H64" s="535"/>
      <c r="I64" s="535"/>
      <c r="J64" s="535"/>
      <c r="K64" s="535"/>
      <c r="L64" s="535"/>
      <c r="M64" s="536"/>
      <c r="N64" s="1152"/>
      <c r="O64" s="1152"/>
      <c r="P64" s="2615"/>
      <c r="Q64" s="503"/>
    </row>
    <row r="65" spans="1:17" ht="27.75" thickTop="1">
      <c r="A65" s="533"/>
      <c r="B65" s="537" t="s">
        <v>2552</v>
      </c>
      <c r="C65" s="538" t="s">
        <v>2584</v>
      </c>
      <c r="D65" s="538" t="s">
        <v>2585</v>
      </c>
      <c r="E65" s="538" t="s">
        <v>2586</v>
      </c>
      <c r="F65" s="538" t="s">
        <v>2587</v>
      </c>
      <c r="G65" s="538" t="s">
        <v>2588</v>
      </c>
      <c r="H65" s="538" t="s">
        <v>2589</v>
      </c>
      <c r="I65" s="538" t="s">
        <v>2590</v>
      </c>
      <c r="J65" s="538"/>
      <c r="K65" s="539"/>
      <c r="L65" s="540"/>
      <c r="M65" s="541"/>
      <c r="N65" s="1151"/>
      <c r="O65" s="1151"/>
      <c r="P65" s="2615"/>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2"/>
      <c r="O66" s="1152"/>
      <c r="P66" s="2615"/>
      <c r="Q66" s="503"/>
    </row>
    <row r="67" spans="1:17" ht="15.75" thickTop="1">
      <c r="A67" s="533"/>
      <c r="B67" s="545" t="s">
        <v>2553</v>
      </c>
      <c r="C67" s="546" t="str">
        <f>C68&amp;"（含）"&amp;"-"&amp;D68</f>
        <v>0（含）-1</v>
      </c>
      <c r="D67" s="546" t="str">
        <f t="shared" ref="D67:L67" si="21">D68&amp;"（含）"&amp;"-"&amp;E68</f>
        <v>1（含）-2</v>
      </c>
      <c r="E67" s="546" t="str">
        <f t="shared" si="21"/>
        <v>2（含）-3</v>
      </c>
      <c r="F67" s="546" t="str">
        <f t="shared" si="21"/>
        <v>3（含）-4</v>
      </c>
      <c r="G67" s="546" t="str">
        <f t="shared" si="21"/>
        <v>4（含）-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15"/>
      <c r="Q67" s="503"/>
    </row>
    <row r="68" spans="1:17" ht="15">
      <c r="A68" s="533"/>
      <c r="B68" s="547"/>
      <c r="C68" s="548">
        <v>0</v>
      </c>
      <c r="D68" s="548">
        <v>1</v>
      </c>
      <c r="E68" s="548">
        <v>2</v>
      </c>
      <c r="F68" s="548">
        <v>3</v>
      </c>
      <c r="G68" s="548">
        <v>4</v>
      </c>
      <c r="H68" s="548"/>
      <c r="I68" s="548"/>
      <c r="J68" s="548"/>
      <c r="K68" s="549"/>
      <c r="L68" s="550"/>
      <c r="M68" s="551"/>
      <c r="N68" s="1151"/>
      <c r="O68" s="1151"/>
      <c r="P68" s="2615"/>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2"/>
      <c r="O69" s="1152"/>
      <c r="P69" s="2615"/>
      <c r="Q69" s="503"/>
    </row>
    <row r="70" spans="1:17" s="470" customFormat="1" ht="15.75" thickTop="1">
      <c r="A70" s="552"/>
      <c r="B70" s="537">
        <f>B12</f>
        <v>111</v>
      </c>
      <c r="C70" s="553"/>
      <c r="D70" s="553"/>
      <c r="E70" s="553"/>
      <c r="F70" s="553"/>
      <c r="G70" s="553"/>
      <c r="H70" s="554"/>
      <c r="I70" s="554"/>
      <c r="J70" s="554"/>
      <c r="K70" s="554"/>
      <c r="L70" s="555"/>
      <c r="M70" s="556"/>
      <c r="N70" s="1153"/>
      <c r="O70" s="1153"/>
      <c r="P70" s="2616"/>
      <c r="Q70" s="558"/>
    </row>
    <row r="71" spans="1:17" s="470" customFormat="1" ht="15.75" thickBot="1">
      <c r="A71" s="552"/>
      <c r="B71" s="542"/>
      <c r="C71" s="559"/>
      <c r="D71" s="535"/>
      <c r="E71" s="535"/>
      <c r="F71" s="535"/>
      <c r="G71" s="535"/>
      <c r="H71" s="535"/>
      <c r="I71" s="535"/>
      <c r="J71" s="535"/>
      <c r="K71" s="535"/>
      <c r="L71" s="535"/>
      <c r="M71" s="536"/>
      <c r="N71" s="1152"/>
      <c r="O71" s="1152"/>
      <c r="P71" s="2616"/>
      <c r="Q71" s="558"/>
    </row>
    <row r="72" spans="1:17" s="470" customFormat="1" ht="15.75" thickTop="1">
      <c r="A72" s="552"/>
      <c r="B72" s="537">
        <f>B13</f>
        <v>111</v>
      </c>
      <c r="C72" s="553"/>
      <c r="D72" s="553"/>
      <c r="E72" s="553"/>
      <c r="F72" s="553"/>
      <c r="G72" s="553"/>
      <c r="H72" s="554"/>
      <c r="I72" s="554"/>
      <c r="J72" s="554"/>
      <c r="K72" s="554"/>
      <c r="L72" s="555"/>
      <c r="M72" s="556"/>
      <c r="N72" s="1153"/>
      <c r="O72" s="1153"/>
      <c r="P72" s="2617"/>
      <c r="Q72" s="560"/>
    </row>
    <row r="73" spans="1:17" s="470" customFormat="1" ht="15.75" thickBot="1">
      <c r="A73" s="552"/>
      <c r="B73" s="542"/>
      <c r="C73" s="559"/>
      <c r="D73" s="559"/>
      <c r="E73" s="559"/>
      <c r="F73" s="559"/>
      <c r="G73" s="559"/>
      <c r="H73" s="561"/>
      <c r="I73" s="561"/>
      <c r="J73" s="561"/>
      <c r="K73" s="561"/>
      <c r="L73" s="561"/>
      <c r="M73" s="562"/>
      <c r="N73" s="1153"/>
      <c r="O73" s="1153"/>
      <c r="P73" s="2616"/>
      <c r="Q73" s="558"/>
    </row>
    <row r="74" spans="1:17" s="470" customFormat="1" ht="15.75" thickTop="1">
      <c r="A74" s="552"/>
      <c r="B74" s="545">
        <f>B14</f>
        <v>111</v>
      </c>
      <c r="C74" s="553"/>
      <c r="D74" s="553"/>
      <c r="E74" s="553"/>
      <c r="F74" s="553"/>
      <c r="G74" s="522"/>
      <c r="H74" s="563"/>
      <c r="I74" s="563"/>
      <c r="J74" s="563"/>
      <c r="K74" s="563"/>
      <c r="L74" s="564"/>
      <c r="M74" s="565"/>
      <c r="N74" s="1153"/>
      <c r="O74" s="1153"/>
      <c r="P74" s="2618"/>
      <c r="Q74" s="558"/>
    </row>
    <row r="75" spans="1:17" s="470" customFormat="1" ht="15.75" thickBot="1">
      <c r="A75" s="567"/>
      <c r="B75" s="568"/>
      <c r="C75" s="569"/>
      <c r="D75" s="569"/>
      <c r="E75" s="569"/>
      <c r="F75" s="569"/>
      <c r="G75" s="569"/>
      <c r="H75" s="570"/>
      <c r="I75" s="570"/>
      <c r="J75" s="570"/>
      <c r="K75" s="570"/>
      <c r="L75" s="570"/>
      <c r="M75" s="571"/>
      <c r="N75" s="1153"/>
      <c r="O75" s="1153"/>
      <c r="P75" s="2616"/>
      <c r="Q75" s="558"/>
    </row>
    <row r="76" spans="1:17">
      <c r="A76" s="526" t="s">
        <v>2554</v>
      </c>
      <c r="B76" s="527" t="s">
        <v>2591</v>
      </c>
      <c r="C76" s="572" t="s">
        <v>2592</v>
      </c>
      <c r="D76" s="572" t="s">
        <v>2593</v>
      </c>
      <c r="E76" s="572" t="s">
        <v>2594</v>
      </c>
      <c r="F76" s="572" t="s">
        <v>2595</v>
      </c>
      <c r="G76" s="572" t="s">
        <v>2596</v>
      </c>
      <c r="H76" s="528"/>
      <c r="I76" s="528"/>
      <c r="J76" s="528"/>
      <c r="K76" s="573"/>
      <c r="L76" s="574"/>
      <c r="M76" s="575"/>
      <c r="N76" s="1151"/>
      <c r="O76" s="1151"/>
      <c r="P76" s="2619"/>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2"/>
      <c r="O77" s="1152"/>
      <c r="P77" s="2615"/>
      <c r="Q77" s="503"/>
    </row>
    <row r="78" spans="1:17" ht="15.75" thickTop="1">
      <c r="A78" s="533"/>
      <c r="B78" s="537" t="s">
        <v>2597</v>
      </c>
      <c r="C78" s="577" t="s">
        <v>2592</v>
      </c>
      <c r="D78" s="577" t="s">
        <v>2593</v>
      </c>
      <c r="E78" s="577" t="s">
        <v>2594</v>
      </c>
      <c r="F78" s="577" t="s">
        <v>2595</v>
      </c>
      <c r="G78" s="577" t="s">
        <v>2596</v>
      </c>
      <c r="H78" s="538"/>
      <c r="I78" s="538"/>
      <c r="J78" s="538"/>
      <c r="K78" s="539"/>
      <c r="L78" s="540"/>
      <c r="M78" s="541"/>
      <c r="N78" s="1151"/>
      <c r="O78" s="1151"/>
      <c r="P78" s="2615"/>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2"/>
      <c r="O79" s="1152"/>
      <c r="P79" s="2615"/>
      <c r="Q79" s="503"/>
    </row>
    <row r="80" spans="1:17" ht="15.75" thickTop="1">
      <c r="A80" s="533"/>
      <c r="B80" s="537" t="s">
        <v>2598</v>
      </c>
      <c r="C80" s="577" t="s">
        <v>2592</v>
      </c>
      <c r="D80" s="577" t="s">
        <v>2593</v>
      </c>
      <c r="E80" s="577" t="s">
        <v>2594</v>
      </c>
      <c r="F80" s="577" t="s">
        <v>2595</v>
      </c>
      <c r="G80" s="577" t="s">
        <v>2596</v>
      </c>
      <c r="H80" s="538"/>
      <c r="I80" s="538"/>
      <c r="J80" s="538"/>
      <c r="K80" s="539"/>
      <c r="L80" s="540"/>
      <c r="M80" s="541"/>
      <c r="N80" s="1151"/>
      <c r="O80" s="1151"/>
      <c r="P80" s="2615"/>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2"/>
      <c r="O81" s="1152"/>
      <c r="P81" s="2615"/>
      <c r="Q81" s="503"/>
    </row>
    <row r="82" spans="1:17" ht="15.75" thickTop="1">
      <c r="A82" s="533"/>
      <c r="B82" s="545" t="s">
        <v>2094</v>
      </c>
      <c r="C82" s="538" t="s">
        <v>2599</v>
      </c>
      <c r="D82" s="538" t="s">
        <v>2600</v>
      </c>
      <c r="E82" s="538" t="s">
        <v>2601</v>
      </c>
      <c r="F82" s="538" t="s">
        <v>2602</v>
      </c>
      <c r="G82" s="538" t="s">
        <v>2603</v>
      </c>
      <c r="H82" s="538"/>
      <c r="I82" s="538"/>
      <c r="J82" s="538"/>
      <c r="K82" s="538"/>
      <c r="L82" s="538"/>
      <c r="M82" s="1379"/>
      <c r="N82" s="1152"/>
      <c r="O82" s="1152"/>
      <c r="P82" s="2615"/>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2"/>
      <c r="O83" s="1152"/>
      <c r="P83" s="2615"/>
      <c r="Q83" s="503"/>
    </row>
    <row r="84" spans="1:17" ht="15.75" thickTop="1">
      <c r="A84" s="533"/>
      <c r="B84" s="537" t="s">
        <v>2604</v>
      </c>
      <c r="C84" s="577" t="s">
        <v>2592</v>
      </c>
      <c r="D84" s="577" t="s">
        <v>2593</v>
      </c>
      <c r="E84" s="577" t="s">
        <v>2594</v>
      </c>
      <c r="F84" s="577" t="s">
        <v>2595</v>
      </c>
      <c r="G84" s="577" t="s">
        <v>2596</v>
      </c>
      <c r="H84" s="538"/>
      <c r="I84" s="538"/>
      <c r="J84" s="538"/>
      <c r="K84" s="539"/>
      <c r="L84" s="540"/>
      <c r="M84" s="541"/>
      <c r="N84" s="1151"/>
      <c r="O84" s="1151"/>
      <c r="P84" s="2615"/>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15"/>
      <c r="Q85" s="503"/>
    </row>
    <row r="86" spans="1:17" s="117" customFormat="1" ht="15.75" thickTop="1">
      <c r="A86" s="578"/>
      <c r="B86" s="537" t="s">
        <v>2605</v>
      </c>
      <c r="C86" s="553"/>
      <c r="D86" s="553"/>
      <c r="E86" s="553"/>
      <c r="F86" s="553"/>
      <c r="G86" s="553"/>
      <c r="H86" s="553"/>
      <c r="I86" s="553"/>
      <c r="J86" s="553"/>
      <c r="K86" s="553"/>
      <c r="L86" s="579"/>
      <c r="M86" s="580"/>
      <c r="N86" s="1150"/>
      <c r="O86" s="1150"/>
      <c r="P86" s="2615"/>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15"/>
      <c r="Q87" s="503"/>
    </row>
    <row r="88" spans="1:17" s="117" customFormat="1" ht="15.75" thickTop="1">
      <c r="A88" s="578"/>
      <c r="B88" s="537" t="s">
        <v>2606</v>
      </c>
      <c r="C88" s="553"/>
      <c r="D88" s="553"/>
      <c r="E88" s="553"/>
      <c r="F88" s="2620"/>
      <c r="G88" s="553"/>
      <c r="H88" s="553"/>
      <c r="I88" s="553"/>
      <c r="J88" s="553"/>
      <c r="K88" s="553"/>
      <c r="L88" s="553"/>
      <c r="M88" s="580"/>
      <c r="N88" s="1150"/>
      <c r="O88" s="1150"/>
      <c r="P88" s="2615"/>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15"/>
      <c r="Q89" s="503"/>
    </row>
    <row r="90" spans="1:17" s="470" customFormat="1" ht="15.75" thickTop="1">
      <c r="A90" s="552"/>
      <c r="B90" s="537">
        <f>B27</f>
        <v>111</v>
      </c>
      <c r="C90" s="553"/>
      <c r="D90" s="553"/>
      <c r="E90" s="553"/>
      <c r="F90" s="553"/>
      <c r="G90" s="553"/>
      <c r="H90" s="554"/>
      <c r="I90" s="554"/>
      <c r="J90" s="554"/>
      <c r="K90" s="554"/>
      <c r="L90" s="555"/>
      <c r="M90" s="556"/>
      <c r="N90" s="1153"/>
      <c r="O90" s="1153"/>
      <c r="P90" s="2616"/>
      <c r="Q90" s="558"/>
    </row>
    <row r="91" spans="1:17" s="470" customFormat="1" ht="15.75" thickBot="1">
      <c r="A91" s="552"/>
      <c r="B91" s="542"/>
      <c r="C91" s="559"/>
      <c r="D91" s="559"/>
      <c r="E91" s="559"/>
      <c r="F91" s="559"/>
      <c r="G91" s="559"/>
      <c r="H91" s="561"/>
      <c r="I91" s="561"/>
      <c r="J91" s="561"/>
      <c r="K91" s="561"/>
      <c r="L91" s="561"/>
      <c r="M91" s="562"/>
      <c r="N91" s="1153"/>
      <c r="O91" s="1153"/>
      <c r="P91" s="2616"/>
      <c r="Q91" s="558"/>
    </row>
    <row r="92" spans="1:17" ht="15.75" thickTop="1">
      <c r="A92" s="533"/>
      <c r="B92" s="537">
        <f>B28</f>
        <v>111</v>
      </c>
      <c r="C92" s="553"/>
      <c r="D92" s="553"/>
      <c r="E92" s="553"/>
      <c r="F92" s="553"/>
      <c r="G92" s="582"/>
      <c r="H92" s="582"/>
      <c r="I92" s="582"/>
      <c r="J92" s="582"/>
      <c r="K92" s="583"/>
      <c r="L92" s="584"/>
      <c r="M92" s="585"/>
      <c r="N92" s="1151"/>
      <c r="O92" s="1151"/>
      <c r="P92" s="2615"/>
      <c r="Q92" s="503"/>
    </row>
    <row r="93" spans="1:17" ht="15.75" thickBot="1">
      <c r="A93" s="533"/>
      <c r="B93" s="542"/>
      <c r="C93" s="559"/>
      <c r="D93" s="535"/>
      <c r="E93" s="535"/>
      <c r="F93" s="535"/>
      <c r="G93" s="535"/>
      <c r="H93" s="535"/>
      <c r="I93" s="535"/>
      <c r="J93" s="535"/>
      <c r="K93" s="535"/>
      <c r="L93" s="535"/>
      <c r="M93" s="536"/>
      <c r="N93" s="1152"/>
      <c r="O93" s="1152"/>
      <c r="P93" s="2615"/>
      <c r="Q93" s="503"/>
    </row>
    <row r="94" spans="1:17" ht="15.75" thickTop="1">
      <c r="A94" s="533"/>
      <c r="B94" s="537">
        <f>B29</f>
        <v>111</v>
      </c>
      <c r="C94" s="553"/>
      <c r="D94" s="553"/>
      <c r="E94" s="553"/>
      <c r="F94" s="553"/>
      <c r="G94" s="582"/>
      <c r="H94" s="582"/>
      <c r="I94" s="582"/>
      <c r="J94" s="582"/>
      <c r="K94" s="583"/>
      <c r="L94" s="584"/>
      <c r="M94" s="585"/>
      <c r="N94" s="1151"/>
      <c r="O94" s="1151"/>
      <c r="P94" s="2615"/>
      <c r="Q94" s="503"/>
    </row>
    <row r="95" spans="1:17" ht="15.75" thickBot="1">
      <c r="A95" s="533"/>
      <c r="B95" s="542"/>
      <c r="C95" s="559"/>
      <c r="D95" s="559"/>
      <c r="E95" s="559"/>
      <c r="F95" s="559"/>
      <c r="G95" s="535"/>
      <c r="H95" s="535"/>
      <c r="I95" s="535"/>
      <c r="J95" s="535"/>
      <c r="K95" s="535"/>
      <c r="L95" s="535"/>
      <c r="M95" s="536"/>
      <c r="N95" s="1152"/>
      <c r="O95" s="1152"/>
      <c r="P95" s="2615"/>
      <c r="Q95" s="503"/>
    </row>
    <row r="96" spans="1:17" ht="15.75" thickTop="1">
      <c r="A96" s="533"/>
      <c r="B96" s="537">
        <f>B30</f>
        <v>111</v>
      </c>
      <c r="C96" s="553"/>
      <c r="D96" s="553"/>
      <c r="E96" s="553"/>
      <c r="F96" s="553"/>
      <c r="G96" s="582"/>
      <c r="H96" s="582"/>
      <c r="I96" s="582"/>
      <c r="J96" s="582"/>
      <c r="K96" s="583"/>
      <c r="L96" s="584"/>
      <c r="M96" s="585"/>
      <c r="N96" s="1151"/>
      <c r="O96" s="1151"/>
      <c r="P96" s="2615"/>
      <c r="Q96" s="503"/>
    </row>
    <row r="97" spans="1:17" ht="15.75" thickBot="1">
      <c r="A97" s="533"/>
      <c r="B97" s="542"/>
      <c r="C97" s="569"/>
      <c r="D97" s="569"/>
      <c r="E97" s="569"/>
      <c r="F97" s="569"/>
      <c r="G97" s="535"/>
      <c r="H97" s="535"/>
      <c r="I97" s="535"/>
      <c r="J97" s="535"/>
      <c r="K97" s="535"/>
      <c r="L97" s="535"/>
      <c r="M97" s="536"/>
      <c r="N97" s="1152"/>
      <c r="O97" s="1152"/>
      <c r="P97" s="2615"/>
      <c r="Q97" s="503"/>
    </row>
    <row r="98" spans="1:17" ht="15.75" thickTop="1">
      <c r="A98" s="533"/>
      <c r="B98" s="545">
        <f>B31</f>
        <v>111</v>
      </c>
      <c r="C98" s="586"/>
      <c r="D98" s="586"/>
      <c r="E98" s="586"/>
      <c r="F98" s="586"/>
      <c r="G98" s="586"/>
      <c r="H98" s="586"/>
      <c r="I98" s="586"/>
      <c r="J98" s="586"/>
      <c r="K98" s="587"/>
      <c r="L98" s="588"/>
      <c r="M98" s="589"/>
      <c r="N98" s="1151"/>
      <c r="O98" s="1151"/>
      <c r="P98" s="2615"/>
      <c r="Q98" s="503"/>
    </row>
    <row r="99" spans="1:17" ht="15.75" thickBot="1">
      <c r="A99" s="2621"/>
      <c r="B99" s="568"/>
      <c r="C99" s="590"/>
      <c r="D99" s="590"/>
      <c r="E99" s="590"/>
      <c r="F99" s="590"/>
      <c r="G99" s="590"/>
      <c r="H99" s="590"/>
      <c r="I99" s="590"/>
      <c r="J99" s="590"/>
      <c r="K99" s="590"/>
      <c r="L99" s="590"/>
      <c r="M99" s="591"/>
      <c r="N99" s="1152"/>
      <c r="O99" s="1152"/>
      <c r="P99" s="2615"/>
      <c r="Q99" s="503"/>
    </row>
    <row r="100" spans="1:17">
      <c r="A100" s="526" t="s">
        <v>2558</v>
      </c>
      <c r="B100" s="527" t="s">
        <v>2607</v>
      </c>
      <c r="C100" s="2960" t="s">
        <v>3285</v>
      </c>
      <c r="D100" s="2960" t="s">
        <v>3286</v>
      </c>
      <c r="E100" s="2960" t="s">
        <v>3284</v>
      </c>
      <c r="F100" s="529"/>
      <c r="G100" s="529"/>
      <c r="H100" s="529"/>
      <c r="I100" s="529"/>
      <c r="J100" s="529"/>
      <c r="K100" s="530"/>
      <c r="L100" s="531"/>
      <c r="M100" s="532"/>
      <c r="N100" s="1151"/>
      <c r="O100" s="1151"/>
      <c r="P100" s="2615"/>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2"/>
      <c r="O101" s="1152"/>
      <c r="P101" s="2615"/>
      <c r="Q101" s="503"/>
    </row>
    <row r="102" spans="1:17" ht="29.25" thickTop="1">
      <c r="A102" s="533"/>
      <c r="B102" s="537" t="s">
        <v>2608</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300000(含)-350000</v>
      </c>
      <c r="J102" s="577" t="str">
        <f t="shared" si="27"/>
        <v>350000(含)-</v>
      </c>
      <c r="K102" s="577" t="str">
        <f>K103&amp;"(含)"&amp;"-"&amp;L103</f>
        <v>(含)-</v>
      </c>
      <c r="L102" s="577" t="str">
        <f t="shared" si="27"/>
        <v>(含)-</v>
      </c>
      <c r="M102" s="577" t="str">
        <f>M103&amp;"(含)"&amp;"-"&amp;P103</f>
        <v>(含)-</v>
      </c>
      <c r="N102" s="1150"/>
      <c r="O102" s="1150"/>
      <c r="P102" s="2615"/>
      <c r="Q102" s="503"/>
    </row>
    <row r="103" spans="1:17" s="470" customFormat="1">
      <c r="A103" s="592"/>
      <c r="B103" s="593"/>
      <c r="C103" s="594">
        <v>0</v>
      </c>
      <c r="D103" s="594">
        <f>C103+50000</f>
        <v>50000</v>
      </c>
      <c r="E103" s="594">
        <f t="shared" ref="E103:J103" si="28">D103+50000</f>
        <v>100000</v>
      </c>
      <c r="F103" s="594">
        <f t="shared" si="28"/>
        <v>150000</v>
      </c>
      <c r="G103" s="594">
        <f t="shared" si="28"/>
        <v>200000</v>
      </c>
      <c r="H103" s="594">
        <f t="shared" si="28"/>
        <v>250000</v>
      </c>
      <c r="I103" s="594">
        <f t="shared" si="28"/>
        <v>300000</v>
      </c>
      <c r="J103" s="594">
        <f t="shared" si="28"/>
        <v>350000</v>
      </c>
      <c r="K103" s="595"/>
      <c r="L103" s="596"/>
      <c r="M103" s="597"/>
      <c r="N103" s="1153"/>
      <c r="O103" s="1153"/>
      <c r="P103" s="2616"/>
      <c r="Q103" s="558"/>
    </row>
    <row r="104" spans="1:17" s="470" customFormat="1" ht="15.75" thickBot="1">
      <c r="A104" s="552"/>
      <c r="B104" s="542"/>
      <c r="C104" s="559">
        <v>100</v>
      </c>
      <c r="D104" s="535">
        <f>C104+0.5</f>
        <v>100.5</v>
      </c>
      <c r="E104" s="535">
        <f t="shared" ref="E104:J104" si="29">D104+0.5</f>
        <v>101</v>
      </c>
      <c r="F104" s="535">
        <f t="shared" si="29"/>
        <v>101.5</v>
      </c>
      <c r="G104" s="535">
        <f t="shared" si="29"/>
        <v>102</v>
      </c>
      <c r="H104" s="535">
        <f t="shared" si="29"/>
        <v>102.5</v>
      </c>
      <c r="I104" s="535">
        <f t="shared" si="29"/>
        <v>103</v>
      </c>
      <c r="J104" s="535">
        <f t="shared" si="29"/>
        <v>103.5</v>
      </c>
      <c r="K104" s="535"/>
      <c r="L104" s="535"/>
      <c r="M104" s="535"/>
      <c r="N104" s="1152"/>
      <c r="O104" s="1152"/>
      <c r="P104" s="2616"/>
      <c r="Q104" s="558"/>
    </row>
    <row r="105" spans="1:17" ht="15" thickTop="1">
      <c r="A105" s="598"/>
      <c r="B105" s="537" t="s">
        <v>2609</v>
      </c>
      <c r="C105" s="2961" t="s">
        <v>3287</v>
      </c>
      <c r="D105" s="553"/>
      <c r="E105" s="582"/>
      <c r="F105" s="582"/>
      <c r="G105" s="582"/>
      <c r="H105" s="582"/>
      <c r="I105" s="582"/>
      <c r="J105" s="582"/>
      <c r="K105" s="583"/>
      <c r="L105" s="584"/>
      <c r="M105" s="585"/>
      <c r="N105" s="1151"/>
      <c r="O105" s="1151"/>
      <c r="P105" s="2615"/>
      <c r="Q105" s="503"/>
    </row>
    <row r="106" spans="1:17" ht="15.75" thickBot="1">
      <c r="A106" s="533"/>
      <c r="B106" s="542"/>
      <c r="C106" s="543">
        <v>100</v>
      </c>
      <c r="D106" s="543">
        <f t="shared" ref="D106:M106" si="30">C106-$K34</f>
        <v>98</v>
      </c>
      <c r="E106" s="543">
        <f t="shared" si="30"/>
        <v>96</v>
      </c>
      <c r="F106" s="543">
        <f t="shared" si="30"/>
        <v>94</v>
      </c>
      <c r="G106" s="543">
        <f t="shared" si="30"/>
        <v>92</v>
      </c>
      <c r="H106" s="543">
        <f t="shared" si="30"/>
        <v>90</v>
      </c>
      <c r="I106" s="543">
        <f t="shared" si="30"/>
        <v>88</v>
      </c>
      <c r="J106" s="543">
        <f t="shared" si="30"/>
        <v>86</v>
      </c>
      <c r="K106" s="543">
        <f t="shared" si="30"/>
        <v>84</v>
      </c>
      <c r="L106" s="543">
        <f t="shared" si="30"/>
        <v>82</v>
      </c>
      <c r="M106" s="543">
        <f t="shared" si="30"/>
        <v>80</v>
      </c>
      <c r="N106" s="1152"/>
      <c r="O106" s="1152"/>
      <c r="P106" s="2615"/>
      <c r="Q106" s="503"/>
    </row>
    <row r="107" spans="1:17" ht="15" thickTop="1">
      <c r="A107" s="598"/>
      <c r="B107" s="537" t="s">
        <v>2610</v>
      </c>
      <c r="C107" s="2962" t="s">
        <v>3288</v>
      </c>
      <c r="D107" s="2962" t="s">
        <v>3289</v>
      </c>
      <c r="E107" s="582"/>
      <c r="F107" s="582"/>
      <c r="G107" s="582"/>
      <c r="H107" s="582"/>
      <c r="I107" s="582"/>
      <c r="J107" s="582"/>
      <c r="K107" s="583"/>
      <c r="L107" s="584"/>
      <c r="M107" s="585"/>
      <c r="N107" s="1151"/>
      <c r="O107" s="1151"/>
      <c r="P107" s="2615"/>
      <c r="Q107" s="503"/>
    </row>
    <row r="108" spans="1:17" ht="15.75" thickBot="1">
      <c r="A108" s="533"/>
      <c r="B108" s="542"/>
      <c r="C108" s="543">
        <v>100</v>
      </c>
      <c r="D108" s="543">
        <f t="shared" ref="D108:M108" si="31">C108-$K35</f>
        <v>98</v>
      </c>
      <c r="E108" s="543">
        <f t="shared" si="31"/>
        <v>96</v>
      </c>
      <c r="F108" s="543">
        <f t="shared" si="31"/>
        <v>94</v>
      </c>
      <c r="G108" s="543">
        <f t="shared" si="31"/>
        <v>92</v>
      </c>
      <c r="H108" s="543">
        <f t="shared" si="31"/>
        <v>90</v>
      </c>
      <c r="I108" s="543">
        <f t="shared" si="31"/>
        <v>88</v>
      </c>
      <c r="J108" s="543">
        <f t="shared" si="31"/>
        <v>86</v>
      </c>
      <c r="K108" s="543">
        <f t="shared" si="31"/>
        <v>84</v>
      </c>
      <c r="L108" s="543">
        <f t="shared" si="31"/>
        <v>82</v>
      </c>
      <c r="M108" s="543">
        <f t="shared" si="31"/>
        <v>80</v>
      </c>
      <c r="N108" s="1152"/>
      <c r="O108" s="1152"/>
      <c r="P108" s="2615"/>
      <c r="Q108" s="503"/>
    </row>
    <row r="109" spans="1:17" ht="15" thickTop="1">
      <c r="A109" s="598"/>
      <c r="B109" s="537" t="s">
        <v>2611</v>
      </c>
      <c r="C109" s="2961" t="s">
        <v>3291</v>
      </c>
      <c r="D109" s="2961" t="s">
        <v>3292</v>
      </c>
      <c r="E109" s="2961" t="s">
        <v>3293</v>
      </c>
      <c r="F109" s="2962" t="s">
        <v>3295</v>
      </c>
      <c r="G109" s="582"/>
      <c r="H109" s="582"/>
      <c r="I109" s="582"/>
      <c r="J109" s="582"/>
      <c r="K109" s="583"/>
      <c r="L109" s="584"/>
      <c r="M109" s="585"/>
      <c r="N109" s="1151"/>
      <c r="O109" s="1151"/>
      <c r="P109" s="2615"/>
      <c r="Q109" s="503"/>
    </row>
    <row r="110" spans="1:17" ht="15.75" thickBot="1">
      <c r="A110" s="533"/>
      <c r="B110" s="542"/>
      <c r="C110" s="543">
        <v>100</v>
      </c>
      <c r="D110" s="543">
        <f t="shared" ref="D110:M110" si="32">C110-$K36</f>
        <v>98.5</v>
      </c>
      <c r="E110" s="543">
        <f t="shared" si="32"/>
        <v>97</v>
      </c>
      <c r="F110" s="543">
        <f t="shared" si="32"/>
        <v>95.5</v>
      </c>
      <c r="G110" s="543">
        <f t="shared" si="32"/>
        <v>94</v>
      </c>
      <c r="H110" s="543">
        <f t="shared" si="32"/>
        <v>92.5</v>
      </c>
      <c r="I110" s="543">
        <f t="shared" si="32"/>
        <v>91</v>
      </c>
      <c r="J110" s="543">
        <f t="shared" si="32"/>
        <v>89.5</v>
      </c>
      <c r="K110" s="543">
        <f t="shared" si="32"/>
        <v>88</v>
      </c>
      <c r="L110" s="543">
        <f t="shared" si="32"/>
        <v>86.5</v>
      </c>
      <c r="M110" s="543">
        <f t="shared" si="32"/>
        <v>85</v>
      </c>
      <c r="N110" s="1152"/>
      <c r="O110" s="1152"/>
      <c r="P110" s="2615"/>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16"/>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16"/>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3"/>
      <c r="O113" s="1153"/>
      <c r="P113" s="2616"/>
      <c r="Q113" s="558"/>
    </row>
    <row r="114" spans="1:17" ht="15" thickTop="1">
      <c r="A114" s="598"/>
      <c r="B114" s="537" t="s">
        <v>2612</v>
      </c>
      <c r="C114" s="2962" t="s">
        <v>3288</v>
      </c>
      <c r="D114" s="2962" t="s">
        <v>3289</v>
      </c>
      <c r="E114" s="582"/>
      <c r="F114" s="582"/>
      <c r="G114" s="582"/>
      <c r="H114" s="582"/>
      <c r="I114" s="582"/>
      <c r="J114" s="582"/>
      <c r="K114" s="583"/>
      <c r="L114" s="584"/>
      <c r="M114" s="585"/>
      <c r="N114" s="1151"/>
      <c r="O114" s="1151"/>
      <c r="P114" s="2615"/>
      <c r="Q114" s="503"/>
    </row>
    <row r="115" spans="1:17" ht="15.75" thickBot="1">
      <c r="A115" s="533"/>
      <c r="B115" s="542"/>
      <c r="C115" s="543">
        <v>100</v>
      </c>
      <c r="D115" s="543">
        <f t="shared" ref="D115:M115" si="33">C115-$K38</f>
        <v>99</v>
      </c>
      <c r="E115" s="543">
        <f t="shared" si="33"/>
        <v>98</v>
      </c>
      <c r="F115" s="543">
        <f t="shared" si="33"/>
        <v>97</v>
      </c>
      <c r="G115" s="543">
        <f t="shared" si="33"/>
        <v>96</v>
      </c>
      <c r="H115" s="543">
        <f t="shared" si="33"/>
        <v>95</v>
      </c>
      <c r="I115" s="543">
        <f t="shared" si="33"/>
        <v>94</v>
      </c>
      <c r="J115" s="543">
        <f t="shared" si="33"/>
        <v>93</v>
      </c>
      <c r="K115" s="543">
        <f t="shared" si="33"/>
        <v>92</v>
      </c>
      <c r="L115" s="543">
        <f t="shared" si="33"/>
        <v>91</v>
      </c>
      <c r="M115" s="543">
        <f t="shared" si="33"/>
        <v>90</v>
      </c>
      <c r="N115" s="1152"/>
      <c r="O115" s="1152"/>
      <c r="P115" s="2615"/>
      <c r="Q115" s="503"/>
    </row>
    <row r="116" spans="1:17" ht="15" thickTop="1">
      <c r="A116" s="598"/>
      <c r="B116" s="537" t="s">
        <v>2613</v>
      </c>
      <c r="C116" s="2961" t="s">
        <v>3239</v>
      </c>
      <c r="D116" s="553" t="s">
        <v>3240</v>
      </c>
      <c r="E116" s="553" t="s">
        <v>3241</v>
      </c>
      <c r="F116" s="553" t="s">
        <v>3242</v>
      </c>
      <c r="G116" s="553" t="s">
        <v>3243</v>
      </c>
      <c r="H116" s="582"/>
      <c r="I116" s="582"/>
      <c r="J116" s="582"/>
      <c r="K116" s="583"/>
      <c r="L116" s="584"/>
      <c r="M116" s="585"/>
      <c r="N116" s="1151"/>
      <c r="O116" s="1151"/>
      <c r="P116" s="2615"/>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2"/>
      <c r="O117" s="1152"/>
      <c r="P117" s="2615"/>
      <c r="Q117" s="503"/>
    </row>
    <row r="118" spans="1:17" ht="15" thickTop="1">
      <c r="A118" s="598"/>
      <c r="B118" s="537" t="s">
        <v>2614</v>
      </c>
      <c r="C118" s="582"/>
      <c r="D118" s="582"/>
      <c r="E118" s="582"/>
      <c r="F118" s="582"/>
      <c r="G118" s="582"/>
      <c r="H118" s="582"/>
      <c r="I118" s="582"/>
      <c r="J118" s="582"/>
      <c r="K118" s="583"/>
      <c r="L118" s="584"/>
      <c r="M118" s="585"/>
      <c r="N118" s="1151"/>
      <c r="O118" s="1151"/>
      <c r="P118" s="2615"/>
      <c r="Q118" s="503"/>
    </row>
    <row r="119" spans="1:17" ht="15.75" thickBot="1">
      <c r="A119" s="533"/>
      <c r="B119" s="542"/>
      <c r="C119" s="543">
        <v>100</v>
      </c>
      <c r="D119" s="543">
        <f t="shared" ref="D119:M119" si="34">C119-$K40</f>
        <v>100</v>
      </c>
      <c r="E119" s="543">
        <f t="shared" si="34"/>
        <v>100</v>
      </c>
      <c r="F119" s="543">
        <f t="shared" si="34"/>
        <v>100</v>
      </c>
      <c r="G119" s="543">
        <f t="shared" si="34"/>
        <v>100</v>
      </c>
      <c r="H119" s="543">
        <f t="shared" si="34"/>
        <v>100</v>
      </c>
      <c r="I119" s="543">
        <f t="shared" si="34"/>
        <v>100</v>
      </c>
      <c r="J119" s="543">
        <f t="shared" si="34"/>
        <v>100</v>
      </c>
      <c r="K119" s="543">
        <f t="shared" si="34"/>
        <v>100</v>
      </c>
      <c r="L119" s="543">
        <f t="shared" si="34"/>
        <v>100</v>
      </c>
      <c r="M119" s="543">
        <f t="shared" si="34"/>
        <v>100</v>
      </c>
      <c r="N119" s="1152"/>
      <c r="O119" s="1152"/>
      <c r="P119" s="2615"/>
      <c r="Q119" s="503"/>
    </row>
    <row r="120" spans="1:17" s="470" customFormat="1" ht="28.5" thickTop="1">
      <c r="A120" s="592"/>
      <c r="B120" s="537" t="s">
        <v>2569</v>
      </c>
      <c r="C120" s="553"/>
      <c r="D120" s="553"/>
      <c r="E120" s="553"/>
      <c r="F120" s="553"/>
      <c r="G120" s="553"/>
      <c r="H120" s="553"/>
      <c r="I120" s="553"/>
      <c r="J120" s="553"/>
      <c r="K120" s="553"/>
      <c r="L120" s="579"/>
      <c r="M120" s="580"/>
      <c r="N120" s="1153"/>
      <c r="O120" s="1153"/>
      <c r="P120" s="2616"/>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16"/>
      <c r="Q121" s="558"/>
    </row>
    <row r="122" spans="1:17" ht="15" thickTop="1">
      <c r="A122" s="598"/>
      <c r="B122" s="537" t="s">
        <v>2615</v>
      </c>
      <c r="C122" s="2961" t="s">
        <v>3291</v>
      </c>
      <c r="D122" s="2961" t="s">
        <v>3292</v>
      </c>
      <c r="E122" s="2961" t="s">
        <v>3293</v>
      </c>
      <c r="F122" s="2962" t="s">
        <v>3295</v>
      </c>
      <c r="G122" s="582"/>
      <c r="H122" s="582"/>
      <c r="I122" s="582"/>
      <c r="J122" s="582"/>
      <c r="K122" s="583"/>
      <c r="L122" s="584"/>
      <c r="M122" s="585"/>
      <c r="N122" s="1151"/>
      <c r="O122" s="1151"/>
      <c r="P122" s="2615"/>
      <c r="Q122" s="503"/>
    </row>
    <row r="123" spans="1:17" ht="15.75" thickBot="1">
      <c r="A123" s="533"/>
      <c r="B123" s="542"/>
      <c r="C123" s="543">
        <v>100</v>
      </c>
      <c r="D123" s="543">
        <f t="shared" ref="D123:M123" si="35">C123-$K42</f>
        <v>99</v>
      </c>
      <c r="E123" s="543">
        <f t="shared" si="35"/>
        <v>98</v>
      </c>
      <c r="F123" s="543">
        <f t="shared" si="35"/>
        <v>97</v>
      </c>
      <c r="G123" s="543">
        <f t="shared" si="35"/>
        <v>96</v>
      </c>
      <c r="H123" s="543">
        <f t="shared" si="35"/>
        <v>95</v>
      </c>
      <c r="I123" s="543">
        <f t="shared" si="35"/>
        <v>94</v>
      </c>
      <c r="J123" s="543">
        <f t="shared" si="35"/>
        <v>93</v>
      </c>
      <c r="K123" s="543">
        <f t="shared" si="35"/>
        <v>92</v>
      </c>
      <c r="L123" s="543">
        <f t="shared" si="35"/>
        <v>91</v>
      </c>
      <c r="M123" s="543">
        <f t="shared" si="35"/>
        <v>90</v>
      </c>
      <c r="N123" s="1152"/>
      <c r="O123" s="1152"/>
      <c r="P123" s="2615"/>
      <c r="Q123" s="503"/>
    </row>
    <row r="124" spans="1:17" ht="15" thickTop="1">
      <c r="A124" s="598"/>
      <c r="B124" s="537" t="s">
        <v>2616</v>
      </c>
      <c r="C124" s="577" t="s">
        <v>2592</v>
      </c>
      <c r="D124" s="577" t="s">
        <v>2593</v>
      </c>
      <c r="E124" s="577" t="s">
        <v>2594</v>
      </c>
      <c r="F124" s="577" t="s">
        <v>2595</v>
      </c>
      <c r="G124" s="577" t="s">
        <v>2596</v>
      </c>
      <c r="H124" s="538"/>
      <c r="I124" s="538"/>
      <c r="J124" s="538"/>
      <c r="K124" s="539"/>
      <c r="L124" s="540"/>
      <c r="M124" s="541"/>
      <c r="N124" s="1151"/>
      <c r="O124" s="1151"/>
      <c r="P124" s="2616"/>
      <c r="Q124" s="503"/>
    </row>
    <row r="125" spans="1:17" ht="15.75" thickBot="1">
      <c r="A125" s="533"/>
      <c r="B125" s="542"/>
      <c r="C125" s="543">
        <v>100</v>
      </c>
      <c r="D125" s="543">
        <f>C125-$K43</f>
        <v>99</v>
      </c>
      <c r="E125" s="543">
        <f>D125-$K43</f>
        <v>98</v>
      </c>
      <c r="F125" s="543">
        <f>E125-$K43</f>
        <v>97</v>
      </c>
      <c r="G125" s="543">
        <f>F125-$K43</f>
        <v>96</v>
      </c>
      <c r="H125" s="543"/>
      <c r="I125" s="543"/>
      <c r="J125" s="543"/>
      <c r="K125" s="543"/>
      <c r="L125" s="543"/>
      <c r="M125" s="544"/>
      <c r="N125" s="1152"/>
      <c r="O125" s="1152"/>
      <c r="P125" s="2615"/>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16"/>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16"/>
      <c r="Q127" s="558"/>
    </row>
    <row r="128" spans="1:17" ht="15" thickTop="1">
      <c r="A128" s="598"/>
      <c r="B128" s="537">
        <f>B45</f>
        <v>111</v>
      </c>
      <c r="C128" s="553"/>
      <c r="D128" s="553"/>
      <c r="E128" s="553"/>
      <c r="F128" s="553"/>
      <c r="G128" s="582"/>
      <c r="H128" s="582"/>
      <c r="I128" s="582"/>
      <c r="J128" s="582"/>
      <c r="K128" s="583"/>
      <c r="L128" s="584"/>
      <c r="M128" s="585"/>
      <c r="N128" s="1151"/>
      <c r="O128" s="1151"/>
      <c r="P128" s="2615"/>
      <c r="Q128" s="503"/>
    </row>
    <row r="129" spans="1:17" ht="15.75" thickBot="1">
      <c r="A129" s="533"/>
      <c r="B129" s="542"/>
      <c r="C129" s="559"/>
      <c r="D129" s="559"/>
      <c r="E129" s="559"/>
      <c r="F129" s="559"/>
      <c r="G129" s="535"/>
      <c r="H129" s="535"/>
      <c r="I129" s="535"/>
      <c r="J129" s="535"/>
      <c r="K129" s="535"/>
      <c r="L129" s="535"/>
      <c r="M129" s="536"/>
      <c r="N129" s="1152"/>
      <c r="O129" s="1152"/>
      <c r="P129" s="2615"/>
      <c r="Q129" s="503"/>
    </row>
    <row r="130" spans="1:17" ht="15" thickTop="1">
      <c r="A130" s="598"/>
      <c r="B130" s="545">
        <f>B46</f>
        <v>111</v>
      </c>
      <c r="C130" s="553"/>
      <c r="D130" s="553"/>
      <c r="E130" s="553"/>
      <c r="F130" s="553"/>
      <c r="G130" s="586"/>
      <c r="H130" s="586"/>
      <c r="I130" s="586"/>
      <c r="J130" s="586"/>
      <c r="K130" s="522"/>
      <c r="L130" s="523"/>
      <c r="M130" s="589"/>
      <c r="N130" s="1151"/>
      <c r="O130" s="1151"/>
      <c r="P130" s="2615"/>
      <c r="Q130" s="503"/>
    </row>
    <row r="131" spans="1:17" ht="15.75" thickBot="1">
      <c r="A131" s="2621"/>
      <c r="B131" s="568"/>
      <c r="C131" s="569"/>
      <c r="D131" s="569"/>
      <c r="E131" s="569"/>
      <c r="F131" s="569"/>
      <c r="G131" s="590"/>
      <c r="H131" s="590"/>
      <c r="I131" s="590"/>
      <c r="J131" s="590"/>
      <c r="K131" s="590"/>
      <c r="L131" s="590"/>
      <c r="M131" s="591"/>
      <c r="N131" s="1152"/>
      <c r="O131" s="1152"/>
      <c r="P131" s="2615"/>
      <c r="Q131" s="503"/>
    </row>
    <row r="136" spans="1:17" ht="15" thickBot="1">
      <c r="B136" s="2622" t="s">
        <v>2617</v>
      </c>
    </row>
    <row r="137" spans="1:17" ht="15">
      <c r="B137" s="2623" t="s">
        <v>2618</v>
      </c>
      <c r="C137" s="2624"/>
      <c r="D137" s="2624"/>
      <c r="E137" s="2624"/>
      <c r="F137" s="2624"/>
      <c r="G137" s="2625"/>
      <c r="H137" s="2626"/>
      <c r="I137" s="2627" t="s">
        <v>2619</v>
      </c>
      <c r="J137" s="2624"/>
      <c r="K137" s="2628"/>
    </row>
    <row r="138" spans="1:17" ht="15">
      <c r="B138" s="2629"/>
      <c r="C138" s="146" t="s">
        <v>2620</v>
      </c>
      <c r="D138" s="146" t="s">
        <v>2621</v>
      </c>
      <c r="E138" s="2630" t="s">
        <v>2622</v>
      </c>
      <c r="F138" s="2631" t="s">
        <v>2623</v>
      </c>
      <c r="G138" s="146" t="s">
        <v>2621</v>
      </c>
      <c r="H138" s="147" t="s">
        <v>2622</v>
      </c>
      <c r="I138" s="2632"/>
      <c r="J138" s="146" t="s">
        <v>2624</v>
      </c>
      <c r="K138" s="147" t="s">
        <v>2625</v>
      </c>
    </row>
    <row r="139" spans="1:17" ht="15">
      <c r="B139" s="1083">
        <v>6</v>
      </c>
      <c r="C139" s="1084">
        <v>96</v>
      </c>
      <c r="D139" s="2633" t="s">
        <v>2626</v>
      </c>
      <c r="E139" s="1085">
        <v>100</v>
      </c>
      <c r="F139" s="1086">
        <v>102.5</v>
      </c>
      <c r="G139" s="2633" t="s">
        <v>2626</v>
      </c>
      <c r="H139" s="1087">
        <v>105</v>
      </c>
      <c r="I139" s="2634" t="s">
        <v>2627</v>
      </c>
      <c r="J139" s="1084">
        <v>20</v>
      </c>
      <c r="K139" s="1088">
        <f>C145/(J139-2)</f>
        <v>4.0555555555555553E-3</v>
      </c>
    </row>
    <row r="140" spans="1:17" ht="15">
      <c r="B140" s="1089">
        <v>5</v>
      </c>
      <c r="C140" s="1090">
        <v>100</v>
      </c>
      <c r="D140" s="1090"/>
      <c r="E140" s="1091"/>
      <c r="F140" s="1092">
        <v>102</v>
      </c>
      <c r="G140" s="1090"/>
      <c r="H140" s="1093"/>
      <c r="I140" s="2635" t="s">
        <v>2628</v>
      </c>
      <c r="J140" s="315">
        <f>ROUNDUP((J139-1)/2,0)</f>
        <v>10</v>
      </c>
      <c r="K140" s="1094">
        <v>100</v>
      </c>
    </row>
    <row r="141" spans="1:17" ht="15">
      <c r="B141" s="1089">
        <v>4</v>
      </c>
      <c r="C141" s="1090">
        <v>102</v>
      </c>
      <c r="D141" s="1090"/>
      <c r="E141" s="1091"/>
      <c r="F141" s="1092">
        <v>101.5</v>
      </c>
      <c r="G141" s="1090"/>
      <c r="H141" s="1093"/>
      <c r="I141" s="2635" t="s">
        <v>2629</v>
      </c>
      <c r="J141" s="315">
        <v>1</v>
      </c>
      <c r="K141" s="1095">
        <f>ROUND(100+(J141-J140)*K139*100,1)</f>
        <v>96.4</v>
      </c>
    </row>
    <row r="142" spans="1:17" ht="15">
      <c r="B142" s="1089">
        <v>3</v>
      </c>
      <c r="C142" s="1090">
        <v>103</v>
      </c>
      <c r="D142" s="1090"/>
      <c r="E142" s="1091"/>
      <c r="F142" s="1092">
        <v>101</v>
      </c>
      <c r="G142" s="1090"/>
      <c r="H142" s="1093"/>
      <c r="I142" s="2635" t="s">
        <v>2630</v>
      </c>
      <c r="J142" s="315">
        <f>J139</f>
        <v>20</v>
      </c>
      <c r="K142" s="1096">
        <v>95</v>
      </c>
    </row>
    <row r="143" spans="1:17" ht="15">
      <c r="B143" s="1089">
        <v>2</v>
      </c>
      <c r="C143" s="1090">
        <v>100</v>
      </c>
      <c r="D143" s="1090"/>
      <c r="E143" s="1091"/>
      <c r="F143" s="1092">
        <v>100.5</v>
      </c>
      <c r="G143" s="1090"/>
      <c r="H143" s="1093"/>
      <c r="I143" s="2635" t="s">
        <v>2631</v>
      </c>
      <c r="J143" s="1090">
        <v>15</v>
      </c>
      <c r="K143" s="1095">
        <f>ROUND(100+(J143-J140)*K139*100,1)</f>
        <v>102</v>
      </c>
    </row>
    <row r="144" spans="1:17" ht="15">
      <c r="B144" s="1089">
        <v>1</v>
      </c>
      <c r="C144" s="1090">
        <v>98</v>
      </c>
      <c r="D144" s="2636" t="s">
        <v>2632</v>
      </c>
      <c r="E144" s="1091">
        <v>102</v>
      </c>
      <c r="F144" s="1097">
        <v>100</v>
      </c>
      <c r="G144" s="2636" t="s">
        <v>2632</v>
      </c>
      <c r="H144" s="1093">
        <v>105</v>
      </c>
      <c r="I144" s="2635" t="s">
        <v>2631</v>
      </c>
      <c r="J144" s="1090">
        <v>18</v>
      </c>
      <c r="K144" s="1095">
        <f>ROUND(100+(J144-J140)*K139*100,1)</f>
        <v>103.2</v>
      </c>
    </row>
    <row r="145" spans="2:11" ht="15.75" thickBot="1">
      <c r="B145" s="2637" t="s">
        <v>2633</v>
      </c>
      <c r="C145" s="1098">
        <f>ROUND(MAX(C139:C144)/MIN(C139:C144)-1,3)</f>
        <v>7.2999999999999995E-2</v>
      </c>
      <c r="D145" s="1099"/>
      <c r="E145" s="1099"/>
      <c r="F145" s="2638" t="s">
        <v>2634</v>
      </c>
      <c r="G145" s="2639"/>
      <c r="H145" s="2640"/>
      <c r="I145" s="2641" t="s">
        <v>2631</v>
      </c>
      <c r="J145" s="1100">
        <v>8</v>
      </c>
      <c r="K145" s="1101">
        <f>ROUND(100+(J145-J140)*K139*100,1)</f>
        <v>99.2</v>
      </c>
    </row>
    <row r="147" spans="2:11">
      <c r="B147" s="2622" t="s">
        <v>2635</v>
      </c>
    </row>
    <row r="148" spans="2:11">
      <c r="B148" s="2622" t="s">
        <v>2636</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36" priority="14" stopIfTrue="1" operator="containsText" text="超过">
      <formula>NOT(ISERROR(SEARCH("超过",F52)))</formula>
    </cfRule>
  </conditionalFormatting>
  <conditionalFormatting sqref="J54">
    <cfRule type="containsText" dxfId="135" priority="13" stopIfTrue="1" operator="containsText" text="超过">
      <formula>NOT(ISERROR(SEARCH("超过",J54)))</formula>
    </cfRule>
  </conditionalFormatting>
  <conditionalFormatting sqref="H54">
    <cfRule type="containsText" dxfId="134" priority="12" stopIfTrue="1" operator="containsText" text="超过">
      <formula>NOT(ISERROR(SEARCH("超过",H54)))</formula>
    </cfRule>
  </conditionalFormatting>
  <conditionalFormatting sqref="F54">
    <cfRule type="containsText" dxfId="133" priority="11" stopIfTrue="1" operator="containsText" text="超过">
      <formula>NOT(ISERROR(SEARCH("超过",F54)))</formula>
    </cfRule>
  </conditionalFormatting>
  <conditionalFormatting sqref="F53 H53 J53">
    <cfRule type="containsText" dxfId="132" priority="10" stopIfTrue="1" operator="containsText" text="超过">
      <formula>NOT(ISERROR(SEARCH("超过",F53)))</formula>
    </cfRule>
  </conditionalFormatting>
  <conditionalFormatting sqref="E52">
    <cfRule type="expression" dxfId="131" priority="9" stopIfTrue="1">
      <formula>$F$52="超过30%"</formula>
    </cfRule>
  </conditionalFormatting>
  <conditionalFormatting sqref="G54">
    <cfRule type="expression" dxfId="130" priority="8" stopIfTrue="1">
      <formula>$H$54="超过30%"</formula>
    </cfRule>
  </conditionalFormatting>
  <conditionalFormatting sqref="E53">
    <cfRule type="expression" dxfId="129" priority="7" stopIfTrue="1">
      <formula>$F$53="超过20%"</formula>
    </cfRule>
  </conditionalFormatting>
  <conditionalFormatting sqref="E54">
    <cfRule type="expression" dxfId="128" priority="6" stopIfTrue="1">
      <formula>$F$54="超过30%"</formula>
    </cfRule>
  </conditionalFormatting>
  <conditionalFormatting sqref="G52">
    <cfRule type="expression" dxfId="127" priority="5" stopIfTrue="1">
      <formula>$H$52="超过30%"</formula>
    </cfRule>
  </conditionalFormatting>
  <conditionalFormatting sqref="G53">
    <cfRule type="expression" dxfId="126" priority="4" stopIfTrue="1">
      <formula>$H$53="超过20%"</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85" zoomScaleNormal="85" workbookViewId="0">
      <selection activeCell="M42" sqref="M42"/>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0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569" t="s">
        <v>2524</v>
      </c>
      <c r="C1" s="1631" t="s">
        <v>2525</v>
      </c>
      <c r="D1" s="1618" t="s">
        <v>3313</v>
      </c>
      <c r="E1" s="2570"/>
      <c r="F1" s="2571" t="s">
        <v>2526</v>
      </c>
      <c r="G1" s="1628" t="s">
        <v>2527</v>
      </c>
      <c r="H1" s="1627"/>
      <c r="I1" s="1627"/>
      <c r="J1" s="1627"/>
      <c r="K1" s="1629"/>
      <c r="L1" s="1630"/>
      <c r="M1" s="1631"/>
      <c r="N1" s="1631"/>
      <c r="O1" s="1631"/>
      <c r="P1" s="2572"/>
      <c r="Q1" s="1617"/>
      <c r="R1" s="1617"/>
      <c r="S1" s="1617"/>
      <c r="T1" s="1617"/>
      <c r="U1" s="1617"/>
      <c r="V1" s="1617"/>
      <c r="W1" s="1617"/>
      <c r="X1" s="1617"/>
      <c r="Y1" s="1617"/>
      <c r="Z1" s="1617"/>
      <c r="AA1" s="1617"/>
      <c r="AB1" s="1617"/>
      <c r="AC1" s="1625"/>
    </row>
    <row r="2" spans="1:29" s="392" customFormat="1" ht="28.5" customHeight="1" thickTop="1">
      <c r="A2" s="1614" t="s">
        <v>1388</v>
      </c>
      <c r="B2" s="1415">
        <f>IF(C2="——",ROUND(C49*D3/10000,0),ROUND(C49*D3/10000,0)-D2)</f>
        <v>74737</v>
      </c>
      <c r="C2" s="2573" t="s">
        <v>70</v>
      </c>
      <c r="D2" s="1362" t="e">
        <f ca="1">SUMIF(INDIRECT("'"&amp;F2&amp;"'"&amp;"!A:A"),"承租人权益价值",INDIRECT("'"&amp;F2&amp;"'"&amp;"!c:c"))</f>
        <v>#REF!</v>
      </c>
      <c r="E2" s="2574" t="s">
        <v>2528</v>
      </c>
      <c r="F2" s="2575"/>
      <c r="G2" s="1123"/>
      <c r="H2" s="1123"/>
      <c r="I2" s="1123"/>
      <c r="J2" s="1123"/>
      <c r="K2" s="2576"/>
      <c r="L2" s="2577"/>
      <c r="M2" s="2578"/>
      <c r="N2" s="2578"/>
      <c r="O2" s="2578"/>
      <c r="P2" s="2579"/>
      <c r="Q2" s="2580"/>
      <c r="R2" s="2580"/>
      <c r="S2" s="2580"/>
      <c r="T2" s="2580"/>
      <c r="U2" s="2580"/>
      <c r="V2" s="2580"/>
      <c r="W2" s="2580"/>
      <c r="X2" s="2580"/>
      <c r="Y2" s="2580"/>
      <c r="Z2" s="2580"/>
      <c r="AA2" s="2580"/>
      <c r="AB2" s="2580"/>
      <c r="AC2" s="2581"/>
    </row>
    <row r="3" spans="1:29" s="392" customFormat="1" ht="28.5" customHeight="1" thickBot="1">
      <c r="A3" s="247" t="s">
        <v>1389</v>
      </c>
      <c r="B3" s="398">
        <f>IF(C2="——",C49,ROUND(B2*10000/D3,0))</f>
        <v>33112</v>
      </c>
      <c r="C3" s="399" t="s">
        <v>2529</v>
      </c>
      <c r="D3" s="398">
        <f>IF(D1="",'数据-汇总表'!E3,SUMIF('数据-汇总表'!$C19:$C33,D1,'数据-汇总表'!$E19:$E33))</f>
        <v>22570.929999999997</v>
      </c>
      <c r="E3" s="1123"/>
      <c r="F3" s="2582"/>
      <c r="G3" s="1123"/>
      <c r="H3" s="1123"/>
      <c r="I3" s="1123"/>
      <c r="J3" s="1123"/>
      <c r="K3" s="2576"/>
      <c r="L3" s="2577"/>
      <c r="M3" s="2578"/>
      <c r="N3" s="2578"/>
      <c r="O3" s="2578"/>
      <c r="P3" s="2579"/>
      <c r="Q3" s="2580"/>
      <c r="R3" s="2580"/>
      <c r="S3" s="2580"/>
      <c r="T3" s="2580"/>
      <c r="U3" s="2580"/>
      <c r="V3" s="2580"/>
      <c r="W3" s="2580"/>
      <c r="X3" s="2580"/>
      <c r="Y3" s="2580"/>
      <c r="Z3" s="2580"/>
      <c r="AA3" s="2580"/>
      <c r="AB3" s="2580"/>
      <c r="AC3" s="1281"/>
    </row>
    <row r="4" spans="1:29" ht="15">
      <c r="A4" s="400" t="s">
        <v>2530</v>
      </c>
      <c r="B4" s="401"/>
      <c r="C4" s="3236" t="s">
        <v>2531</v>
      </c>
      <c r="D4" s="3237"/>
      <c r="E4" s="3238" t="s">
        <v>2532</v>
      </c>
      <c r="F4" s="3239"/>
      <c r="G4" s="3236" t="s">
        <v>2533</v>
      </c>
      <c r="H4" s="3237"/>
      <c r="I4" s="3236" t="s">
        <v>2534</v>
      </c>
      <c r="J4" s="3237"/>
      <c r="K4" s="2583" t="s">
        <v>2535</v>
      </c>
      <c r="L4" s="1129"/>
      <c r="M4" s="1130"/>
      <c r="N4" s="1130"/>
      <c r="O4" s="1130"/>
      <c r="P4" s="3240" t="s">
        <v>2536</v>
      </c>
      <c r="Q4" s="3241"/>
      <c r="R4" s="3226" t="s">
        <v>2532</v>
      </c>
      <c r="S4" s="3227"/>
      <c r="T4" s="3226" t="s">
        <v>2533</v>
      </c>
      <c r="U4" s="3227"/>
      <c r="V4" s="3225" t="s">
        <v>2534</v>
      </c>
      <c r="W4" s="3225"/>
      <c r="X4" s="1802"/>
      <c r="Y4" s="3226" t="s">
        <v>2536</v>
      </c>
      <c r="Z4" s="3227"/>
      <c r="AA4" s="3232" t="s">
        <v>2532</v>
      </c>
      <c r="AB4" s="3232" t="s">
        <v>2533</v>
      </c>
      <c r="AC4" s="3232" t="s">
        <v>2534</v>
      </c>
    </row>
    <row r="5" spans="1:29" ht="15">
      <c r="A5" s="403"/>
      <c r="B5" s="404"/>
      <c r="C5" s="3246" t="s">
        <v>3279</v>
      </c>
      <c r="D5" s="3247"/>
      <c r="E5" s="3248" t="s">
        <v>3281</v>
      </c>
      <c r="F5" s="3249"/>
      <c r="G5" s="3246" t="s">
        <v>3283</v>
      </c>
      <c r="H5" s="3247"/>
      <c r="I5" s="3246" t="s">
        <v>3282</v>
      </c>
      <c r="J5" s="3247"/>
      <c r="K5" s="2584"/>
      <c r="L5" s="1129"/>
      <c r="M5" s="1130"/>
      <c r="N5" s="1130"/>
      <c r="O5" s="1130"/>
      <c r="P5" s="3242"/>
      <c r="Q5" s="3243"/>
      <c r="R5" s="3228"/>
      <c r="S5" s="3229"/>
      <c r="T5" s="3228"/>
      <c r="U5" s="3229"/>
      <c r="V5" s="3225"/>
      <c r="W5" s="3225"/>
      <c r="X5" s="1802"/>
      <c r="Y5" s="3228"/>
      <c r="Z5" s="3229"/>
      <c r="AA5" s="3233"/>
      <c r="AB5" s="3233"/>
      <c r="AC5" s="3233"/>
    </row>
    <row r="6" spans="1:29" ht="15.75" thickBot="1">
      <c r="A6" s="405"/>
      <c r="B6" s="406"/>
      <c r="C6" s="3250" t="s">
        <v>3280</v>
      </c>
      <c r="D6" s="3251"/>
      <c r="E6" s="3252" t="s">
        <v>3280</v>
      </c>
      <c r="F6" s="3253"/>
      <c r="G6" s="3252" t="s">
        <v>3280</v>
      </c>
      <c r="H6" s="3253"/>
      <c r="I6" s="3254" t="s">
        <v>2541</v>
      </c>
      <c r="J6" s="3251"/>
      <c r="K6" s="2584" t="s">
        <v>2542</v>
      </c>
      <c r="L6" s="1129"/>
      <c r="M6" s="1130"/>
      <c r="N6" s="1130"/>
      <c r="O6" s="1130"/>
      <c r="P6" s="3244"/>
      <c r="Q6" s="3245"/>
      <c r="R6" s="3228"/>
      <c r="S6" s="3229"/>
      <c r="T6" s="3230"/>
      <c r="U6" s="3231"/>
      <c r="V6" s="3225"/>
      <c r="W6" s="3225"/>
      <c r="X6" s="1802"/>
      <c r="Y6" s="3230"/>
      <c r="Z6" s="3231"/>
      <c r="AA6" s="3234"/>
      <c r="AB6" s="3234"/>
      <c r="AC6" s="3234"/>
    </row>
    <row r="7" spans="1:29" s="117" customFormat="1" ht="15.75" thickBot="1">
      <c r="A7" s="407" t="s">
        <v>2543</v>
      </c>
      <c r="B7" s="408"/>
      <c r="C7" s="409">
        <f>'数据-取费表'!B2</f>
        <v>43962</v>
      </c>
      <c r="D7" s="410">
        <v>100</v>
      </c>
      <c r="E7" s="411">
        <v>43922</v>
      </c>
      <c r="F7" s="412">
        <f>SUMIF(58:58,YEAR(E7)&amp;"-"&amp;MONTH(E7),59:59)</f>
        <v>100</v>
      </c>
      <c r="G7" s="411">
        <v>43952</v>
      </c>
      <c r="H7" s="410">
        <f>SUMIF(58:58,YEAR(G7)&amp;"-"&amp;MONTH(G7),59:59)</f>
        <v>100</v>
      </c>
      <c r="I7" s="411">
        <v>43922</v>
      </c>
      <c r="J7" s="410">
        <f>SUMIF(58:58,YEAR(I7)&amp;"-"&amp;MONTH(I7),59:59)</f>
        <v>100</v>
      </c>
      <c r="K7" s="2585"/>
      <c r="L7" s="1131"/>
      <c r="M7" s="1132"/>
      <c r="N7" s="1132"/>
      <c r="O7" s="1132"/>
      <c r="P7" s="3222" t="s">
        <v>2544</v>
      </c>
      <c r="Q7" s="3235"/>
      <c r="R7" s="769" t="s">
        <v>23</v>
      </c>
      <c r="S7" s="770">
        <f t="shared" ref="S7:S15" si="0">F7</f>
        <v>100</v>
      </c>
      <c r="T7" s="769" t="s">
        <v>23</v>
      </c>
      <c r="U7" s="770">
        <f t="shared" ref="U7:U15" si="1">H7</f>
        <v>100</v>
      </c>
      <c r="V7" s="769" t="s">
        <v>23</v>
      </c>
      <c r="W7" s="770">
        <f t="shared" ref="W7:W15" si="2">J7</f>
        <v>100</v>
      </c>
      <c r="X7" s="771"/>
      <c r="Y7" s="3222" t="s">
        <v>2544</v>
      </c>
      <c r="Z7" s="3223"/>
      <c r="AA7" s="772">
        <f>D7/F7</f>
        <v>1</v>
      </c>
      <c r="AB7" s="772">
        <f>D7/H7</f>
        <v>1</v>
      </c>
      <c r="AC7" s="772">
        <f>D7/J7</f>
        <v>1</v>
      </c>
    </row>
    <row r="8" spans="1:29" s="117" customFormat="1" ht="15.75" thickBot="1">
      <c r="A8" s="407" t="s">
        <v>2545</v>
      </c>
      <c r="B8" s="408"/>
      <c r="C8" s="413" t="s">
        <v>2546</v>
      </c>
      <c r="D8" s="410">
        <v>100</v>
      </c>
      <c r="E8" s="2586" t="s">
        <v>3224</v>
      </c>
      <c r="F8" s="412">
        <f>SUMIF(61:61,E8,62:62)-SUMIF(61:61,C8,62:62)+100</f>
        <v>100</v>
      </c>
      <c r="G8" s="2586" t="s">
        <v>3224</v>
      </c>
      <c r="H8" s="410">
        <f>SUMIF(61:61,G8,62:62)-SUMIF(61:61,C8,62:62)+100</f>
        <v>100</v>
      </c>
      <c r="I8" s="2586" t="s">
        <v>3224</v>
      </c>
      <c r="J8" s="410">
        <f>SUMIF(61:61,I8,62:62)-SUMIF(61:61,C8,62:62)+100</f>
        <v>100</v>
      </c>
      <c r="K8" s="2585"/>
      <c r="L8" s="1131"/>
      <c r="M8" s="1132"/>
      <c r="N8" s="1132"/>
      <c r="O8" s="1132"/>
      <c r="P8" s="3222" t="s">
        <v>2547</v>
      </c>
      <c r="Q8" s="3223"/>
      <c r="R8" s="769" t="s">
        <v>23</v>
      </c>
      <c r="S8" s="770">
        <f t="shared" si="0"/>
        <v>100</v>
      </c>
      <c r="T8" s="769" t="s">
        <v>23</v>
      </c>
      <c r="U8" s="770">
        <f t="shared" si="1"/>
        <v>100</v>
      </c>
      <c r="V8" s="769" t="s">
        <v>23</v>
      </c>
      <c r="W8" s="770">
        <f t="shared" si="2"/>
        <v>100</v>
      </c>
      <c r="X8" s="771"/>
      <c r="Y8" s="3222" t="s">
        <v>2547</v>
      </c>
      <c r="Z8" s="3223"/>
      <c r="AA8" s="772">
        <f t="shared" ref="AA8:AA19" si="3">D8/F8</f>
        <v>1</v>
      </c>
      <c r="AB8" s="772">
        <f t="shared" ref="AB8:AB19" si="4">D8/H8</f>
        <v>1</v>
      </c>
      <c r="AC8" s="772">
        <f t="shared" ref="AC8:AC19" si="5">D8/J8</f>
        <v>1</v>
      </c>
    </row>
    <row r="9" spans="1:29" s="117" customFormat="1">
      <c r="A9" s="414" t="s">
        <v>2548</v>
      </c>
      <c r="B9" s="71" t="s">
        <v>2549</v>
      </c>
      <c r="C9" s="2977" t="s">
        <v>3296</v>
      </c>
      <c r="D9" s="135">
        <v>100</v>
      </c>
      <c r="E9" s="416" t="s">
        <v>3267</v>
      </c>
      <c r="F9" s="417">
        <f>SUMIF(63:63,E9,64:64)-SUMIF(63:63,C9,64:64)+100</f>
        <v>100</v>
      </c>
      <c r="G9" s="416" t="s">
        <v>3267</v>
      </c>
      <c r="H9" s="135">
        <f>SUMIF(63:63,G9,64:64)-SUMIF(63:63,C9,64:64)+100</f>
        <v>100</v>
      </c>
      <c r="I9" s="416" t="s">
        <v>3267</v>
      </c>
      <c r="J9" s="135">
        <f>SUMIF(63:63,I9,64:64)-SUMIF(63:63,C9,64:64)+100</f>
        <v>100</v>
      </c>
      <c r="K9" s="2585"/>
      <c r="L9" s="1131"/>
      <c r="M9" s="1132"/>
      <c r="N9" s="1132"/>
      <c r="O9" s="1132"/>
      <c r="P9" s="3224" t="s">
        <v>2550</v>
      </c>
      <c r="Q9" s="1784" t="str">
        <f t="shared" ref="Q9:Q15" si="6">B9</f>
        <v>用途</v>
      </c>
      <c r="R9" s="769" t="s">
        <v>17</v>
      </c>
      <c r="S9" s="770">
        <f t="shared" si="0"/>
        <v>100</v>
      </c>
      <c r="T9" s="769" t="s">
        <v>17</v>
      </c>
      <c r="U9" s="770">
        <f t="shared" si="1"/>
        <v>100</v>
      </c>
      <c r="V9" s="769" t="s">
        <v>17</v>
      </c>
      <c r="W9" s="770">
        <f t="shared" si="2"/>
        <v>100</v>
      </c>
      <c r="X9" s="771"/>
      <c r="Y9" s="3055" t="s">
        <v>2551</v>
      </c>
      <c r="Z9" s="55" t="str">
        <f t="shared" ref="Z9:Z15" si="7">Q9</f>
        <v>用途</v>
      </c>
      <c r="AA9" s="772">
        <f t="shared" si="3"/>
        <v>1</v>
      </c>
      <c r="AB9" s="772">
        <f t="shared" si="4"/>
        <v>1</v>
      </c>
      <c r="AC9" s="772">
        <f t="shared" si="5"/>
        <v>1</v>
      </c>
    </row>
    <row r="10" spans="1:29" s="426" customFormat="1" ht="27">
      <c r="A10" s="420"/>
      <c r="B10" s="421" t="s">
        <v>2552</v>
      </c>
      <c r="C10" s="422" t="s">
        <v>3297</v>
      </c>
      <c r="D10" s="136">
        <v>100</v>
      </c>
      <c r="E10" s="423" t="s">
        <v>3297</v>
      </c>
      <c r="F10" s="424">
        <f>SUMIF(65:65,E10,66:66)-SUMIF(65:65,C10,66:66)+100</f>
        <v>100</v>
      </c>
      <c r="G10" s="423" t="s">
        <v>3297</v>
      </c>
      <c r="H10" s="136">
        <f>SUMIF(65:65,G10,66:66)-SUMIF(65:65,C10,66:66)+100</f>
        <v>100</v>
      </c>
      <c r="I10" s="423" t="s">
        <v>3297</v>
      </c>
      <c r="J10" s="136">
        <f>SUMIF(65:65,I10,66:66)-SUMIF(65:65,C10,66:66)+100</f>
        <v>100</v>
      </c>
      <c r="K10" s="425">
        <v>1</v>
      </c>
      <c r="L10" s="1134"/>
      <c r="M10" s="1135"/>
      <c r="N10" s="1135"/>
      <c r="O10" s="1135"/>
      <c r="P10" s="3224"/>
      <c r="Q10" s="1784"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75" thickBot="1">
      <c r="A11" s="427"/>
      <c r="B11" s="421" t="s">
        <v>2553</v>
      </c>
      <c r="C11" s="428">
        <f>'土地比较法-住宅、综合'!C11</f>
        <v>1.05</v>
      </c>
      <c r="D11" s="136">
        <v>100</v>
      </c>
      <c r="E11" s="429">
        <v>1.6</v>
      </c>
      <c r="F11" s="424">
        <f>LOOKUP(E11,68:68,69:69)-LOOKUP(C11,68:68,69:69)+100</f>
        <v>100</v>
      </c>
      <c r="G11" s="428">
        <v>1.6</v>
      </c>
      <c r="H11" s="136">
        <f>LOOKUP(G11,68:68,69:69)-LOOKUP(C11,68:68,69:69)+100</f>
        <v>100</v>
      </c>
      <c r="I11" s="428">
        <v>1.6</v>
      </c>
      <c r="J11" s="136">
        <f>LOOKUP(I11,68:68,69:69)-LOOKUP(C11,68:68,69:69)+100</f>
        <v>100</v>
      </c>
      <c r="K11" s="425">
        <v>2</v>
      </c>
      <c r="L11" s="1137"/>
      <c r="M11" s="1130"/>
      <c r="N11" s="1130"/>
      <c r="O11" s="1130"/>
      <c r="P11" s="3224"/>
      <c r="Q11" s="1784" t="str">
        <f t="shared" si="6"/>
        <v>容积率</v>
      </c>
      <c r="R11" s="769" t="s">
        <v>21</v>
      </c>
      <c r="S11" s="770">
        <f t="shared" si="0"/>
        <v>100</v>
      </c>
      <c r="T11" s="769" t="s">
        <v>21</v>
      </c>
      <c r="U11" s="770">
        <f t="shared" si="1"/>
        <v>100</v>
      </c>
      <c r="V11" s="769" t="s">
        <v>21</v>
      </c>
      <c r="W11" s="770">
        <f t="shared" si="2"/>
        <v>100</v>
      </c>
      <c r="X11" s="771"/>
      <c r="Y11" s="3055"/>
      <c r="Z11" s="55" t="str">
        <f t="shared" si="7"/>
        <v>容积率</v>
      </c>
      <c r="AA11" s="772">
        <f t="shared" si="3"/>
        <v>1</v>
      </c>
      <c r="AB11" s="772">
        <f t="shared" si="4"/>
        <v>1</v>
      </c>
      <c r="AC11" s="772">
        <f t="shared" si="5"/>
        <v>1</v>
      </c>
    </row>
    <row r="12" spans="1:29" s="117" customFormat="1" ht="15" hidden="1">
      <c r="A12" s="430"/>
      <c r="B12" s="2587">
        <v>111</v>
      </c>
      <c r="C12" s="431"/>
      <c r="D12" s="432">
        <v>100</v>
      </c>
      <c r="E12" s="431"/>
      <c r="F12" s="424">
        <f>SUMIF(70:70,E12,71:71)-SUMIF(70:70,C12,71:71)+100</f>
        <v>100</v>
      </c>
      <c r="G12" s="431"/>
      <c r="H12" s="136">
        <f>SUMIF(70:70,G12,71:71)-SUMIF(70:70,C12,71:71)+100</f>
        <v>100</v>
      </c>
      <c r="I12" s="431"/>
      <c r="J12" s="136">
        <f>SUMIF(70:70,I12,71:71)-SUMIF(70:70,C12,71:71)+100</f>
        <v>100</v>
      </c>
      <c r="K12" s="2588"/>
      <c r="L12" s="1131"/>
      <c r="M12" s="1132"/>
      <c r="N12" s="1132"/>
      <c r="O12" s="1132"/>
      <c r="P12" s="3224"/>
      <c r="Q12" s="1784">
        <f t="shared" si="6"/>
        <v>111</v>
      </c>
      <c r="R12" s="769" t="s">
        <v>21</v>
      </c>
      <c r="S12" s="770">
        <f t="shared" si="0"/>
        <v>100</v>
      </c>
      <c r="T12" s="769" t="s">
        <v>21</v>
      </c>
      <c r="U12" s="770">
        <f t="shared" si="1"/>
        <v>100</v>
      </c>
      <c r="V12" s="769" t="s">
        <v>21</v>
      </c>
      <c r="W12" s="770">
        <f t="shared" si="2"/>
        <v>100</v>
      </c>
      <c r="X12" s="771"/>
      <c r="Y12" s="3055"/>
      <c r="Z12" s="55">
        <f t="shared" si="7"/>
        <v>111</v>
      </c>
      <c r="AA12" s="772">
        <f>D12/F12</f>
        <v>1</v>
      </c>
      <c r="AB12" s="772">
        <f>D12/H12</f>
        <v>1</v>
      </c>
      <c r="AC12" s="772">
        <f>D12/J12</f>
        <v>1</v>
      </c>
    </row>
    <row r="13" spans="1:29" ht="15" hidden="1">
      <c r="A13" s="427"/>
      <c r="B13" s="2587">
        <v>111</v>
      </c>
      <c r="C13" s="433"/>
      <c r="D13" s="434">
        <v>100</v>
      </c>
      <c r="E13" s="433"/>
      <c r="F13" s="424">
        <f>SUMIF(72:72,E13,73:73)-SUMIF(72:72,C13,73:73)+100</f>
        <v>100</v>
      </c>
      <c r="G13" s="433"/>
      <c r="H13" s="434">
        <f>SUMIF(72:72,G13,73:73)-SUMIF(72:72,C13,73:73)+100</f>
        <v>100</v>
      </c>
      <c r="I13" s="433"/>
      <c r="J13" s="434">
        <f>SUMIF(72:72,I13,73:73)-SUMIF(72:72,C13,73:73)+100</f>
        <v>100</v>
      </c>
      <c r="K13" s="2588"/>
      <c r="L13" s="1139"/>
      <c r="M13" s="1130"/>
      <c r="N13" s="1130"/>
      <c r="O13" s="1130"/>
      <c r="P13" s="3224"/>
      <c r="Q13" s="1784">
        <f t="shared" si="6"/>
        <v>111</v>
      </c>
      <c r="R13" s="769" t="s">
        <v>21</v>
      </c>
      <c r="S13" s="770">
        <f t="shared" si="0"/>
        <v>100</v>
      </c>
      <c r="T13" s="769" t="s">
        <v>21</v>
      </c>
      <c r="U13" s="770">
        <f t="shared" si="1"/>
        <v>100</v>
      </c>
      <c r="V13" s="769" t="s">
        <v>21</v>
      </c>
      <c r="W13" s="770">
        <f t="shared" si="2"/>
        <v>100</v>
      </c>
      <c r="X13" s="771"/>
      <c r="Y13" s="3055"/>
      <c r="Z13" s="55">
        <f t="shared" si="7"/>
        <v>111</v>
      </c>
      <c r="AA13" s="772">
        <f t="shared" si="3"/>
        <v>1</v>
      </c>
      <c r="AB13" s="772">
        <f t="shared" si="4"/>
        <v>1</v>
      </c>
      <c r="AC13" s="772">
        <f t="shared" si="5"/>
        <v>1</v>
      </c>
    </row>
    <row r="14" spans="1:29" ht="15.75" hidden="1" thickBot="1">
      <c r="A14" s="435"/>
      <c r="B14" s="2589">
        <v>111</v>
      </c>
      <c r="C14" s="436"/>
      <c r="D14" s="437">
        <v>100</v>
      </c>
      <c r="E14" s="436"/>
      <c r="F14" s="438">
        <f>SUMIF(74:74,E14,75:75)-SUMIF(74:74,C14,75:75)+100</f>
        <v>100</v>
      </c>
      <c r="G14" s="436"/>
      <c r="H14" s="437">
        <f>SUMIF(74:74,G14,75:75)-SUMIF(74:74,C14,75:75)+100</f>
        <v>100</v>
      </c>
      <c r="I14" s="436"/>
      <c r="J14" s="437">
        <f>SUMIF(74:74,I14,75:75)-SUMIF(74:74,C14,75:75)+100</f>
        <v>100</v>
      </c>
      <c r="K14" s="2588"/>
      <c r="L14" s="1139"/>
      <c r="M14" s="1130"/>
      <c r="N14" s="1130"/>
      <c r="O14" s="1130"/>
      <c r="P14" s="3224"/>
      <c r="Q14" s="1784">
        <f t="shared" si="6"/>
        <v>111</v>
      </c>
      <c r="R14" s="769" t="s">
        <v>21</v>
      </c>
      <c r="S14" s="770">
        <f t="shared" si="0"/>
        <v>100</v>
      </c>
      <c r="T14" s="769" t="s">
        <v>21</v>
      </c>
      <c r="U14" s="770">
        <f t="shared" si="1"/>
        <v>100</v>
      </c>
      <c r="V14" s="769" t="s">
        <v>21</v>
      </c>
      <c r="W14" s="770">
        <f t="shared" si="2"/>
        <v>100</v>
      </c>
      <c r="X14" s="771"/>
      <c r="Y14" s="3055"/>
      <c r="Z14" s="55">
        <f t="shared" si="7"/>
        <v>111</v>
      </c>
      <c r="AA14" s="772">
        <f t="shared" si="3"/>
        <v>1</v>
      </c>
      <c r="AB14" s="772">
        <f t="shared" si="4"/>
        <v>1</v>
      </c>
      <c r="AC14" s="772">
        <f t="shared" si="5"/>
        <v>1</v>
      </c>
    </row>
    <row r="15" spans="1:29" ht="99.75">
      <c r="A15" s="439" t="s">
        <v>2554</v>
      </c>
      <c r="B15" s="69" t="s">
        <v>2081</v>
      </c>
      <c r="C15" s="2590"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9"/>
      <c r="M15" s="1130"/>
      <c r="N15" s="1130"/>
      <c r="O15" s="1130"/>
      <c r="P15" s="3213" t="s">
        <v>2555</v>
      </c>
      <c r="Q15" s="1799" t="str">
        <f t="shared" si="6"/>
        <v>居住社区成熟度</v>
      </c>
      <c r="R15" s="773" t="s">
        <v>21</v>
      </c>
      <c r="S15" s="774">
        <f t="shared" si="0"/>
        <v>100</v>
      </c>
      <c r="T15" s="773" t="s">
        <v>21</v>
      </c>
      <c r="U15" s="774">
        <f t="shared" si="1"/>
        <v>100</v>
      </c>
      <c r="V15" s="773" t="s">
        <v>21</v>
      </c>
      <c r="W15" s="774">
        <f t="shared" si="2"/>
        <v>100</v>
      </c>
      <c r="X15" s="1802"/>
      <c r="Y15" s="3215" t="s">
        <v>2555</v>
      </c>
      <c r="Z15" s="1803" t="str">
        <f t="shared" si="7"/>
        <v>居住社区成熟度</v>
      </c>
      <c r="AA15" s="1800">
        <f t="shared" si="3"/>
        <v>1</v>
      </c>
      <c r="AB15" s="1800">
        <f t="shared" si="4"/>
        <v>1</v>
      </c>
      <c r="AC15" s="1800">
        <f t="shared" si="5"/>
        <v>1</v>
      </c>
    </row>
    <row r="16" spans="1:29" ht="15">
      <c r="A16" s="427"/>
      <c r="B16" s="445"/>
      <c r="C16" s="446" t="s">
        <v>3252</v>
      </c>
      <c r="D16" s="447"/>
      <c r="E16" s="446" t="s">
        <v>3252</v>
      </c>
      <c r="F16" s="447"/>
      <c r="G16" s="446" t="s">
        <v>3252</v>
      </c>
      <c r="H16" s="449"/>
      <c r="I16" s="446" t="s">
        <v>3252</v>
      </c>
      <c r="J16" s="447"/>
      <c r="K16" s="2593"/>
      <c r="L16" s="1139"/>
      <c r="M16" s="1130"/>
      <c r="N16" s="1130"/>
      <c r="O16" s="1130"/>
      <c r="P16" s="3214"/>
      <c r="Q16" s="1799"/>
      <c r="R16" s="773"/>
      <c r="S16" s="774"/>
      <c r="T16" s="773"/>
      <c r="U16" s="774"/>
      <c r="V16" s="773"/>
      <c r="W16" s="774"/>
      <c r="X16" s="1802"/>
      <c r="Y16" s="3216"/>
      <c r="Z16" s="1803"/>
      <c r="AA16" s="1800">
        <v>1</v>
      </c>
      <c r="AB16" s="1800">
        <v>1</v>
      </c>
      <c r="AC16" s="1800">
        <v>1</v>
      </c>
    </row>
    <row r="17" spans="1:29" ht="85.5">
      <c r="A17" s="427"/>
      <c r="B17" s="450" t="s">
        <v>2093</v>
      </c>
      <c r="C17" s="2594"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9"/>
      <c r="M17" s="1130"/>
      <c r="N17" s="1130"/>
      <c r="O17" s="1130"/>
      <c r="P17" s="3214"/>
      <c r="Q17" s="1799" t="str">
        <f>B17</f>
        <v>交通便捷度</v>
      </c>
      <c r="R17" s="773" t="s">
        <v>21</v>
      </c>
      <c r="S17" s="774">
        <f>F17</f>
        <v>100</v>
      </c>
      <c r="T17" s="773" t="s">
        <v>21</v>
      </c>
      <c r="U17" s="774">
        <f>H17</f>
        <v>100</v>
      </c>
      <c r="V17" s="773" t="s">
        <v>21</v>
      </c>
      <c r="W17" s="774">
        <f>J17</f>
        <v>100</v>
      </c>
      <c r="X17" s="1802"/>
      <c r="Y17" s="3216"/>
      <c r="Z17" s="1803" t="str">
        <f>Q17</f>
        <v>交通便捷度</v>
      </c>
      <c r="AA17" s="1800">
        <f t="shared" si="3"/>
        <v>1</v>
      </c>
      <c r="AB17" s="1800">
        <f t="shared" si="4"/>
        <v>1</v>
      </c>
      <c r="AC17" s="1800">
        <f t="shared" si="5"/>
        <v>1</v>
      </c>
    </row>
    <row r="18" spans="1:29" ht="15">
      <c r="A18" s="427"/>
      <c r="B18" s="455"/>
      <c r="C18" s="446" t="s">
        <v>3252</v>
      </c>
      <c r="D18" s="449"/>
      <c r="E18" s="446" t="s">
        <v>3252</v>
      </c>
      <c r="F18" s="449"/>
      <c r="G18" s="446" t="s">
        <v>3252</v>
      </c>
      <c r="H18" s="447"/>
      <c r="I18" s="446" t="s">
        <v>3252</v>
      </c>
      <c r="J18" s="447"/>
      <c r="K18" s="2593"/>
      <c r="L18" s="1139"/>
      <c r="M18" s="1130"/>
      <c r="N18" s="1130"/>
      <c r="O18" s="1130"/>
      <c r="P18" s="3214"/>
      <c r="Q18" s="1799"/>
      <c r="R18" s="773"/>
      <c r="S18" s="774"/>
      <c r="T18" s="773"/>
      <c r="U18" s="774"/>
      <c r="V18" s="773"/>
      <c r="W18" s="774"/>
      <c r="X18" s="1802"/>
      <c r="Y18" s="3216"/>
      <c r="Z18" s="1803"/>
      <c r="AA18" s="1800">
        <v>1</v>
      </c>
      <c r="AB18" s="1800">
        <v>1</v>
      </c>
      <c r="AC18" s="1800">
        <v>1</v>
      </c>
    </row>
    <row r="19" spans="1:29" ht="42.75">
      <c r="A19" s="427"/>
      <c r="B19" s="450" t="s">
        <v>2091</v>
      </c>
      <c r="C19" s="2594"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9"/>
      <c r="M19" s="1130"/>
      <c r="N19" s="1130"/>
      <c r="O19" s="1130"/>
      <c r="P19" s="3214"/>
      <c r="Q19" s="1799" t="str">
        <f>B19</f>
        <v>公共配套设施</v>
      </c>
      <c r="R19" s="773" t="s">
        <v>21</v>
      </c>
      <c r="S19" s="774">
        <f>F19</f>
        <v>100</v>
      </c>
      <c r="T19" s="773" t="s">
        <v>21</v>
      </c>
      <c r="U19" s="774">
        <f>H19</f>
        <v>100</v>
      </c>
      <c r="V19" s="773" t="s">
        <v>21</v>
      </c>
      <c r="W19" s="774">
        <f>J19</f>
        <v>100</v>
      </c>
      <c r="X19" s="1802"/>
      <c r="Y19" s="3216"/>
      <c r="Z19" s="1803" t="str">
        <f>Q19</f>
        <v>公共配套设施</v>
      </c>
      <c r="AA19" s="1800">
        <f t="shared" si="3"/>
        <v>1</v>
      </c>
      <c r="AB19" s="1800">
        <f t="shared" si="4"/>
        <v>1</v>
      </c>
      <c r="AC19" s="1800">
        <f t="shared" si="5"/>
        <v>1</v>
      </c>
    </row>
    <row r="20" spans="1:29" ht="15">
      <c r="A20" s="427"/>
      <c r="B20" s="455"/>
      <c r="C20" s="446" t="s">
        <v>3253</v>
      </c>
      <c r="D20" s="447"/>
      <c r="E20" s="446" t="s">
        <v>3253</v>
      </c>
      <c r="F20" s="447"/>
      <c r="G20" s="446" t="s">
        <v>3253</v>
      </c>
      <c r="H20" s="447"/>
      <c r="I20" s="446" t="s">
        <v>3253</v>
      </c>
      <c r="J20" s="447"/>
      <c r="K20" s="2593"/>
      <c r="L20" s="1139"/>
      <c r="M20" s="1130"/>
      <c r="N20" s="1130"/>
      <c r="O20" s="1130"/>
      <c r="P20" s="3214"/>
      <c r="Q20" s="1799"/>
      <c r="R20" s="773"/>
      <c r="S20" s="774"/>
      <c r="T20" s="773"/>
      <c r="U20" s="774"/>
      <c r="V20" s="773"/>
      <c r="W20" s="774"/>
      <c r="X20" s="1802"/>
      <c r="Y20" s="3216"/>
      <c r="Z20" s="1803"/>
      <c r="AA20" s="1800">
        <v>1</v>
      </c>
      <c r="AB20" s="1800">
        <v>1</v>
      </c>
      <c r="AC20" s="1800">
        <v>1</v>
      </c>
    </row>
    <row r="21" spans="1:29" ht="28.5">
      <c r="A21" s="427"/>
      <c r="B21" s="1381" t="s">
        <v>2094</v>
      </c>
      <c r="C21" s="2594"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9"/>
      <c r="M21" s="1130"/>
      <c r="N21" s="1130"/>
      <c r="O21" s="1130"/>
      <c r="P21" s="3214"/>
      <c r="Q21" s="1799" t="str">
        <f>B21</f>
        <v>基础设施水平</v>
      </c>
      <c r="R21" s="773" t="s">
        <v>17</v>
      </c>
      <c r="S21" s="774">
        <f>F21</f>
        <v>100</v>
      </c>
      <c r="T21" s="773" t="s">
        <v>17</v>
      </c>
      <c r="U21" s="774">
        <f>H21</f>
        <v>100</v>
      </c>
      <c r="V21" s="773" t="s">
        <v>17</v>
      </c>
      <c r="W21" s="774">
        <f>J21</f>
        <v>100</v>
      </c>
      <c r="X21" s="1802"/>
      <c r="Y21" s="3216"/>
      <c r="Z21" s="1803" t="str">
        <f>Q21</f>
        <v>基础设施水平</v>
      </c>
      <c r="AA21" s="1800">
        <f t="shared" ref="AA21" si="8">D21/F21</f>
        <v>1</v>
      </c>
      <c r="AB21" s="1800">
        <f t="shared" ref="AB21" si="9">D21/H21</f>
        <v>1</v>
      </c>
      <c r="AC21" s="1800">
        <f t="shared" ref="AC21" si="10">D21/J21</f>
        <v>1</v>
      </c>
    </row>
    <row r="22" spans="1:29" ht="15">
      <c r="A22" s="427"/>
      <c r="B22" s="1381"/>
      <c r="C22" s="2595" t="s">
        <v>3239</v>
      </c>
      <c r="D22" s="447"/>
      <c r="E22" s="2595" t="s">
        <v>3239</v>
      </c>
      <c r="F22" s="447"/>
      <c r="G22" s="2595" t="s">
        <v>3239</v>
      </c>
      <c r="H22" s="447"/>
      <c r="I22" s="2595" t="s">
        <v>3239</v>
      </c>
      <c r="J22" s="447"/>
      <c r="K22" s="2599"/>
      <c r="L22" s="1139"/>
      <c r="M22" s="1130"/>
      <c r="N22" s="1130"/>
      <c r="O22" s="1130"/>
      <c r="P22" s="3214"/>
      <c r="Q22" s="1799"/>
      <c r="R22" s="773"/>
      <c r="S22" s="774"/>
      <c r="T22" s="773"/>
      <c r="U22" s="774"/>
      <c r="V22" s="773"/>
      <c r="W22" s="774"/>
      <c r="X22" s="1802"/>
      <c r="Y22" s="3216"/>
      <c r="Z22" s="1803"/>
      <c r="AA22" s="1800">
        <v>1</v>
      </c>
      <c r="AB22" s="1800">
        <v>1</v>
      </c>
      <c r="AC22" s="1800">
        <v>1</v>
      </c>
    </row>
    <row r="23" spans="1:29" ht="57">
      <c r="A23" s="427"/>
      <c r="B23" s="450" t="s">
        <v>2098</v>
      </c>
      <c r="C23" s="2594"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9"/>
      <c r="M23" s="1130"/>
      <c r="N23" s="1130"/>
      <c r="O23" s="1130"/>
      <c r="P23" s="3214"/>
      <c r="Q23" s="1799" t="str">
        <f>B23</f>
        <v>自然及人文环境</v>
      </c>
      <c r="R23" s="773" t="s">
        <v>21</v>
      </c>
      <c r="S23" s="774">
        <f>F23</f>
        <v>100</v>
      </c>
      <c r="T23" s="773" t="s">
        <v>21</v>
      </c>
      <c r="U23" s="774">
        <f>H23</f>
        <v>100</v>
      </c>
      <c r="V23" s="773" t="s">
        <v>21</v>
      </c>
      <c r="W23" s="774">
        <f>J23</f>
        <v>100</v>
      </c>
      <c r="X23" s="1802"/>
      <c r="Y23" s="3216"/>
      <c r="Z23" s="1803" t="str">
        <f>Q23</f>
        <v>自然及人文环境</v>
      </c>
      <c r="AA23" s="1800">
        <f>D23/F23</f>
        <v>1</v>
      </c>
      <c r="AB23" s="1800">
        <f>D23/H23</f>
        <v>1</v>
      </c>
      <c r="AC23" s="1800">
        <f>D23/J23</f>
        <v>1</v>
      </c>
    </row>
    <row r="24" spans="1:29" ht="15.75" thickBot="1">
      <c r="A24" s="427"/>
      <c r="B24" s="455"/>
      <c r="C24" s="446" t="s">
        <v>3251</v>
      </c>
      <c r="D24" s="447"/>
      <c r="E24" s="446" t="s">
        <v>3251</v>
      </c>
      <c r="F24" s="447"/>
      <c r="G24" s="446" t="s">
        <v>3251</v>
      </c>
      <c r="H24" s="447"/>
      <c r="I24" s="446" t="s">
        <v>3251</v>
      </c>
      <c r="J24" s="447"/>
      <c r="K24" s="2593"/>
      <c r="L24" s="1139"/>
      <c r="M24" s="1130"/>
      <c r="N24" s="1130"/>
      <c r="O24" s="1130"/>
      <c r="P24" s="3214"/>
      <c r="Q24" s="1799"/>
      <c r="R24" s="773"/>
      <c r="S24" s="774"/>
      <c r="T24" s="773"/>
      <c r="U24" s="774"/>
      <c r="V24" s="773"/>
      <c r="W24" s="774"/>
      <c r="X24" s="1802"/>
      <c r="Y24" s="3216"/>
      <c r="Z24" s="1803"/>
      <c r="AA24" s="1800">
        <v>1</v>
      </c>
      <c r="AB24" s="1800">
        <v>1</v>
      </c>
      <c r="AC24" s="1800">
        <v>1</v>
      </c>
    </row>
    <row r="25" spans="1:29" ht="15" hidden="1">
      <c r="A25" s="427"/>
      <c r="B25" s="421" t="s">
        <v>2556</v>
      </c>
      <c r="C25" s="459"/>
      <c r="D25" s="434">
        <v>100</v>
      </c>
      <c r="E25" s="2600"/>
      <c r="F25" s="434">
        <f>SUMIF(86:86,E25,87:87)-SUMIF(86:86,C25,87:87)+100</f>
        <v>100</v>
      </c>
      <c r="G25" s="2601"/>
      <c r="H25" s="434">
        <f>SUMIF(86:86,G25,87:87)-SUMIF(86:86,C25,87:87)+100</f>
        <v>100</v>
      </c>
      <c r="I25" s="2601"/>
      <c r="J25" s="434">
        <f>SUMIF(86:86,I25,87:87)-SUMIF(86:86,C25,87:87)+100</f>
        <v>100</v>
      </c>
      <c r="K25" s="425"/>
      <c r="L25" s="1139"/>
      <c r="M25" s="1130"/>
      <c r="N25" s="1130"/>
      <c r="O25" s="1130"/>
      <c r="P25" s="3214"/>
      <c r="Q25" s="1799" t="str">
        <f t="shared" ref="Q25:Q46" si="11">B25</f>
        <v>楼层-1</v>
      </c>
      <c r="R25" s="773" t="s">
        <v>21</v>
      </c>
      <c r="S25" s="774">
        <f t="shared" ref="S25:S46" si="12">F25</f>
        <v>100</v>
      </c>
      <c r="T25" s="773" t="s">
        <v>21</v>
      </c>
      <c r="U25" s="774">
        <f t="shared" ref="U25:U46" si="13">H25</f>
        <v>100</v>
      </c>
      <c r="V25" s="773" t="s">
        <v>21</v>
      </c>
      <c r="W25" s="774">
        <f t="shared" ref="W25:W46" si="14">J25</f>
        <v>100</v>
      </c>
      <c r="X25" s="1802"/>
      <c r="Y25" s="3216"/>
      <c r="Z25" s="1803" t="str">
        <f>Q25</f>
        <v>楼层-1</v>
      </c>
      <c r="AA25" s="1800">
        <f t="shared" ref="AA25:AA46" si="15">D25/F25</f>
        <v>1</v>
      </c>
      <c r="AB25" s="1800">
        <f t="shared" ref="AB25:AB46" si="16">D25/H25</f>
        <v>1</v>
      </c>
      <c r="AC25" s="1800">
        <f t="shared" ref="AC25:AC46" si="17">D25/J25</f>
        <v>1</v>
      </c>
    </row>
    <row r="26" spans="1:29" ht="15" hidden="1">
      <c r="A26" s="427"/>
      <c r="B26" s="421" t="s">
        <v>2557</v>
      </c>
      <c r="C26" s="459"/>
      <c r="D26" s="434">
        <v>100</v>
      </c>
      <c r="E26" s="2600"/>
      <c r="F26" s="434">
        <f>SUMIF(88:88,E26,89:89)-SUMIF(88:88,C26,89:89)+100</f>
        <v>100</v>
      </c>
      <c r="G26" s="2601"/>
      <c r="H26" s="434">
        <f>SUMIF(88:88,G26,89:89)-SUMIF(88:88,C26,89:89)+100</f>
        <v>100</v>
      </c>
      <c r="I26" s="2601"/>
      <c r="J26" s="434">
        <f>SUMIF(88:88,I26,89:89)-SUMIF(88:88,C26,89:89)+100</f>
        <v>100</v>
      </c>
      <c r="K26" s="425"/>
      <c r="L26" s="1139"/>
      <c r="M26" s="1130"/>
      <c r="N26" s="1130"/>
      <c r="O26" s="1130"/>
      <c r="P26" s="3214"/>
      <c r="Q26" s="1799" t="str">
        <f t="shared" si="11"/>
        <v>朝向</v>
      </c>
      <c r="R26" s="773" t="s">
        <v>21</v>
      </c>
      <c r="S26" s="774">
        <f t="shared" si="12"/>
        <v>100</v>
      </c>
      <c r="T26" s="773" t="s">
        <v>21</v>
      </c>
      <c r="U26" s="774">
        <f t="shared" si="13"/>
        <v>100</v>
      </c>
      <c r="V26" s="773" t="s">
        <v>21</v>
      </c>
      <c r="W26" s="774">
        <f t="shared" si="14"/>
        <v>100</v>
      </c>
      <c r="X26" s="1802"/>
      <c r="Y26" s="3216"/>
      <c r="Z26" s="1803" t="str">
        <f>Q26</f>
        <v>朝向</v>
      </c>
      <c r="AA26" s="1800">
        <f t="shared" si="15"/>
        <v>1</v>
      </c>
      <c r="AB26" s="1800">
        <f t="shared" si="16"/>
        <v>1</v>
      </c>
      <c r="AC26" s="1800">
        <f t="shared" si="17"/>
        <v>1</v>
      </c>
    </row>
    <row r="27" spans="1:29" s="117" customFormat="1" ht="15" hidden="1">
      <c r="A27" s="430"/>
      <c r="B27" s="1383">
        <v>111</v>
      </c>
      <c r="C27" s="431"/>
      <c r="D27" s="461">
        <v>100</v>
      </c>
      <c r="E27" s="464"/>
      <c r="F27" s="461">
        <f>SUMIF(90:90,E27,91:91)-SUMIF(90:90,C27,91:91)+100</f>
        <v>100</v>
      </c>
      <c r="G27" s="462"/>
      <c r="H27" s="461">
        <f>SUMIF(90:90,G27,91:91)-SUMIF(90:90,C27,91:91)+100</f>
        <v>100</v>
      </c>
      <c r="I27" s="462"/>
      <c r="J27" s="461">
        <f>SUMIF(90:90,I27,91:91)-SUMIF(90:90,C27,91:91)+100</f>
        <v>100</v>
      </c>
      <c r="K27" s="2588"/>
      <c r="L27" s="1131"/>
      <c r="M27" s="1132"/>
      <c r="N27" s="1132"/>
      <c r="O27" s="1132"/>
      <c r="P27" s="3214"/>
      <c r="Q27" s="1784">
        <f t="shared" si="11"/>
        <v>111</v>
      </c>
      <c r="R27" s="769" t="s">
        <v>21</v>
      </c>
      <c r="S27" s="770">
        <f t="shared" si="12"/>
        <v>100</v>
      </c>
      <c r="T27" s="769" t="s">
        <v>21</v>
      </c>
      <c r="U27" s="770">
        <f t="shared" si="13"/>
        <v>100</v>
      </c>
      <c r="V27" s="769" t="s">
        <v>21</v>
      </c>
      <c r="W27" s="770">
        <f t="shared" si="14"/>
        <v>100</v>
      </c>
      <c r="X27" s="771"/>
      <c r="Y27" s="3216"/>
      <c r="Z27" s="55">
        <f>Q27</f>
        <v>111</v>
      </c>
      <c r="AA27" s="1800">
        <f t="shared" si="15"/>
        <v>1</v>
      </c>
      <c r="AB27" s="1800">
        <f t="shared" si="16"/>
        <v>1</v>
      </c>
      <c r="AC27" s="1800">
        <f t="shared" si="17"/>
        <v>1</v>
      </c>
    </row>
    <row r="28" spans="1:29" ht="15" hidden="1">
      <c r="A28" s="427"/>
      <c r="B28" s="1383">
        <v>111</v>
      </c>
      <c r="C28" s="433"/>
      <c r="D28" s="434">
        <v>100</v>
      </c>
      <c r="E28" s="433"/>
      <c r="F28" s="434">
        <f>SUMIF(92:92,E28,93:93)-SUMIF(92:92,C28,93:93)+100</f>
        <v>100</v>
      </c>
      <c r="G28" s="2602"/>
      <c r="H28" s="434">
        <f>SUMIF(92:92,G28,93:93)-SUMIF(92:92,C28,93:93)+100</f>
        <v>100</v>
      </c>
      <c r="I28" s="433"/>
      <c r="J28" s="434">
        <f>SUMIF(92:92,I28,93:93)-SUMIF(92:92,C28,93:93)+100</f>
        <v>100</v>
      </c>
      <c r="K28" s="2588"/>
      <c r="L28" s="1139"/>
      <c r="M28" s="1130"/>
      <c r="N28" s="1130"/>
      <c r="O28" s="1130"/>
      <c r="P28" s="3214"/>
      <c r="Q28" s="1799">
        <f t="shared" si="11"/>
        <v>111</v>
      </c>
      <c r="R28" s="773" t="s">
        <v>21</v>
      </c>
      <c r="S28" s="774">
        <f t="shared" si="12"/>
        <v>100</v>
      </c>
      <c r="T28" s="773" t="s">
        <v>21</v>
      </c>
      <c r="U28" s="774">
        <f t="shared" si="13"/>
        <v>100</v>
      </c>
      <c r="V28" s="773" t="s">
        <v>21</v>
      </c>
      <c r="W28" s="774">
        <f t="shared" si="14"/>
        <v>100</v>
      </c>
      <c r="X28" s="1802"/>
      <c r="Y28" s="3216"/>
      <c r="Z28" s="1803">
        <f t="shared" ref="Z28:Z46" si="18">Q28</f>
        <v>111</v>
      </c>
      <c r="AA28" s="1800">
        <f t="shared" si="15"/>
        <v>1</v>
      </c>
      <c r="AB28" s="1800">
        <f t="shared" si="16"/>
        <v>1</v>
      </c>
      <c r="AC28" s="1800">
        <f t="shared" si="17"/>
        <v>1</v>
      </c>
    </row>
    <row r="29" spans="1:29" ht="15" hidden="1">
      <c r="A29" s="427"/>
      <c r="B29" s="1383">
        <v>111</v>
      </c>
      <c r="C29" s="433"/>
      <c r="D29" s="434">
        <v>100</v>
      </c>
      <c r="E29" s="433"/>
      <c r="F29" s="434">
        <f>SUMIF(94:94,E29,95:95)-SUMIF(94:94,C29,95:95)+100</f>
        <v>100</v>
      </c>
      <c r="G29" s="2602"/>
      <c r="H29" s="434">
        <f>SUMIF(94:94,G29,95:95)-SUMIF(94:94,C29,95:95)+100</f>
        <v>100</v>
      </c>
      <c r="I29" s="433"/>
      <c r="J29" s="434">
        <f>SUMIF(94:94,I29,95:95)-SUMIF(94:94,C29,95:95)+100</f>
        <v>100</v>
      </c>
      <c r="K29" s="2588"/>
      <c r="L29" s="1139"/>
      <c r="M29" s="1130"/>
      <c r="N29" s="1130"/>
      <c r="O29" s="1130"/>
      <c r="P29" s="3214"/>
      <c r="Q29" s="1799">
        <f t="shared" si="11"/>
        <v>111</v>
      </c>
      <c r="R29" s="773" t="s">
        <v>21</v>
      </c>
      <c r="S29" s="774">
        <f t="shared" si="12"/>
        <v>100</v>
      </c>
      <c r="T29" s="773" t="s">
        <v>21</v>
      </c>
      <c r="U29" s="774">
        <f t="shared" si="13"/>
        <v>100</v>
      </c>
      <c r="V29" s="773" t="s">
        <v>21</v>
      </c>
      <c r="W29" s="774">
        <f t="shared" si="14"/>
        <v>100</v>
      </c>
      <c r="X29" s="1802"/>
      <c r="Y29" s="3216"/>
      <c r="Z29" s="1803">
        <f t="shared" si="18"/>
        <v>111</v>
      </c>
      <c r="AA29" s="1800">
        <f t="shared" si="15"/>
        <v>1</v>
      </c>
      <c r="AB29" s="1800">
        <f t="shared" si="16"/>
        <v>1</v>
      </c>
      <c r="AC29" s="1800">
        <f t="shared" si="17"/>
        <v>1</v>
      </c>
    </row>
    <row r="30" spans="1:29" ht="15" hidden="1">
      <c r="A30" s="427"/>
      <c r="B30" s="1383">
        <v>111</v>
      </c>
      <c r="C30" s="433"/>
      <c r="D30" s="434">
        <v>100</v>
      </c>
      <c r="E30" s="433"/>
      <c r="F30" s="434">
        <f>SUMIF(96:96,E30,97:97)-SUMIF(96:96,C30,97:97)+100</f>
        <v>100</v>
      </c>
      <c r="G30" s="2602"/>
      <c r="H30" s="434">
        <f>SUMIF(96:96,G30,97:97)-SUMIF(96:96,C30,97:97)+100</f>
        <v>100</v>
      </c>
      <c r="I30" s="433"/>
      <c r="J30" s="434">
        <f>SUMIF(96:96,I30,97:97)-SUMIF(96:96,C30,97:97)+100</f>
        <v>100</v>
      </c>
      <c r="K30" s="2588"/>
      <c r="L30" s="1139"/>
      <c r="M30" s="1130"/>
      <c r="N30" s="1130"/>
      <c r="O30" s="1130"/>
      <c r="P30" s="3214"/>
      <c r="Q30" s="1799">
        <f t="shared" si="11"/>
        <v>111</v>
      </c>
      <c r="R30" s="773" t="s">
        <v>21</v>
      </c>
      <c r="S30" s="774">
        <f t="shared" si="12"/>
        <v>100</v>
      </c>
      <c r="T30" s="773" t="s">
        <v>21</v>
      </c>
      <c r="U30" s="774">
        <f t="shared" si="13"/>
        <v>100</v>
      </c>
      <c r="V30" s="773" t="s">
        <v>21</v>
      </c>
      <c r="W30" s="774">
        <f t="shared" si="14"/>
        <v>100</v>
      </c>
      <c r="X30" s="1802"/>
      <c r="Y30" s="3216"/>
      <c r="Z30" s="1803">
        <f t="shared" si="18"/>
        <v>111</v>
      </c>
      <c r="AA30" s="1800">
        <f t="shared" si="15"/>
        <v>1</v>
      </c>
      <c r="AB30" s="1800">
        <f t="shared" si="16"/>
        <v>1</v>
      </c>
      <c r="AC30" s="1800">
        <f t="shared" si="17"/>
        <v>1</v>
      </c>
    </row>
    <row r="31" spans="1:29" ht="15.75" hidden="1" thickBot="1">
      <c r="A31" s="435"/>
      <c r="B31" s="1383">
        <v>111</v>
      </c>
      <c r="C31" s="436"/>
      <c r="D31" s="437">
        <v>100</v>
      </c>
      <c r="E31" s="436"/>
      <c r="F31" s="437">
        <f>SUMIF(98:98,E31,99:99)-SUMIF(98:98,C31,99:99)+100</f>
        <v>100</v>
      </c>
      <c r="G31" s="2603"/>
      <c r="H31" s="437">
        <f>SUMIF(98:98,G31,99:99)-SUMIF(98:98,C31,99:99)+100</f>
        <v>100</v>
      </c>
      <c r="I31" s="436"/>
      <c r="J31" s="437">
        <f>SUMIF(98:98,I31,99:99)-SUMIF(98:98,C31,99:99)+100</f>
        <v>100</v>
      </c>
      <c r="K31" s="2588"/>
      <c r="L31" s="1139"/>
      <c r="M31" s="1130"/>
      <c r="N31" s="1130"/>
      <c r="O31" s="1130"/>
      <c r="P31" s="3214"/>
      <c r="Q31" s="1799">
        <f t="shared" si="11"/>
        <v>111</v>
      </c>
      <c r="R31" s="773" t="s">
        <v>21</v>
      </c>
      <c r="S31" s="774">
        <f t="shared" si="12"/>
        <v>100</v>
      </c>
      <c r="T31" s="773" t="s">
        <v>21</v>
      </c>
      <c r="U31" s="774">
        <f t="shared" si="13"/>
        <v>100</v>
      </c>
      <c r="V31" s="773" t="s">
        <v>21</v>
      </c>
      <c r="W31" s="774">
        <f t="shared" si="14"/>
        <v>100</v>
      </c>
      <c r="X31" s="1802"/>
      <c r="Y31" s="3216"/>
      <c r="Z31" s="1803">
        <f t="shared" si="18"/>
        <v>111</v>
      </c>
      <c r="AA31" s="1800">
        <f t="shared" si="15"/>
        <v>1</v>
      </c>
      <c r="AB31" s="1800">
        <f t="shared" si="16"/>
        <v>1</v>
      </c>
      <c r="AC31" s="1800">
        <f t="shared" si="17"/>
        <v>1</v>
      </c>
    </row>
    <row r="32" spans="1:29" ht="15">
      <c r="A32" s="439" t="s">
        <v>2558</v>
      </c>
      <c r="B32" s="71" t="s">
        <v>2559</v>
      </c>
      <c r="C32" s="2604" t="s">
        <v>3310</v>
      </c>
      <c r="D32" s="466">
        <v>100</v>
      </c>
      <c r="E32" s="2604" t="s">
        <v>3268</v>
      </c>
      <c r="F32" s="460">
        <f>SUMIF(100:100,E32,101:101)-SUMIF(100:100,C32,101:101)+100</f>
        <v>95</v>
      </c>
      <c r="G32" s="2604" t="s">
        <v>3268</v>
      </c>
      <c r="H32" s="466">
        <f>SUMIF(100:100,G32,101:101)-SUMIF(100:100,C32,101:101)+100</f>
        <v>95</v>
      </c>
      <c r="I32" s="2604" t="s">
        <v>3268</v>
      </c>
      <c r="J32" s="434">
        <f>SUMIF(100:100,I32,101:101)-SUMIF(100:100,C32,101:101)+100</f>
        <v>95</v>
      </c>
      <c r="K32" s="425">
        <v>5</v>
      </c>
      <c r="L32" s="1139"/>
      <c r="M32" s="1130"/>
      <c r="N32" s="1130"/>
      <c r="O32" s="1130"/>
      <c r="P32" s="3217" t="s">
        <v>2560</v>
      </c>
      <c r="Q32" s="1799" t="str">
        <f t="shared" si="11"/>
        <v>建筑类型</v>
      </c>
      <c r="R32" s="773" t="s">
        <v>21</v>
      </c>
      <c r="S32" s="774">
        <f t="shared" si="12"/>
        <v>95</v>
      </c>
      <c r="T32" s="773" t="s">
        <v>21</v>
      </c>
      <c r="U32" s="774">
        <f t="shared" si="13"/>
        <v>95</v>
      </c>
      <c r="V32" s="773" t="s">
        <v>21</v>
      </c>
      <c r="W32" s="774">
        <f t="shared" si="14"/>
        <v>95</v>
      </c>
      <c r="X32" s="1802"/>
      <c r="Y32" s="3220" t="s">
        <v>2560</v>
      </c>
      <c r="Z32" s="1803" t="str">
        <f t="shared" si="18"/>
        <v>建筑类型</v>
      </c>
      <c r="AA32" s="1800">
        <f t="shared" si="15"/>
        <v>1.0526315789473684</v>
      </c>
      <c r="AB32" s="1800">
        <f t="shared" si="16"/>
        <v>1.0526315789473684</v>
      </c>
      <c r="AC32" s="1800">
        <f t="shared" si="17"/>
        <v>1.0526315789473684</v>
      </c>
    </row>
    <row r="33" spans="1:29" s="470" customFormat="1" ht="15">
      <c r="A33" s="467"/>
      <c r="B33" s="421" t="s">
        <v>2561</v>
      </c>
      <c r="C33" s="468">
        <f>'数据-基础表'!B3</f>
        <v>46712.319999999992</v>
      </c>
      <c r="D33" s="136">
        <v>100</v>
      </c>
      <c r="E33" s="429">
        <v>160000</v>
      </c>
      <c r="F33" s="424">
        <f>LOOKUP(E33,103:103,104:104)-LOOKUP(C33,103:103,104:104)+100</f>
        <v>101.5</v>
      </c>
      <c r="G33" s="428">
        <v>76560.03</v>
      </c>
      <c r="H33" s="136">
        <f>LOOKUP(G33,103:103,104:104)-LOOKUP(C33,103:103,104:104)+100</f>
        <v>100.5</v>
      </c>
      <c r="I33" s="429">
        <v>210500</v>
      </c>
      <c r="J33" s="136">
        <f>LOOKUP(I33,103:103,104:104)-LOOKUP(C33,103:103,104:104)+100</f>
        <v>102</v>
      </c>
      <c r="K33" s="2588"/>
      <c r="L33" s="1137"/>
      <c r="M33" s="1140"/>
      <c r="N33" s="1140"/>
      <c r="O33" s="1140"/>
      <c r="P33" s="3218"/>
      <c r="Q33" s="775" t="str">
        <f t="shared" si="11"/>
        <v>项目建筑规模</v>
      </c>
      <c r="R33" s="776" t="s">
        <v>21</v>
      </c>
      <c r="S33" s="777">
        <f t="shared" si="12"/>
        <v>101.5</v>
      </c>
      <c r="T33" s="776" t="s">
        <v>21</v>
      </c>
      <c r="U33" s="777">
        <f t="shared" si="13"/>
        <v>100.5</v>
      </c>
      <c r="V33" s="776" t="s">
        <v>21</v>
      </c>
      <c r="W33" s="777">
        <f t="shared" si="14"/>
        <v>102</v>
      </c>
      <c r="X33" s="778"/>
      <c r="Y33" s="3220"/>
      <c r="Z33" s="779" t="str">
        <f t="shared" si="18"/>
        <v>项目建筑规模</v>
      </c>
      <c r="AA33" s="1800">
        <f t="shared" si="15"/>
        <v>0.98522167487684731</v>
      </c>
      <c r="AB33" s="1800">
        <f t="shared" si="16"/>
        <v>0.99502487562189057</v>
      </c>
      <c r="AC33" s="1800">
        <f t="shared" si="17"/>
        <v>0.98039215686274506</v>
      </c>
    </row>
    <row r="34" spans="1:29" ht="15">
      <c r="A34" s="471"/>
      <c r="B34" s="421" t="s">
        <v>2562</v>
      </c>
      <c r="C34" s="2605" t="s">
        <v>3076</v>
      </c>
      <c r="D34" s="434">
        <v>100</v>
      </c>
      <c r="E34" s="2605" t="s">
        <v>3076</v>
      </c>
      <c r="F34" s="460">
        <f>SUMIF(105:105,E34,106:106)-SUMIF(105:105,C34,106:106)+100</f>
        <v>100</v>
      </c>
      <c r="G34" s="2605" t="s">
        <v>3076</v>
      </c>
      <c r="H34" s="434">
        <f>SUMIF(105:105,G34,106:106)-SUMIF(105:105,C34,106:106)+100</f>
        <v>100</v>
      </c>
      <c r="I34" s="2605" t="s">
        <v>3076</v>
      </c>
      <c r="J34" s="434">
        <f>SUMIF(105:105,I34,106:106)-SUMIF(105:105,C34,106:106)+100</f>
        <v>100</v>
      </c>
      <c r="K34" s="425">
        <v>2</v>
      </c>
      <c r="L34" s="1139"/>
      <c r="M34" s="1130"/>
      <c r="N34" s="1130"/>
      <c r="O34" s="1130"/>
      <c r="P34" s="3218"/>
      <c r="Q34" s="1799" t="str">
        <f t="shared" si="11"/>
        <v>建筑结构</v>
      </c>
      <c r="R34" s="773" t="s">
        <v>21</v>
      </c>
      <c r="S34" s="774">
        <f t="shared" si="12"/>
        <v>100</v>
      </c>
      <c r="T34" s="773" t="s">
        <v>21</v>
      </c>
      <c r="U34" s="774">
        <f t="shared" si="13"/>
        <v>100</v>
      </c>
      <c r="V34" s="773" t="s">
        <v>21</v>
      </c>
      <c r="W34" s="774">
        <f t="shared" si="14"/>
        <v>100</v>
      </c>
      <c r="X34" s="1802"/>
      <c r="Y34" s="3220"/>
      <c r="Z34" s="1803" t="str">
        <f t="shared" si="18"/>
        <v>建筑结构</v>
      </c>
      <c r="AA34" s="1800">
        <f t="shared" si="15"/>
        <v>1</v>
      </c>
      <c r="AB34" s="1800">
        <f t="shared" si="16"/>
        <v>1</v>
      </c>
      <c r="AC34" s="1800">
        <f t="shared" si="17"/>
        <v>1</v>
      </c>
    </row>
    <row r="35" spans="1:29" ht="15">
      <c r="A35" s="471"/>
      <c r="B35" s="421" t="s">
        <v>2563</v>
      </c>
      <c r="C35" s="2600" t="s">
        <v>3251</v>
      </c>
      <c r="D35" s="434">
        <v>100</v>
      </c>
      <c r="E35" s="2600" t="s">
        <v>3251</v>
      </c>
      <c r="F35" s="460">
        <f>SUMIF(107:107,E35,108:108)-SUMIF(107:107,C35,108:108)+100</f>
        <v>100</v>
      </c>
      <c r="G35" s="2600" t="s">
        <v>3251</v>
      </c>
      <c r="H35" s="434">
        <f>SUMIF(107:107,G35,108:108)-SUMIF(107:107,C35,108:108)+100</f>
        <v>100</v>
      </c>
      <c r="I35" s="2600" t="s">
        <v>3251</v>
      </c>
      <c r="J35" s="434">
        <f>SUMIF(107:107,I35,108:108)-SUMIF(107:107,C35,108:108)+100</f>
        <v>100</v>
      </c>
      <c r="K35" s="425">
        <v>2</v>
      </c>
      <c r="L35" s="1139"/>
      <c r="M35" s="1130"/>
      <c r="N35" s="1130"/>
      <c r="O35" s="1130"/>
      <c r="P35" s="3218"/>
      <c r="Q35" s="1799" t="str">
        <f t="shared" si="11"/>
        <v>建筑品质</v>
      </c>
      <c r="R35" s="773" t="s">
        <v>21</v>
      </c>
      <c r="S35" s="774">
        <f t="shared" si="12"/>
        <v>100</v>
      </c>
      <c r="T35" s="773" t="s">
        <v>21</v>
      </c>
      <c r="U35" s="774">
        <f t="shared" si="13"/>
        <v>100</v>
      </c>
      <c r="V35" s="773" t="s">
        <v>21</v>
      </c>
      <c r="W35" s="774">
        <f t="shared" si="14"/>
        <v>100</v>
      </c>
      <c r="X35" s="1802"/>
      <c r="Y35" s="3220"/>
      <c r="Z35" s="1803" t="str">
        <f t="shared" si="18"/>
        <v>建筑品质</v>
      </c>
      <c r="AA35" s="1800">
        <f t="shared" si="15"/>
        <v>1</v>
      </c>
      <c r="AB35" s="1800">
        <f t="shared" si="16"/>
        <v>1</v>
      </c>
      <c r="AC35" s="1800">
        <f t="shared" si="17"/>
        <v>1</v>
      </c>
    </row>
    <row r="36" spans="1:29" ht="15">
      <c r="A36" s="471"/>
      <c r="B36" s="421" t="s">
        <v>2564</v>
      </c>
      <c r="C36" s="2600" t="s">
        <v>3290</v>
      </c>
      <c r="D36" s="434">
        <v>100</v>
      </c>
      <c r="E36" s="2600" t="s">
        <v>3290</v>
      </c>
      <c r="F36" s="460">
        <f>SUMIF(109:109,E36,110:110)-SUMIF(109:109,C36,110:110)+100</f>
        <v>100</v>
      </c>
      <c r="G36" s="2600" t="s">
        <v>3290</v>
      </c>
      <c r="H36" s="434">
        <f>SUMIF(109:109,G36,110:110)-SUMIF(109:109,C36,110:110)+100</f>
        <v>100</v>
      </c>
      <c r="I36" s="2600" t="s">
        <v>3290</v>
      </c>
      <c r="J36" s="434">
        <f>SUMIF(109:109,I36,110:110)-SUMIF(109:109,C36,110:110)+100</f>
        <v>100</v>
      </c>
      <c r="K36" s="425">
        <v>1.5</v>
      </c>
      <c r="L36" s="1139"/>
      <c r="M36" s="1130"/>
      <c r="N36" s="1130"/>
      <c r="O36" s="1130"/>
      <c r="P36" s="3218"/>
      <c r="Q36" s="1799" t="str">
        <f t="shared" si="11"/>
        <v>公共部分装修</v>
      </c>
      <c r="R36" s="773" t="s">
        <v>21</v>
      </c>
      <c r="S36" s="774">
        <f t="shared" si="12"/>
        <v>100</v>
      </c>
      <c r="T36" s="773" t="s">
        <v>21</v>
      </c>
      <c r="U36" s="774">
        <f t="shared" si="13"/>
        <v>100</v>
      </c>
      <c r="V36" s="773" t="s">
        <v>21</v>
      </c>
      <c r="W36" s="774">
        <f t="shared" si="14"/>
        <v>100</v>
      </c>
      <c r="X36" s="1802"/>
      <c r="Y36" s="3220"/>
      <c r="Z36" s="1803" t="str">
        <f t="shared" si="18"/>
        <v>公共部分装修</v>
      </c>
      <c r="AA36" s="1800">
        <f t="shared" si="15"/>
        <v>1</v>
      </c>
      <c r="AB36" s="1800">
        <f t="shared" si="16"/>
        <v>1</v>
      </c>
      <c r="AC36" s="1800">
        <f t="shared" si="17"/>
        <v>1</v>
      </c>
    </row>
    <row r="37" spans="1:29" s="117" customFormat="1" ht="15">
      <c r="A37" s="472"/>
      <c r="B37" s="421" t="s">
        <v>2565</v>
      </c>
      <c r="C37" s="473">
        <v>1</v>
      </c>
      <c r="D37" s="136">
        <v>100</v>
      </c>
      <c r="E37" s="473">
        <v>1</v>
      </c>
      <c r="F37" s="424">
        <f>LOOKUP(E37,112:112,113:113)-LOOKUP(C37,112:112,113:113)+100</f>
        <v>100</v>
      </c>
      <c r="G37" s="473">
        <v>1</v>
      </c>
      <c r="H37" s="136">
        <f>LOOKUP(G37,112:112,113:113)-LOOKUP(C37,112:112,113:113)+100</f>
        <v>100</v>
      </c>
      <c r="I37" s="473">
        <v>1</v>
      </c>
      <c r="J37" s="136">
        <f>LOOKUP(I37,112:112,113:113)-LOOKUP(C37,112:112,113:113)+100</f>
        <v>100</v>
      </c>
      <c r="K37" s="425">
        <v>1</v>
      </c>
      <c r="L37" s="1131"/>
      <c r="M37" s="1132"/>
      <c r="N37" s="1132"/>
      <c r="O37" s="1132"/>
      <c r="P37" s="3218"/>
      <c r="Q37" s="1784" t="str">
        <f t="shared" si="11"/>
        <v>成新度</v>
      </c>
      <c r="R37" s="769" t="s">
        <v>21</v>
      </c>
      <c r="S37" s="770">
        <f t="shared" si="12"/>
        <v>100</v>
      </c>
      <c r="T37" s="769" t="s">
        <v>21</v>
      </c>
      <c r="U37" s="770">
        <f t="shared" si="13"/>
        <v>100</v>
      </c>
      <c r="V37" s="769" t="s">
        <v>21</v>
      </c>
      <c r="W37" s="770">
        <f t="shared" si="14"/>
        <v>100</v>
      </c>
      <c r="X37" s="771"/>
      <c r="Y37" s="3220"/>
      <c r="Z37" s="55" t="str">
        <f t="shared" si="18"/>
        <v>成新度</v>
      </c>
      <c r="AA37" s="772">
        <f t="shared" si="15"/>
        <v>1</v>
      </c>
      <c r="AB37" s="772">
        <f t="shared" si="16"/>
        <v>1</v>
      </c>
      <c r="AC37" s="772">
        <f t="shared" si="17"/>
        <v>1</v>
      </c>
    </row>
    <row r="38" spans="1:29" ht="15">
      <c r="A38" s="471"/>
      <c r="B38" s="421" t="s">
        <v>2566</v>
      </c>
      <c r="C38" s="2600" t="s">
        <v>3251</v>
      </c>
      <c r="D38" s="434">
        <v>100</v>
      </c>
      <c r="E38" s="2600" t="s">
        <v>3251</v>
      </c>
      <c r="F38" s="460">
        <f>SUMIF(114:114,E38,115:115)-SUMIF(114:114,C38,115:115)+100</f>
        <v>100</v>
      </c>
      <c r="G38" s="2600" t="s">
        <v>3251</v>
      </c>
      <c r="H38" s="434">
        <f>SUMIF(114:114,G38,115:115)-SUMIF(114:114,C38,115:115)+100</f>
        <v>100</v>
      </c>
      <c r="I38" s="2600" t="s">
        <v>3251</v>
      </c>
      <c r="J38" s="434">
        <f>SUMIF(114:114,I38,115:115)-SUMIF(114:114,C38,115:115)+100</f>
        <v>100</v>
      </c>
      <c r="K38" s="425">
        <v>1</v>
      </c>
      <c r="L38" s="1139"/>
      <c r="M38" s="1130"/>
      <c r="N38" s="1130"/>
      <c r="O38" s="1130"/>
      <c r="P38" s="3218" t="s">
        <v>2560</v>
      </c>
      <c r="Q38" s="1799" t="str">
        <f t="shared" si="11"/>
        <v>物业管理</v>
      </c>
      <c r="R38" s="773" t="s">
        <v>21</v>
      </c>
      <c r="S38" s="774">
        <f t="shared" si="12"/>
        <v>100</v>
      </c>
      <c r="T38" s="773" t="s">
        <v>21</v>
      </c>
      <c r="U38" s="774">
        <f t="shared" si="13"/>
        <v>100</v>
      </c>
      <c r="V38" s="773" t="s">
        <v>21</v>
      </c>
      <c r="W38" s="774">
        <f t="shared" si="14"/>
        <v>100</v>
      </c>
      <c r="X38" s="1802"/>
      <c r="Y38" s="3220" t="s">
        <v>2560</v>
      </c>
      <c r="Z38" s="1803" t="str">
        <f t="shared" si="18"/>
        <v>物业管理</v>
      </c>
      <c r="AA38" s="1800">
        <f t="shared" si="15"/>
        <v>1</v>
      </c>
      <c r="AB38" s="1800">
        <f t="shared" si="16"/>
        <v>1</v>
      </c>
      <c r="AC38" s="1800">
        <f t="shared" si="17"/>
        <v>1</v>
      </c>
    </row>
    <row r="39" spans="1:29" ht="15">
      <c r="A39" s="471"/>
      <c r="B39" s="421" t="s">
        <v>2567</v>
      </c>
      <c r="C39" s="2600" t="s">
        <v>3239</v>
      </c>
      <c r="D39" s="434">
        <v>100</v>
      </c>
      <c r="E39" s="2600" t="s">
        <v>3239</v>
      </c>
      <c r="F39" s="460">
        <f>SUMIF(116:116,E39,117:117)-SUMIF(116:116,C39,117:117)+100</f>
        <v>100</v>
      </c>
      <c r="G39" s="2600" t="s">
        <v>3239</v>
      </c>
      <c r="H39" s="434">
        <f>SUMIF(116:116,G39,117:117)-SUMIF(116:116,C39,117:117)+100</f>
        <v>100</v>
      </c>
      <c r="I39" s="2600" t="s">
        <v>3239</v>
      </c>
      <c r="J39" s="434">
        <f>SUMIF(116:116,I39,117:117)-SUMIF(116:116,C39,117:117)+100</f>
        <v>100</v>
      </c>
      <c r="K39" s="425">
        <v>1</v>
      </c>
      <c r="L39" s="1139"/>
      <c r="M39" s="1130"/>
      <c r="N39" s="1130"/>
      <c r="O39" s="1130"/>
      <c r="P39" s="3218"/>
      <c r="Q39" s="1799" t="str">
        <f t="shared" si="11"/>
        <v>市政基础设施</v>
      </c>
      <c r="R39" s="773" t="s">
        <v>21</v>
      </c>
      <c r="S39" s="774">
        <f t="shared" si="12"/>
        <v>100</v>
      </c>
      <c r="T39" s="773" t="s">
        <v>21</v>
      </c>
      <c r="U39" s="774">
        <f t="shared" si="13"/>
        <v>100</v>
      </c>
      <c r="V39" s="773" t="s">
        <v>21</v>
      </c>
      <c r="W39" s="774">
        <f t="shared" si="14"/>
        <v>100</v>
      </c>
      <c r="X39" s="1802"/>
      <c r="Y39" s="3220"/>
      <c r="Z39" s="1803" t="str">
        <f t="shared" si="18"/>
        <v>市政基础设施</v>
      </c>
      <c r="AA39" s="1800">
        <f t="shared" si="15"/>
        <v>1</v>
      </c>
      <c r="AB39" s="1800">
        <f t="shared" si="16"/>
        <v>1</v>
      </c>
      <c r="AC39" s="1800">
        <f t="shared" si="17"/>
        <v>1</v>
      </c>
    </row>
    <row r="40" spans="1:29" ht="15" hidden="1">
      <c r="A40" s="471"/>
      <c r="B40" s="421" t="s">
        <v>2568</v>
      </c>
      <c r="C40" s="2600"/>
      <c r="D40" s="434">
        <v>100</v>
      </c>
      <c r="E40" s="2600"/>
      <c r="F40" s="460">
        <f>SUMIF(118:118,E40,119:119)-SUMIF(118:118,C40,119:119)+100</f>
        <v>100</v>
      </c>
      <c r="G40" s="2600"/>
      <c r="H40" s="434">
        <f>SUMIF(118:118,G40,119:119)-SUMIF(118:118,C40,119:119)+100</f>
        <v>100</v>
      </c>
      <c r="I40" s="2600"/>
      <c r="J40" s="434">
        <f>SUMIF(118:118,I40,119:119)-SUMIF(118:118,C40,119:119)+100</f>
        <v>100</v>
      </c>
      <c r="K40" s="425"/>
      <c r="L40" s="1139"/>
      <c r="M40" s="1130"/>
      <c r="N40" s="1130"/>
      <c r="O40" s="1130"/>
      <c r="P40" s="3218"/>
      <c r="Q40" s="1799" t="str">
        <f t="shared" si="11"/>
        <v>房型</v>
      </c>
      <c r="R40" s="773" t="s">
        <v>21</v>
      </c>
      <c r="S40" s="774">
        <f t="shared" si="12"/>
        <v>100</v>
      </c>
      <c r="T40" s="773" t="s">
        <v>21</v>
      </c>
      <c r="U40" s="774">
        <f t="shared" si="13"/>
        <v>100</v>
      </c>
      <c r="V40" s="773" t="s">
        <v>21</v>
      </c>
      <c r="W40" s="774">
        <f t="shared" si="14"/>
        <v>100</v>
      </c>
      <c r="X40" s="1802"/>
      <c r="Y40" s="3220"/>
      <c r="Z40" s="1803" t="str">
        <f t="shared" si="18"/>
        <v>房型</v>
      </c>
      <c r="AA40" s="1800">
        <f t="shared" si="15"/>
        <v>1</v>
      </c>
      <c r="AB40" s="1800">
        <f t="shared" si="16"/>
        <v>1</v>
      </c>
      <c r="AC40" s="1800">
        <f t="shared" si="17"/>
        <v>1</v>
      </c>
    </row>
    <row r="41" spans="1:29" s="470" customFormat="1" ht="28.5" hidden="1">
      <c r="A41" s="467"/>
      <c r="B41" s="421" t="s">
        <v>2569</v>
      </c>
      <c r="C41" s="468"/>
      <c r="D41" s="136">
        <v>100</v>
      </c>
      <c r="E41" s="468"/>
      <c r="F41" s="424">
        <f>SUMIF(120:120,E41,121:121)-SUMIF(120:120,C41,121:121)+100</f>
        <v>100</v>
      </c>
      <c r="G41" s="468"/>
      <c r="H41" s="136">
        <f>SUMIF(120:120,G41,121:121)-SUMIF(120:120,C41,121:121)+100</f>
        <v>100</v>
      </c>
      <c r="I41" s="468"/>
      <c r="J41" s="434">
        <f>SUMIF(120:120,I41,121:121)-SUMIF(120:120,C41,121:121)+100</f>
        <v>100</v>
      </c>
      <c r="K41" s="2588"/>
      <c r="L41" s="1137"/>
      <c r="M41" s="1140"/>
      <c r="N41" s="1140"/>
      <c r="O41" s="1140"/>
      <c r="P41" s="3218"/>
      <c r="Q41" s="775" t="str">
        <f t="shared" si="11"/>
        <v>单套/主力户型建筑面积</v>
      </c>
      <c r="R41" s="776" t="s">
        <v>21</v>
      </c>
      <c r="S41" s="777">
        <f t="shared" si="12"/>
        <v>100</v>
      </c>
      <c r="T41" s="776" t="s">
        <v>21</v>
      </c>
      <c r="U41" s="777">
        <f t="shared" si="13"/>
        <v>100</v>
      </c>
      <c r="V41" s="776" t="s">
        <v>21</v>
      </c>
      <c r="W41" s="777">
        <f t="shared" si="14"/>
        <v>100</v>
      </c>
      <c r="X41" s="778"/>
      <c r="Y41" s="3220"/>
      <c r="Z41" s="779" t="str">
        <f t="shared" si="18"/>
        <v>单套/主力户型建筑面积</v>
      </c>
      <c r="AA41" s="1800">
        <f t="shared" si="15"/>
        <v>1</v>
      </c>
      <c r="AB41" s="1800">
        <f t="shared" si="16"/>
        <v>1</v>
      </c>
      <c r="AC41" s="1800">
        <f t="shared" si="17"/>
        <v>1</v>
      </c>
    </row>
    <row r="42" spans="1:29" ht="15">
      <c r="A42" s="471"/>
      <c r="B42" s="421" t="s">
        <v>2570</v>
      </c>
      <c r="C42" s="2600" t="s">
        <v>3294</v>
      </c>
      <c r="D42" s="434">
        <v>100</v>
      </c>
      <c r="E42" s="2600" t="s">
        <v>3290</v>
      </c>
      <c r="F42" s="460">
        <f>SUMIF(122:122,E42,123:123)-SUMIF(122:122,C42,123:123)+100</f>
        <v>103</v>
      </c>
      <c r="G42" s="2600" t="s">
        <v>3290</v>
      </c>
      <c r="H42" s="434">
        <f>SUMIF(122:122,G42,123:123)-SUMIF(122:122,C42,123:123)+100</f>
        <v>103</v>
      </c>
      <c r="I42" s="2600" t="s">
        <v>3290</v>
      </c>
      <c r="J42" s="434">
        <f>SUMIF(122:122,I42,123:123)-SUMIF(122:122,C42,123:123)+100</f>
        <v>103</v>
      </c>
      <c r="K42" s="425">
        <v>1</v>
      </c>
      <c r="L42" s="1139"/>
      <c r="M42" s="1130"/>
      <c r="N42" s="1130"/>
      <c r="O42" s="1130"/>
      <c r="P42" s="3218"/>
      <c r="Q42" s="1799" t="str">
        <f t="shared" si="11"/>
        <v>内部装修</v>
      </c>
      <c r="R42" s="773" t="s">
        <v>21</v>
      </c>
      <c r="S42" s="774">
        <f t="shared" si="12"/>
        <v>103</v>
      </c>
      <c r="T42" s="773" t="s">
        <v>21</v>
      </c>
      <c r="U42" s="774">
        <f t="shared" si="13"/>
        <v>103</v>
      </c>
      <c r="V42" s="773" t="s">
        <v>21</v>
      </c>
      <c r="W42" s="774">
        <f t="shared" si="14"/>
        <v>103</v>
      </c>
      <c r="X42" s="1802"/>
      <c r="Y42" s="3220"/>
      <c r="Z42" s="1803" t="str">
        <f t="shared" si="18"/>
        <v>内部装修</v>
      </c>
      <c r="AA42" s="1800">
        <f t="shared" si="15"/>
        <v>0.970873786407767</v>
      </c>
      <c r="AB42" s="1800">
        <f t="shared" si="16"/>
        <v>0.970873786407767</v>
      </c>
      <c r="AC42" s="1800">
        <f t="shared" si="17"/>
        <v>0.970873786407767</v>
      </c>
    </row>
    <row r="43" spans="1:29" ht="15.75" thickBot="1">
      <c r="A43" s="471"/>
      <c r="B43" s="421" t="s">
        <v>2571</v>
      </c>
      <c r="C43" s="2600" t="s">
        <v>3251</v>
      </c>
      <c r="D43" s="434">
        <v>100</v>
      </c>
      <c r="E43" s="2600" t="s">
        <v>3251</v>
      </c>
      <c r="F43" s="460">
        <f>SUMIF(124:124,E43,125:125)-SUMIF(124:124,C43,125:125)+100</f>
        <v>100</v>
      </c>
      <c r="G43" s="2600" t="s">
        <v>3251</v>
      </c>
      <c r="H43" s="434">
        <f>SUMIF(124:124,G43,125:125)-SUMIF(124:124,C43,125:125)+100</f>
        <v>100</v>
      </c>
      <c r="I43" s="2600" t="s">
        <v>3251</v>
      </c>
      <c r="J43" s="434">
        <f>SUMIF(124:124,I43,125:125)-SUMIF(124:124,C43,125:125)+100</f>
        <v>100</v>
      </c>
      <c r="K43" s="425">
        <v>1</v>
      </c>
      <c r="L43" s="1139"/>
      <c r="M43" s="1130"/>
      <c r="N43" s="1130"/>
      <c r="O43" s="1130"/>
      <c r="P43" s="3218"/>
      <c r="Q43" s="1799" t="str">
        <f t="shared" si="11"/>
        <v>内部装修维护情况</v>
      </c>
      <c r="R43" s="773" t="s">
        <v>21</v>
      </c>
      <c r="S43" s="774">
        <f t="shared" si="12"/>
        <v>100</v>
      </c>
      <c r="T43" s="773" t="s">
        <v>21</v>
      </c>
      <c r="U43" s="774">
        <f t="shared" si="13"/>
        <v>100</v>
      </c>
      <c r="V43" s="773" t="s">
        <v>21</v>
      </c>
      <c r="W43" s="774">
        <f t="shared" si="14"/>
        <v>100</v>
      </c>
      <c r="X43" s="1802"/>
      <c r="Y43" s="3220"/>
      <c r="Z43" s="1803" t="str">
        <f t="shared" si="18"/>
        <v>内部装修维护情况</v>
      </c>
      <c r="AA43" s="1800">
        <f t="shared" si="15"/>
        <v>1</v>
      </c>
      <c r="AB43" s="1800">
        <f t="shared" si="16"/>
        <v>1</v>
      </c>
      <c r="AC43" s="1800">
        <f t="shared" si="17"/>
        <v>1</v>
      </c>
    </row>
    <row r="44" spans="1:29" s="117" customFormat="1" ht="15" hidden="1">
      <c r="A44" s="472"/>
      <c r="B44" s="1383">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88"/>
      <c r="L44" s="1131"/>
      <c r="M44" s="1132"/>
      <c r="N44" s="1132"/>
      <c r="O44" s="1132"/>
      <c r="P44" s="3218"/>
      <c r="Q44" s="1784">
        <f t="shared" si="11"/>
        <v>111</v>
      </c>
      <c r="R44" s="769" t="s">
        <v>21</v>
      </c>
      <c r="S44" s="770">
        <f t="shared" si="12"/>
        <v>100</v>
      </c>
      <c r="T44" s="769" t="s">
        <v>21</v>
      </c>
      <c r="U44" s="770">
        <f t="shared" si="13"/>
        <v>100</v>
      </c>
      <c r="V44" s="769" t="s">
        <v>21</v>
      </c>
      <c r="W44" s="770">
        <f t="shared" si="14"/>
        <v>100</v>
      </c>
      <c r="X44" s="771"/>
      <c r="Y44" s="3220"/>
      <c r="Z44" s="55">
        <f t="shared" si="18"/>
        <v>111</v>
      </c>
      <c r="AA44" s="772">
        <f t="shared" si="15"/>
        <v>1</v>
      </c>
      <c r="AB44" s="772">
        <f t="shared" si="16"/>
        <v>1</v>
      </c>
      <c r="AC44" s="772">
        <f t="shared" si="17"/>
        <v>1</v>
      </c>
    </row>
    <row r="45" spans="1:29" ht="15" hidden="1">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88"/>
      <c r="L45" s="1139"/>
      <c r="M45" s="1130"/>
      <c r="N45" s="1130"/>
      <c r="O45" s="1130"/>
      <c r="P45" s="3218"/>
      <c r="Q45" s="1799">
        <f t="shared" si="11"/>
        <v>111</v>
      </c>
      <c r="R45" s="773" t="s">
        <v>21</v>
      </c>
      <c r="S45" s="774">
        <f t="shared" si="12"/>
        <v>100</v>
      </c>
      <c r="T45" s="773" t="s">
        <v>21</v>
      </c>
      <c r="U45" s="774">
        <f t="shared" si="13"/>
        <v>100</v>
      </c>
      <c r="V45" s="773" t="s">
        <v>21</v>
      </c>
      <c r="W45" s="774">
        <f t="shared" si="14"/>
        <v>100</v>
      </c>
      <c r="X45" s="1802"/>
      <c r="Y45" s="3220"/>
      <c r="Z45" s="1803">
        <f t="shared" si="18"/>
        <v>111</v>
      </c>
      <c r="AA45" s="1800">
        <f t="shared" si="15"/>
        <v>1</v>
      </c>
      <c r="AB45" s="1800">
        <f t="shared" si="16"/>
        <v>1</v>
      </c>
      <c r="AC45" s="1800">
        <f t="shared" si="17"/>
        <v>1</v>
      </c>
    </row>
    <row r="46" spans="1:29" ht="15.75" hidden="1" thickBot="1">
      <c r="A46" s="477"/>
      <c r="B46" s="2589">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88"/>
      <c r="L46" s="1139"/>
      <c r="M46" s="1130"/>
      <c r="N46" s="1130"/>
      <c r="O46" s="1130"/>
      <c r="P46" s="3219"/>
      <c r="Q46" s="1799">
        <f t="shared" si="11"/>
        <v>111</v>
      </c>
      <c r="R46" s="773" t="s">
        <v>20</v>
      </c>
      <c r="S46" s="774">
        <f t="shared" si="12"/>
        <v>100</v>
      </c>
      <c r="T46" s="773" t="s">
        <v>20</v>
      </c>
      <c r="U46" s="774">
        <f t="shared" si="13"/>
        <v>100</v>
      </c>
      <c r="V46" s="773" t="s">
        <v>20</v>
      </c>
      <c r="W46" s="774">
        <f t="shared" si="14"/>
        <v>100</v>
      </c>
      <c r="X46" s="1802"/>
      <c r="Y46" s="3221"/>
      <c r="Z46" s="1803">
        <f t="shared" si="18"/>
        <v>111</v>
      </c>
      <c r="AA46" s="1800">
        <f t="shared" si="15"/>
        <v>1</v>
      </c>
      <c r="AB46" s="1800">
        <f t="shared" si="16"/>
        <v>1</v>
      </c>
      <c r="AC46" s="1800">
        <f t="shared" si="17"/>
        <v>1</v>
      </c>
    </row>
    <row r="47" spans="1:29" ht="15">
      <c r="A47" s="478" t="s">
        <v>2572</v>
      </c>
      <c r="B47" s="479"/>
      <c r="C47" s="1404" t="s">
        <v>19</v>
      </c>
      <c r="D47" s="1405"/>
      <c r="E47" s="1406">
        <v>33235</v>
      </c>
      <c r="F47" s="1407"/>
      <c r="G47" s="1408">
        <v>33178</v>
      </c>
      <c r="H47" s="1409"/>
      <c r="I47" s="1406">
        <v>32073</v>
      </c>
      <c r="J47" s="1409"/>
      <c r="K47" s="2606"/>
      <c r="L47" s="1142"/>
      <c r="M47" s="1143"/>
      <c r="N47" s="1130"/>
      <c r="O47" s="1143"/>
      <c r="P47" s="3208" t="str">
        <f>A47</f>
        <v>成交单价（元/平方米）</v>
      </c>
      <c r="Q47" s="3208"/>
      <c r="R47" s="3209">
        <f>E47</f>
        <v>33235</v>
      </c>
      <c r="S47" s="3209"/>
      <c r="T47" s="3209">
        <f>G47</f>
        <v>33178</v>
      </c>
      <c r="U47" s="3209"/>
      <c r="V47" s="3209">
        <f>I47</f>
        <v>32073</v>
      </c>
      <c r="W47" s="3209"/>
      <c r="X47" s="758"/>
      <c r="Y47" s="780"/>
      <c r="Z47" s="758"/>
      <c r="AA47" s="758"/>
      <c r="AB47" s="758"/>
      <c r="AC47" s="758"/>
    </row>
    <row r="48" spans="1:29" ht="15.75" thickBot="1">
      <c r="A48" s="485" t="s">
        <v>2573</v>
      </c>
      <c r="B48" s="486"/>
      <c r="C48" s="1410">
        <f>R49</f>
        <v>33112</v>
      </c>
      <c r="D48" s="1411"/>
      <c r="E48" s="1412">
        <f>R48</f>
        <v>33463</v>
      </c>
      <c r="F48" s="1412"/>
      <c r="G48" s="1410">
        <f>T48</f>
        <v>33738</v>
      </c>
      <c r="H48" s="1411"/>
      <c r="I48" s="1412">
        <f>V48</f>
        <v>32135</v>
      </c>
      <c r="J48" s="1411"/>
      <c r="K48" s="2607"/>
      <c r="L48" s="1142"/>
      <c r="M48" s="1143"/>
      <c r="N48" s="1143"/>
      <c r="O48" s="1143"/>
      <c r="P48" s="3208" t="str">
        <f>A48</f>
        <v>比较价值（元/平方米）</v>
      </c>
      <c r="Q48" s="3208"/>
      <c r="R48" s="3209">
        <f>IF(F1="售价",ROUND(PRODUCT(R47,AA7:AA46),0),ROUND(PRODUCT(R47,AA7:AA46),1))</f>
        <v>33463</v>
      </c>
      <c r="S48" s="3209"/>
      <c r="T48" s="3209">
        <f>IF(F1="售价",ROUND(PRODUCT(T47,AB7:AB46),0),ROUND(PRODUCT(T47,AB7:AB46),1))</f>
        <v>33738</v>
      </c>
      <c r="U48" s="3209"/>
      <c r="V48" s="3209">
        <f>IF(F1="售价",ROUND(PRODUCT(V47,AC7:AC46),0),ROUND(PRODUCT(V47,AC7:AC46),1))</f>
        <v>32135</v>
      </c>
      <c r="W48" s="3209"/>
      <c r="X48" s="758"/>
      <c r="Y48" s="758"/>
      <c r="Z48" s="758"/>
      <c r="AA48" s="758"/>
      <c r="AB48" s="758"/>
      <c r="AC48" s="758"/>
    </row>
    <row r="49" spans="1:29" ht="15.75" thickBot="1">
      <c r="A49" s="491" t="s">
        <v>2574</v>
      </c>
      <c r="B49" s="492"/>
      <c r="C49" s="1413">
        <f>R49</f>
        <v>33112</v>
      </c>
      <c r="D49" s="1414"/>
      <c r="E49" s="1414"/>
      <c r="F49" s="1414"/>
      <c r="G49" s="1414"/>
      <c r="H49" s="1414"/>
      <c r="I49" s="1414"/>
      <c r="J49" s="1414"/>
      <c r="K49" s="2608"/>
      <c r="L49" s="1142"/>
      <c r="M49" s="1143"/>
      <c r="N49" s="1143"/>
      <c r="O49" s="1143"/>
      <c r="P49" s="3210" t="str">
        <f>A49</f>
        <v>估价对象XX用房的比较价值（楼面单价，元/平方米）</v>
      </c>
      <c r="Q49" s="3211"/>
      <c r="R49" s="3212">
        <f>IF(F1="售价",ROUND(AVERAGE(R48:V48),0),ROUND(AVERAGE(R48:V48),1))</f>
        <v>33112</v>
      </c>
      <c r="S49" s="3212"/>
      <c r="T49" s="3212"/>
      <c r="U49" s="3212"/>
      <c r="V49" s="3212"/>
      <c r="W49" s="3212"/>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2575</v>
      </c>
      <c r="D52" s="497"/>
      <c r="E52" s="498">
        <f>IF(E47&lt;E48,E48/E47-1,E47/E48-1)</f>
        <v>6.8602377012185745E-3</v>
      </c>
      <c r="F52" s="499" t="str">
        <f>IF(OR(E52&gt;=0.3,E52&lt;=-0.3),"超过30%","")</f>
        <v/>
      </c>
      <c r="G52" s="498">
        <f>IF(G47&lt;G48,G48/G47-1,G47/G48-1)</f>
        <v>1.6878654530110282E-2</v>
      </c>
      <c r="H52" s="499" t="str">
        <f>IF(OR(G52&gt;=0.3,G52&lt;=-0.3),"超过30%","")</f>
        <v/>
      </c>
      <c r="I52" s="498">
        <f>IF(I47&lt;I48,I48/I47-1,I47/I48-1)</f>
        <v>1.9330901381224841E-3</v>
      </c>
      <c r="J52" s="499" t="str">
        <f>IF(OR(I52&gt;=0.3,I52&lt;=-0.3),"超过30%","")</f>
        <v/>
      </c>
      <c r="K52" s="1104"/>
      <c r="L52" s="1105"/>
      <c r="M52" s="1143"/>
      <c r="N52" s="1143"/>
      <c r="O52" s="1143"/>
    </row>
    <row r="53" spans="1:29" ht="13.5" customHeight="1">
      <c r="A53" s="1143"/>
      <c r="B53" s="1143"/>
      <c r="C53" s="496" t="s">
        <v>2576</v>
      </c>
      <c r="D53" s="500"/>
      <c r="E53" s="498">
        <f>IF(E48&lt;G48,G48/E48-1,E48/G48-1)</f>
        <v>8.2180318560798327E-3</v>
      </c>
      <c r="F53" s="499" t="str">
        <f>IF(OR(E53&gt;=0.2,E53&lt;=-0.2),"超过20%","")</f>
        <v/>
      </c>
      <c r="G53" s="498">
        <f>IF(G48&lt;I48,I48/G48-1,G48/I48-1)</f>
        <v>4.9883304807841977E-2</v>
      </c>
      <c r="H53" s="499" t="str">
        <f>IF(OR(G53&gt;=0.2,G53&lt;=-0.2),"超过20%","")</f>
        <v/>
      </c>
      <c r="I53" s="498">
        <f>IF(I48&lt;E48,E48/I48-1,I48/E48-1)</f>
        <v>4.1325657382915715E-2</v>
      </c>
      <c r="J53" s="499" t="str">
        <f>IF(OR(I53&gt;=0.2,I53&lt;=-0.2),"超过20%","")</f>
        <v/>
      </c>
      <c r="K53" s="1104"/>
      <c r="L53" s="1105"/>
      <c r="M53" s="1143"/>
      <c r="N53" s="1143"/>
      <c r="O53" s="1143"/>
    </row>
    <row r="54" spans="1:29" s="501" customFormat="1" ht="13.5" customHeight="1">
      <c r="A54" s="1144"/>
      <c r="B54" s="1144"/>
      <c r="C54" s="496" t="s">
        <v>2577</v>
      </c>
      <c r="D54" s="500"/>
      <c r="E54" s="498">
        <f>IF(E47&lt;G47,G47/E47-1,E47/G47-1)</f>
        <v>1.7180059075290188E-3</v>
      </c>
      <c r="F54" s="499" t="str">
        <f>IF(OR(E54&gt;=0.3,E54&lt;=-0.3),"超过30%","")</f>
        <v/>
      </c>
      <c r="G54" s="498">
        <f>IF(G47&lt;I47,I47/G47-1,G47/I47-1)</f>
        <v>3.4452654881052647E-2</v>
      </c>
      <c r="H54" s="499" t="str">
        <f>IF(OR(G54&gt;=0.3,G54&lt;=-0.3),"超过30%","")</f>
        <v/>
      </c>
      <c r="I54" s="498">
        <f>IF(I47&lt;E47,E47/I47-1,I47/E47-1)</f>
        <v>3.6229850653197504E-2</v>
      </c>
      <c r="J54" s="499" t="str">
        <f>IF(OR(I54&gt;=0.3,I54&lt;=-0.3),"超过30%","")</f>
        <v/>
      </c>
      <c r="K54" s="1147"/>
      <c r="L54" s="1148"/>
      <c r="M54" s="1144"/>
      <c r="N54" s="1144"/>
      <c r="O54" s="1144"/>
      <c r="P54" s="2610"/>
    </row>
    <row r="55" spans="1:29" s="501" customFormat="1">
      <c r="A55" s="1144"/>
      <c r="B55" s="1145"/>
      <c r="C55" s="1149"/>
      <c r="D55" s="1144"/>
      <c r="E55" s="1144"/>
      <c r="F55" s="1144"/>
      <c r="G55" s="1144"/>
      <c r="H55" s="1144"/>
      <c r="I55" s="1144"/>
      <c r="J55" s="1144"/>
      <c r="K55" s="1147"/>
      <c r="L55" s="1148"/>
      <c r="M55" s="1144"/>
      <c r="N55" s="1144"/>
      <c r="O55" s="1144"/>
      <c r="P55" s="2610"/>
    </row>
    <row r="56" spans="1:29">
      <c r="A56" s="1143"/>
      <c r="B56" s="1145"/>
      <c r="C56" s="1149"/>
      <c r="D56" s="1143"/>
      <c r="E56" s="1143"/>
      <c r="F56" s="1143"/>
      <c r="G56" s="1143"/>
      <c r="H56" s="1143"/>
      <c r="I56" s="1143"/>
      <c r="J56" s="1143"/>
      <c r="K56" s="1104"/>
      <c r="L56" s="1105"/>
      <c r="M56" s="1143"/>
      <c r="N56" s="1143"/>
      <c r="O56" s="1143"/>
    </row>
    <row r="57" spans="1:29" ht="21.75" thickBot="1">
      <c r="A57" s="762" t="s">
        <v>2578</v>
      </c>
      <c r="B57" s="758"/>
      <c r="C57" s="763"/>
      <c r="D57" s="763"/>
      <c r="E57" s="763"/>
      <c r="F57" s="764"/>
      <c r="G57" s="764"/>
      <c r="H57" s="763"/>
      <c r="I57" s="763"/>
      <c r="J57" s="763"/>
      <c r="K57" s="1159"/>
      <c r="L57" s="1160"/>
      <c r="M57" s="1158"/>
      <c r="N57" s="1158"/>
      <c r="O57" s="1158"/>
      <c r="P57" s="2611"/>
      <c r="Q57" s="503"/>
    </row>
    <row r="58" spans="1:29" s="507" customFormat="1" ht="15">
      <c r="A58" s="504" t="s">
        <v>2579</v>
      </c>
      <c r="B58" s="505"/>
      <c r="C58" s="1573" t="str">
        <f>YEAR(C7)&amp;"-"&amp;MONTH(C7)</f>
        <v>2020-5</v>
      </c>
      <c r="D58" s="1572">
        <f>EDATE(C58,-1)</f>
        <v>43922</v>
      </c>
      <c r="E58" s="1572">
        <f>EDATE(D58,-1)</f>
        <v>43891</v>
      </c>
      <c r="F58" s="1572">
        <f t="shared" ref="F58:O58" si="19">EDATE(E58,-1)</f>
        <v>43862</v>
      </c>
      <c r="G58" s="1572">
        <f t="shared" si="19"/>
        <v>43831</v>
      </c>
      <c r="H58" s="1572">
        <f t="shared" si="19"/>
        <v>43800</v>
      </c>
      <c r="I58" s="1572">
        <f t="shared" si="19"/>
        <v>43770</v>
      </c>
      <c r="J58" s="1572">
        <f t="shared" si="19"/>
        <v>43739</v>
      </c>
      <c r="K58" s="1572">
        <f t="shared" si="19"/>
        <v>43709</v>
      </c>
      <c r="L58" s="1572">
        <f t="shared" si="19"/>
        <v>43678</v>
      </c>
      <c r="M58" s="1572">
        <f t="shared" si="19"/>
        <v>43647</v>
      </c>
      <c r="N58" s="1572">
        <f t="shared" si="19"/>
        <v>43617</v>
      </c>
      <c r="O58" s="1572">
        <f t="shared" si="19"/>
        <v>43586</v>
      </c>
      <c r="P58" s="1567"/>
    </row>
    <row r="59" spans="1:29" s="117" customFormat="1" ht="15">
      <c r="A59" s="508"/>
      <c r="B59" s="2612"/>
      <c r="C59" s="1570">
        <v>100</v>
      </c>
      <c r="D59" s="510">
        <v>100</v>
      </c>
      <c r="E59" s="511">
        <v>100</v>
      </c>
      <c r="F59" s="511"/>
      <c r="G59" s="511"/>
      <c r="H59" s="511"/>
      <c r="I59" s="511"/>
      <c r="J59" s="511"/>
      <c r="K59" s="511"/>
      <c r="L59" s="511"/>
      <c r="M59" s="512"/>
      <c r="N59" s="511"/>
      <c r="O59" s="512"/>
      <c r="P59" s="2613"/>
    </row>
    <row r="60" spans="1:29" s="117" customFormat="1" ht="15.75" thickBot="1">
      <c r="A60" s="514" t="s">
        <v>2580</v>
      </c>
      <c r="B60" s="515"/>
      <c r="C60" s="516"/>
      <c r="D60" s="517"/>
      <c r="E60" s="517"/>
      <c r="F60" s="517"/>
      <c r="G60" s="517"/>
      <c r="H60" s="517"/>
      <c r="I60" s="517"/>
      <c r="J60" s="517"/>
      <c r="K60" s="517"/>
      <c r="L60" s="517"/>
      <c r="M60" s="518"/>
      <c r="N60" s="517"/>
      <c r="O60" s="518"/>
      <c r="P60" s="2613"/>
      <c r="Q60" s="503"/>
    </row>
    <row r="61" spans="1:29" s="117" customFormat="1" ht="15">
      <c r="A61" s="520" t="s">
        <v>2581</v>
      </c>
      <c r="B61" s="509"/>
      <c r="C61" s="521" t="s">
        <v>2582</v>
      </c>
      <c r="D61" s="522"/>
      <c r="E61" s="522"/>
      <c r="F61" s="522"/>
      <c r="G61" s="522"/>
      <c r="H61" s="522"/>
      <c r="I61" s="522"/>
      <c r="J61" s="522"/>
      <c r="K61" s="522"/>
      <c r="L61" s="523"/>
      <c r="M61" s="524"/>
      <c r="N61" s="1150"/>
      <c r="O61" s="1150"/>
      <c r="P61" s="2614"/>
      <c r="Q61" s="503"/>
    </row>
    <row r="62" spans="1:29" s="117" customFormat="1" ht="15.75" thickBot="1">
      <c r="A62" s="520"/>
      <c r="B62" s="509"/>
      <c r="C62" s="510">
        <v>100</v>
      </c>
      <c r="D62" s="511"/>
      <c r="E62" s="511"/>
      <c r="F62" s="511"/>
      <c r="G62" s="511"/>
      <c r="H62" s="511"/>
      <c r="I62" s="511"/>
      <c r="J62" s="511"/>
      <c r="K62" s="511"/>
      <c r="L62" s="511"/>
      <c r="M62" s="513"/>
      <c r="N62" s="1150"/>
      <c r="O62" s="1150"/>
      <c r="P62" s="2613"/>
      <c r="Q62" s="503"/>
    </row>
    <row r="63" spans="1:29">
      <c r="A63" s="526" t="s">
        <v>2583</v>
      </c>
      <c r="B63" s="527" t="s">
        <v>2549</v>
      </c>
      <c r="C63" s="528" t="str">
        <f>C9</f>
        <v>住宅</v>
      </c>
      <c r="D63" s="529"/>
      <c r="E63" s="529"/>
      <c r="F63" s="529"/>
      <c r="G63" s="529"/>
      <c r="H63" s="529"/>
      <c r="I63" s="529"/>
      <c r="J63" s="529"/>
      <c r="K63" s="530"/>
      <c r="L63" s="531"/>
      <c r="M63" s="532"/>
      <c r="N63" s="1151"/>
      <c r="O63" s="1151"/>
      <c r="P63" s="2615"/>
      <c r="Q63" s="503"/>
    </row>
    <row r="64" spans="1:29" ht="15.75" thickBot="1">
      <c r="A64" s="533"/>
      <c r="B64" s="534"/>
      <c r="C64" s="535">
        <v>100</v>
      </c>
      <c r="D64" s="535"/>
      <c r="E64" s="535"/>
      <c r="F64" s="535"/>
      <c r="G64" s="535"/>
      <c r="H64" s="535"/>
      <c r="I64" s="535"/>
      <c r="J64" s="535"/>
      <c r="K64" s="535"/>
      <c r="L64" s="535"/>
      <c r="M64" s="536"/>
      <c r="N64" s="1152"/>
      <c r="O64" s="1152"/>
      <c r="P64" s="2615"/>
      <c r="Q64" s="503"/>
    </row>
    <row r="65" spans="1:17" ht="27.75" thickTop="1">
      <c r="A65" s="533"/>
      <c r="B65" s="537" t="s">
        <v>2552</v>
      </c>
      <c r="C65" s="538" t="s">
        <v>2584</v>
      </c>
      <c r="D65" s="538" t="s">
        <v>2585</v>
      </c>
      <c r="E65" s="538" t="s">
        <v>2586</v>
      </c>
      <c r="F65" s="538" t="s">
        <v>2587</v>
      </c>
      <c r="G65" s="538" t="s">
        <v>2588</v>
      </c>
      <c r="H65" s="538" t="s">
        <v>2589</v>
      </c>
      <c r="I65" s="538" t="s">
        <v>2590</v>
      </c>
      <c r="J65" s="538"/>
      <c r="K65" s="539"/>
      <c r="L65" s="540"/>
      <c r="M65" s="541"/>
      <c r="N65" s="1151"/>
      <c r="O65" s="1151"/>
      <c r="P65" s="2615"/>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2"/>
      <c r="O66" s="1152"/>
      <c r="P66" s="2615"/>
      <c r="Q66" s="503"/>
    </row>
    <row r="67" spans="1:17" ht="15.75" thickTop="1">
      <c r="A67" s="533"/>
      <c r="B67" s="545" t="s">
        <v>2553</v>
      </c>
      <c r="C67" s="546" t="str">
        <f>C68&amp;"（含）"&amp;"-"&amp;D68</f>
        <v>0（含）-1</v>
      </c>
      <c r="D67" s="546" t="str">
        <f t="shared" ref="D67:L67" si="21">D68&amp;"（含）"&amp;"-"&amp;E68</f>
        <v>1（含）-2</v>
      </c>
      <c r="E67" s="546" t="str">
        <f t="shared" si="21"/>
        <v>2（含）-3</v>
      </c>
      <c r="F67" s="546" t="str">
        <f t="shared" si="21"/>
        <v>3（含）-4</v>
      </c>
      <c r="G67" s="546" t="str">
        <f t="shared" si="21"/>
        <v>4（含）-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15"/>
      <c r="Q67" s="503"/>
    </row>
    <row r="68" spans="1:17" ht="15">
      <c r="A68" s="533"/>
      <c r="B68" s="547"/>
      <c r="C68" s="548">
        <v>0</v>
      </c>
      <c r="D68" s="548">
        <v>1</v>
      </c>
      <c r="E68" s="548">
        <v>2</v>
      </c>
      <c r="F68" s="548">
        <v>3</v>
      </c>
      <c r="G68" s="548">
        <v>4</v>
      </c>
      <c r="H68" s="548"/>
      <c r="I68" s="548"/>
      <c r="J68" s="548"/>
      <c r="K68" s="549"/>
      <c r="L68" s="550"/>
      <c r="M68" s="551"/>
      <c r="N68" s="1151"/>
      <c r="O68" s="1151"/>
      <c r="P68" s="2615"/>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2"/>
      <c r="O69" s="1152"/>
      <c r="P69" s="2615"/>
      <c r="Q69" s="503"/>
    </row>
    <row r="70" spans="1:17" s="470" customFormat="1" ht="15.75" thickTop="1">
      <c r="A70" s="552"/>
      <c r="B70" s="537">
        <f>B12</f>
        <v>111</v>
      </c>
      <c r="C70" s="553"/>
      <c r="D70" s="553"/>
      <c r="E70" s="553"/>
      <c r="F70" s="553"/>
      <c r="G70" s="553"/>
      <c r="H70" s="554"/>
      <c r="I70" s="554"/>
      <c r="J70" s="554"/>
      <c r="K70" s="554"/>
      <c r="L70" s="555"/>
      <c r="M70" s="556"/>
      <c r="N70" s="1153"/>
      <c r="O70" s="1153"/>
      <c r="P70" s="2616"/>
      <c r="Q70" s="558"/>
    </row>
    <row r="71" spans="1:17" s="470" customFormat="1" ht="15.75" thickBot="1">
      <c r="A71" s="552"/>
      <c r="B71" s="542"/>
      <c r="C71" s="559"/>
      <c r="D71" s="535"/>
      <c r="E71" s="535"/>
      <c r="F71" s="535"/>
      <c r="G71" s="535"/>
      <c r="H71" s="535"/>
      <c r="I71" s="535"/>
      <c r="J71" s="535"/>
      <c r="K71" s="535"/>
      <c r="L71" s="535"/>
      <c r="M71" s="536"/>
      <c r="N71" s="1152"/>
      <c r="O71" s="1152"/>
      <c r="P71" s="2616"/>
      <c r="Q71" s="558"/>
    </row>
    <row r="72" spans="1:17" s="470" customFormat="1" ht="15.75" thickTop="1">
      <c r="A72" s="552"/>
      <c r="B72" s="537">
        <f>B13</f>
        <v>111</v>
      </c>
      <c r="C72" s="553"/>
      <c r="D72" s="553"/>
      <c r="E72" s="553"/>
      <c r="F72" s="553"/>
      <c r="G72" s="553"/>
      <c r="H72" s="554"/>
      <c r="I72" s="554"/>
      <c r="J72" s="554"/>
      <c r="K72" s="554"/>
      <c r="L72" s="555"/>
      <c r="M72" s="556"/>
      <c r="N72" s="1153"/>
      <c r="O72" s="1153"/>
      <c r="P72" s="2617"/>
      <c r="Q72" s="560"/>
    </row>
    <row r="73" spans="1:17" s="470" customFormat="1" ht="15.75" thickBot="1">
      <c r="A73" s="552"/>
      <c r="B73" s="542"/>
      <c r="C73" s="559"/>
      <c r="D73" s="559"/>
      <c r="E73" s="559"/>
      <c r="F73" s="559"/>
      <c r="G73" s="559"/>
      <c r="H73" s="561"/>
      <c r="I73" s="561"/>
      <c r="J73" s="561"/>
      <c r="K73" s="561"/>
      <c r="L73" s="561"/>
      <c r="M73" s="562"/>
      <c r="N73" s="1153"/>
      <c r="O73" s="1153"/>
      <c r="P73" s="2616"/>
      <c r="Q73" s="558"/>
    </row>
    <row r="74" spans="1:17" s="470" customFormat="1" ht="15.75" thickTop="1">
      <c r="A74" s="552"/>
      <c r="B74" s="545">
        <f>B14</f>
        <v>111</v>
      </c>
      <c r="C74" s="553"/>
      <c r="D74" s="553"/>
      <c r="E74" s="553"/>
      <c r="F74" s="553"/>
      <c r="G74" s="522"/>
      <c r="H74" s="563"/>
      <c r="I74" s="563"/>
      <c r="J74" s="563"/>
      <c r="K74" s="563"/>
      <c r="L74" s="564"/>
      <c r="M74" s="565"/>
      <c r="N74" s="1153"/>
      <c r="O74" s="1153"/>
      <c r="P74" s="2618"/>
      <c r="Q74" s="558"/>
    </row>
    <row r="75" spans="1:17" s="470" customFormat="1" ht="15.75" thickBot="1">
      <c r="A75" s="567"/>
      <c r="B75" s="568"/>
      <c r="C75" s="569"/>
      <c r="D75" s="569"/>
      <c r="E75" s="569"/>
      <c r="F75" s="569"/>
      <c r="G75" s="569"/>
      <c r="H75" s="570"/>
      <c r="I75" s="570"/>
      <c r="J75" s="570"/>
      <c r="K75" s="570"/>
      <c r="L75" s="570"/>
      <c r="M75" s="571"/>
      <c r="N75" s="1153"/>
      <c r="O75" s="1153"/>
      <c r="P75" s="2616"/>
      <c r="Q75" s="558"/>
    </row>
    <row r="76" spans="1:17">
      <c r="A76" s="526" t="s">
        <v>2554</v>
      </c>
      <c r="B76" s="527" t="s">
        <v>2591</v>
      </c>
      <c r="C76" s="572" t="s">
        <v>2592</v>
      </c>
      <c r="D76" s="572" t="s">
        <v>2593</v>
      </c>
      <c r="E76" s="572" t="s">
        <v>2594</v>
      </c>
      <c r="F76" s="572" t="s">
        <v>2595</v>
      </c>
      <c r="G76" s="572" t="s">
        <v>2596</v>
      </c>
      <c r="H76" s="528"/>
      <c r="I76" s="528"/>
      <c r="J76" s="528"/>
      <c r="K76" s="573"/>
      <c r="L76" s="574"/>
      <c r="M76" s="575"/>
      <c r="N76" s="1151"/>
      <c r="O76" s="1151"/>
      <c r="P76" s="2619"/>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2"/>
      <c r="O77" s="1152"/>
      <c r="P77" s="2615"/>
      <c r="Q77" s="503"/>
    </row>
    <row r="78" spans="1:17" ht="15.75" thickTop="1">
      <c r="A78" s="533"/>
      <c r="B78" s="537" t="s">
        <v>2597</v>
      </c>
      <c r="C78" s="577" t="s">
        <v>2592</v>
      </c>
      <c r="D78" s="577" t="s">
        <v>2593</v>
      </c>
      <c r="E78" s="577" t="s">
        <v>2594</v>
      </c>
      <c r="F78" s="577" t="s">
        <v>2595</v>
      </c>
      <c r="G78" s="577" t="s">
        <v>2596</v>
      </c>
      <c r="H78" s="538"/>
      <c r="I78" s="538"/>
      <c r="J78" s="538"/>
      <c r="K78" s="539"/>
      <c r="L78" s="540"/>
      <c r="M78" s="541"/>
      <c r="N78" s="1151"/>
      <c r="O78" s="1151"/>
      <c r="P78" s="2615"/>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2"/>
      <c r="O79" s="1152"/>
      <c r="P79" s="2615"/>
      <c r="Q79" s="503"/>
    </row>
    <row r="80" spans="1:17" ht="15.75" thickTop="1">
      <c r="A80" s="533"/>
      <c r="B80" s="537" t="s">
        <v>2598</v>
      </c>
      <c r="C80" s="577" t="s">
        <v>2592</v>
      </c>
      <c r="D80" s="577" t="s">
        <v>2593</v>
      </c>
      <c r="E80" s="577" t="s">
        <v>2594</v>
      </c>
      <c r="F80" s="577" t="s">
        <v>2595</v>
      </c>
      <c r="G80" s="577" t="s">
        <v>2596</v>
      </c>
      <c r="H80" s="538"/>
      <c r="I80" s="538"/>
      <c r="J80" s="538"/>
      <c r="K80" s="539"/>
      <c r="L80" s="540"/>
      <c r="M80" s="541"/>
      <c r="N80" s="1151"/>
      <c r="O80" s="1151"/>
      <c r="P80" s="2615"/>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2"/>
      <c r="O81" s="1152"/>
      <c r="P81" s="2615"/>
      <c r="Q81" s="503"/>
    </row>
    <row r="82" spans="1:17" ht="15.75" thickTop="1">
      <c r="A82" s="533"/>
      <c r="B82" s="545" t="s">
        <v>2094</v>
      </c>
      <c r="C82" s="538" t="s">
        <v>2599</v>
      </c>
      <c r="D82" s="538" t="s">
        <v>2600</v>
      </c>
      <c r="E82" s="538" t="s">
        <v>2601</v>
      </c>
      <c r="F82" s="538" t="s">
        <v>2602</v>
      </c>
      <c r="G82" s="538" t="s">
        <v>2603</v>
      </c>
      <c r="H82" s="538"/>
      <c r="I82" s="538"/>
      <c r="J82" s="538"/>
      <c r="K82" s="538"/>
      <c r="L82" s="538"/>
      <c r="M82" s="1379"/>
      <c r="N82" s="1152"/>
      <c r="O82" s="1152"/>
      <c r="P82" s="2615"/>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2"/>
      <c r="O83" s="1152"/>
      <c r="P83" s="2615"/>
      <c r="Q83" s="503"/>
    </row>
    <row r="84" spans="1:17" ht="15.75" thickTop="1">
      <c r="A84" s="533"/>
      <c r="B84" s="537" t="s">
        <v>2604</v>
      </c>
      <c r="C84" s="577" t="s">
        <v>2592</v>
      </c>
      <c r="D84" s="577" t="s">
        <v>2593</v>
      </c>
      <c r="E84" s="577" t="s">
        <v>2594</v>
      </c>
      <c r="F84" s="577" t="s">
        <v>2595</v>
      </c>
      <c r="G84" s="577" t="s">
        <v>2596</v>
      </c>
      <c r="H84" s="538"/>
      <c r="I84" s="538"/>
      <c r="J84" s="538"/>
      <c r="K84" s="539"/>
      <c r="L84" s="540"/>
      <c r="M84" s="541"/>
      <c r="N84" s="1151"/>
      <c r="O84" s="1151"/>
      <c r="P84" s="2615"/>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15"/>
      <c r="Q85" s="503"/>
    </row>
    <row r="86" spans="1:17" s="117" customFormat="1" ht="15.75" thickTop="1">
      <c r="A86" s="578"/>
      <c r="B86" s="537" t="s">
        <v>2605</v>
      </c>
      <c r="C86" s="553"/>
      <c r="D86" s="553"/>
      <c r="E86" s="553"/>
      <c r="F86" s="553"/>
      <c r="G86" s="553"/>
      <c r="H86" s="553"/>
      <c r="I86" s="553"/>
      <c r="J86" s="553"/>
      <c r="K86" s="553"/>
      <c r="L86" s="579"/>
      <c r="M86" s="580"/>
      <c r="N86" s="1150"/>
      <c r="O86" s="1150"/>
      <c r="P86" s="2615"/>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15"/>
      <c r="Q87" s="503"/>
    </row>
    <row r="88" spans="1:17" s="117" customFormat="1" ht="15.75" thickTop="1">
      <c r="A88" s="578"/>
      <c r="B88" s="537" t="s">
        <v>2606</v>
      </c>
      <c r="C88" s="553"/>
      <c r="D88" s="553"/>
      <c r="E88" s="553"/>
      <c r="F88" s="2620"/>
      <c r="G88" s="553"/>
      <c r="H88" s="553"/>
      <c r="I88" s="553"/>
      <c r="J88" s="553"/>
      <c r="K88" s="553"/>
      <c r="L88" s="553"/>
      <c r="M88" s="580"/>
      <c r="N88" s="1150"/>
      <c r="O88" s="1150"/>
      <c r="P88" s="2615"/>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15"/>
      <c r="Q89" s="503"/>
    </row>
    <row r="90" spans="1:17" s="470" customFormat="1" ht="15.75" thickTop="1">
      <c r="A90" s="552"/>
      <c r="B90" s="537">
        <f>B27</f>
        <v>111</v>
      </c>
      <c r="C90" s="553"/>
      <c r="D90" s="553"/>
      <c r="E90" s="553"/>
      <c r="F90" s="553"/>
      <c r="G90" s="553"/>
      <c r="H90" s="554"/>
      <c r="I90" s="554"/>
      <c r="J90" s="554"/>
      <c r="K90" s="554"/>
      <c r="L90" s="555"/>
      <c r="M90" s="556"/>
      <c r="N90" s="1153"/>
      <c r="O90" s="1153"/>
      <c r="P90" s="2616"/>
      <c r="Q90" s="558"/>
    </row>
    <row r="91" spans="1:17" s="470" customFormat="1" ht="15.75" thickBot="1">
      <c r="A91" s="552"/>
      <c r="B91" s="542"/>
      <c r="C91" s="559"/>
      <c r="D91" s="559"/>
      <c r="E91" s="559"/>
      <c r="F91" s="559"/>
      <c r="G91" s="559"/>
      <c r="H91" s="561"/>
      <c r="I91" s="561"/>
      <c r="J91" s="561"/>
      <c r="K91" s="561"/>
      <c r="L91" s="561"/>
      <c r="M91" s="562"/>
      <c r="N91" s="1153"/>
      <c r="O91" s="1153"/>
      <c r="P91" s="2616"/>
      <c r="Q91" s="558"/>
    </row>
    <row r="92" spans="1:17" ht="15.75" thickTop="1">
      <c r="A92" s="533"/>
      <c r="B92" s="537">
        <f>B28</f>
        <v>111</v>
      </c>
      <c r="C92" s="553"/>
      <c r="D92" s="553"/>
      <c r="E92" s="553"/>
      <c r="F92" s="553"/>
      <c r="G92" s="582"/>
      <c r="H92" s="582"/>
      <c r="I92" s="582"/>
      <c r="J92" s="582"/>
      <c r="K92" s="583"/>
      <c r="L92" s="584"/>
      <c r="M92" s="585"/>
      <c r="N92" s="1151"/>
      <c r="O92" s="1151"/>
      <c r="P92" s="2615"/>
      <c r="Q92" s="503"/>
    </row>
    <row r="93" spans="1:17" ht="15.75" thickBot="1">
      <c r="A93" s="533"/>
      <c r="B93" s="542"/>
      <c r="C93" s="559"/>
      <c r="D93" s="535"/>
      <c r="E93" s="535"/>
      <c r="F93" s="535"/>
      <c r="G93" s="535"/>
      <c r="H93" s="535"/>
      <c r="I93" s="535"/>
      <c r="J93" s="535"/>
      <c r="K93" s="535"/>
      <c r="L93" s="535"/>
      <c r="M93" s="536"/>
      <c r="N93" s="1152"/>
      <c r="O93" s="1152"/>
      <c r="P93" s="2615"/>
      <c r="Q93" s="503"/>
    </row>
    <row r="94" spans="1:17" ht="15.75" thickTop="1">
      <c r="A94" s="533"/>
      <c r="B94" s="537">
        <f>B29</f>
        <v>111</v>
      </c>
      <c r="C94" s="553"/>
      <c r="D94" s="553"/>
      <c r="E94" s="553"/>
      <c r="F94" s="553"/>
      <c r="G94" s="582"/>
      <c r="H94" s="582"/>
      <c r="I94" s="582"/>
      <c r="J94" s="582"/>
      <c r="K94" s="583"/>
      <c r="L94" s="584"/>
      <c r="M94" s="585"/>
      <c r="N94" s="1151"/>
      <c r="O94" s="1151"/>
      <c r="P94" s="2615"/>
      <c r="Q94" s="503"/>
    </row>
    <row r="95" spans="1:17" ht="15.75" thickBot="1">
      <c r="A95" s="533"/>
      <c r="B95" s="542"/>
      <c r="C95" s="559"/>
      <c r="D95" s="559"/>
      <c r="E95" s="559"/>
      <c r="F95" s="559"/>
      <c r="G95" s="535"/>
      <c r="H95" s="535"/>
      <c r="I95" s="535"/>
      <c r="J95" s="535"/>
      <c r="K95" s="535"/>
      <c r="L95" s="535"/>
      <c r="M95" s="536"/>
      <c r="N95" s="1152"/>
      <c r="O95" s="1152"/>
      <c r="P95" s="2615"/>
      <c r="Q95" s="503"/>
    </row>
    <row r="96" spans="1:17" ht="15.75" thickTop="1">
      <c r="A96" s="533"/>
      <c r="B96" s="537">
        <f>B30</f>
        <v>111</v>
      </c>
      <c r="C96" s="553"/>
      <c r="D96" s="553"/>
      <c r="E96" s="553"/>
      <c r="F96" s="553"/>
      <c r="G96" s="582"/>
      <c r="H96" s="582"/>
      <c r="I96" s="582"/>
      <c r="J96" s="582"/>
      <c r="K96" s="583"/>
      <c r="L96" s="584"/>
      <c r="M96" s="585"/>
      <c r="N96" s="1151"/>
      <c r="O96" s="1151"/>
      <c r="P96" s="2615"/>
      <c r="Q96" s="503"/>
    </row>
    <row r="97" spans="1:17" ht="15.75" thickBot="1">
      <c r="A97" s="533"/>
      <c r="B97" s="542"/>
      <c r="C97" s="569"/>
      <c r="D97" s="569"/>
      <c r="E97" s="569"/>
      <c r="F97" s="569"/>
      <c r="G97" s="535"/>
      <c r="H97" s="535"/>
      <c r="I97" s="535"/>
      <c r="J97" s="535"/>
      <c r="K97" s="535"/>
      <c r="L97" s="535"/>
      <c r="M97" s="536"/>
      <c r="N97" s="1152"/>
      <c r="O97" s="1152"/>
      <c r="P97" s="2615"/>
      <c r="Q97" s="503"/>
    </row>
    <row r="98" spans="1:17" ht="15.75" thickTop="1">
      <c r="A98" s="533"/>
      <c r="B98" s="545">
        <f>B31</f>
        <v>111</v>
      </c>
      <c r="C98" s="586"/>
      <c r="D98" s="586"/>
      <c r="E98" s="586"/>
      <c r="F98" s="586"/>
      <c r="G98" s="586"/>
      <c r="H98" s="586"/>
      <c r="I98" s="586"/>
      <c r="J98" s="586"/>
      <c r="K98" s="587"/>
      <c r="L98" s="588"/>
      <c r="M98" s="589"/>
      <c r="N98" s="1151"/>
      <c r="O98" s="1151"/>
      <c r="P98" s="2615"/>
      <c r="Q98" s="503"/>
    </row>
    <row r="99" spans="1:17" ht="15.75" thickBot="1">
      <c r="A99" s="2621"/>
      <c r="B99" s="568"/>
      <c r="C99" s="590"/>
      <c r="D99" s="590"/>
      <c r="E99" s="590"/>
      <c r="F99" s="590"/>
      <c r="G99" s="590"/>
      <c r="H99" s="590"/>
      <c r="I99" s="590"/>
      <c r="J99" s="590"/>
      <c r="K99" s="590"/>
      <c r="L99" s="590"/>
      <c r="M99" s="591"/>
      <c r="N99" s="1152"/>
      <c r="O99" s="1152"/>
      <c r="P99" s="2615"/>
      <c r="Q99" s="503"/>
    </row>
    <row r="100" spans="1:17">
      <c r="A100" s="526" t="s">
        <v>2558</v>
      </c>
      <c r="B100" s="527" t="s">
        <v>2607</v>
      </c>
      <c r="C100" s="2960" t="s">
        <v>3285</v>
      </c>
      <c r="D100" s="2960" t="s">
        <v>3286</v>
      </c>
      <c r="E100" s="2960" t="s">
        <v>3284</v>
      </c>
      <c r="F100" s="529"/>
      <c r="G100" s="529"/>
      <c r="H100" s="529"/>
      <c r="I100" s="529"/>
      <c r="J100" s="529"/>
      <c r="K100" s="530"/>
      <c r="L100" s="531"/>
      <c r="M100" s="532"/>
      <c r="N100" s="1151"/>
      <c r="O100" s="1151"/>
      <c r="P100" s="2615"/>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2"/>
      <c r="O101" s="1152"/>
      <c r="P101" s="2615"/>
      <c r="Q101" s="503"/>
    </row>
    <row r="102" spans="1:17" ht="29.25" thickTop="1">
      <c r="A102" s="533"/>
      <c r="B102" s="537" t="s">
        <v>2608</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300000(含)-350000</v>
      </c>
      <c r="J102" s="577" t="str">
        <f t="shared" si="27"/>
        <v>350000(含)-</v>
      </c>
      <c r="K102" s="577" t="str">
        <f>K103&amp;"(含)"&amp;"-"&amp;L103</f>
        <v>(含)-</v>
      </c>
      <c r="L102" s="577" t="str">
        <f t="shared" si="27"/>
        <v>(含)-</v>
      </c>
      <c r="M102" s="577" t="str">
        <f>M103&amp;"(含)"&amp;"-"&amp;P103</f>
        <v>(含)-</v>
      </c>
      <c r="N102" s="1150"/>
      <c r="O102" s="1150"/>
      <c r="P102" s="2615"/>
      <c r="Q102" s="503"/>
    </row>
    <row r="103" spans="1:17" s="470" customFormat="1">
      <c r="A103" s="592"/>
      <c r="B103" s="593"/>
      <c r="C103" s="594">
        <v>0</v>
      </c>
      <c r="D103" s="594">
        <f>C103+50000</f>
        <v>50000</v>
      </c>
      <c r="E103" s="594">
        <f t="shared" ref="E103:J103" si="28">D103+50000</f>
        <v>100000</v>
      </c>
      <c r="F103" s="594">
        <f t="shared" si="28"/>
        <v>150000</v>
      </c>
      <c r="G103" s="594">
        <f t="shared" si="28"/>
        <v>200000</v>
      </c>
      <c r="H103" s="594">
        <f t="shared" si="28"/>
        <v>250000</v>
      </c>
      <c r="I103" s="594">
        <f t="shared" si="28"/>
        <v>300000</v>
      </c>
      <c r="J103" s="594">
        <f t="shared" si="28"/>
        <v>350000</v>
      </c>
      <c r="K103" s="595"/>
      <c r="L103" s="596"/>
      <c r="M103" s="597"/>
      <c r="N103" s="1153"/>
      <c r="O103" s="1153"/>
      <c r="P103" s="2616"/>
      <c r="Q103" s="558"/>
    </row>
    <row r="104" spans="1:17" s="470" customFormat="1" ht="15.75" thickBot="1">
      <c r="A104" s="552"/>
      <c r="B104" s="542"/>
      <c r="C104" s="559">
        <v>100</v>
      </c>
      <c r="D104" s="535">
        <f>C104+0.5</f>
        <v>100.5</v>
      </c>
      <c r="E104" s="535">
        <f t="shared" ref="E104:J104" si="29">D104+0.5</f>
        <v>101</v>
      </c>
      <c r="F104" s="535">
        <f t="shared" si="29"/>
        <v>101.5</v>
      </c>
      <c r="G104" s="535">
        <f t="shared" si="29"/>
        <v>102</v>
      </c>
      <c r="H104" s="535">
        <f t="shared" si="29"/>
        <v>102.5</v>
      </c>
      <c r="I104" s="535">
        <f t="shared" si="29"/>
        <v>103</v>
      </c>
      <c r="J104" s="535">
        <f t="shared" si="29"/>
        <v>103.5</v>
      </c>
      <c r="K104" s="535"/>
      <c r="L104" s="535"/>
      <c r="M104" s="535"/>
      <c r="N104" s="1152"/>
      <c r="O104" s="1152"/>
      <c r="P104" s="2616"/>
      <c r="Q104" s="558"/>
    </row>
    <row r="105" spans="1:17" ht="15" thickTop="1">
      <c r="A105" s="598"/>
      <c r="B105" s="537" t="s">
        <v>2609</v>
      </c>
      <c r="C105" s="2961" t="s">
        <v>3287</v>
      </c>
      <c r="D105" s="553"/>
      <c r="E105" s="582"/>
      <c r="F105" s="582"/>
      <c r="G105" s="582"/>
      <c r="H105" s="582"/>
      <c r="I105" s="582"/>
      <c r="J105" s="582"/>
      <c r="K105" s="583"/>
      <c r="L105" s="584"/>
      <c r="M105" s="585"/>
      <c r="N105" s="1151"/>
      <c r="O105" s="1151"/>
      <c r="P105" s="2615"/>
      <c r="Q105" s="503"/>
    </row>
    <row r="106" spans="1:17" ht="15.75" thickBot="1">
      <c r="A106" s="533"/>
      <c r="B106" s="542"/>
      <c r="C106" s="543">
        <v>100</v>
      </c>
      <c r="D106" s="543">
        <f t="shared" ref="D106:M106" si="30">C106-$K34</f>
        <v>98</v>
      </c>
      <c r="E106" s="543">
        <f t="shared" si="30"/>
        <v>96</v>
      </c>
      <c r="F106" s="543">
        <f t="shared" si="30"/>
        <v>94</v>
      </c>
      <c r="G106" s="543">
        <f t="shared" si="30"/>
        <v>92</v>
      </c>
      <c r="H106" s="543">
        <f t="shared" si="30"/>
        <v>90</v>
      </c>
      <c r="I106" s="543">
        <f t="shared" si="30"/>
        <v>88</v>
      </c>
      <c r="J106" s="543">
        <f t="shared" si="30"/>
        <v>86</v>
      </c>
      <c r="K106" s="543">
        <f t="shared" si="30"/>
        <v>84</v>
      </c>
      <c r="L106" s="543">
        <f t="shared" si="30"/>
        <v>82</v>
      </c>
      <c r="M106" s="543">
        <f t="shared" si="30"/>
        <v>80</v>
      </c>
      <c r="N106" s="1152"/>
      <c r="O106" s="1152"/>
      <c r="P106" s="2615"/>
      <c r="Q106" s="503"/>
    </row>
    <row r="107" spans="1:17" ht="15" thickTop="1">
      <c r="A107" s="598"/>
      <c r="B107" s="537" t="s">
        <v>2610</v>
      </c>
      <c r="C107" s="2962" t="s">
        <v>3288</v>
      </c>
      <c r="D107" s="2962" t="s">
        <v>3289</v>
      </c>
      <c r="E107" s="582"/>
      <c r="F107" s="582"/>
      <c r="G107" s="582"/>
      <c r="H107" s="582"/>
      <c r="I107" s="582"/>
      <c r="J107" s="582"/>
      <c r="K107" s="583"/>
      <c r="L107" s="584"/>
      <c r="M107" s="585"/>
      <c r="N107" s="1151"/>
      <c r="O107" s="1151"/>
      <c r="P107" s="2615"/>
      <c r="Q107" s="503"/>
    </row>
    <row r="108" spans="1:17" ht="15.75" thickBot="1">
      <c r="A108" s="533"/>
      <c r="B108" s="542"/>
      <c r="C108" s="543">
        <v>100</v>
      </c>
      <c r="D108" s="543">
        <f t="shared" ref="D108:M108" si="31">C108-$K35</f>
        <v>98</v>
      </c>
      <c r="E108" s="543">
        <f t="shared" si="31"/>
        <v>96</v>
      </c>
      <c r="F108" s="543">
        <f t="shared" si="31"/>
        <v>94</v>
      </c>
      <c r="G108" s="543">
        <f t="shared" si="31"/>
        <v>92</v>
      </c>
      <c r="H108" s="543">
        <f t="shared" si="31"/>
        <v>90</v>
      </c>
      <c r="I108" s="543">
        <f t="shared" si="31"/>
        <v>88</v>
      </c>
      <c r="J108" s="543">
        <f t="shared" si="31"/>
        <v>86</v>
      </c>
      <c r="K108" s="543">
        <f t="shared" si="31"/>
        <v>84</v>
      </c>
      <c r="L108" s="543">
        <f t="shared" si="31"/>
        <v>82</v>
      </c>
      <c r="M108" s="543">
        <f t="shared" si="31"/>
        <v>80</v>
      </c>
      <c r="N108" s="1152"/>
      <c r="O108" s="1152"/>
      <c r="P108" s="2615"/>
      <c r="Q108" s="503"/>
    </row>
    <row r="109" spans="1:17" ht="15" thickTop="1">
      <c r="A109" s="598"/>
      <c r="B109" s="537" t="s">
        <v>2611</v>
      </c>
      <c r="C109" s="2961" t="s">
        <v>3291</v>
      </c>
      <c r="D109" s="2961" t="s">
        <v>3292</v>
      </c>
      <c r="E109" s="2961" t="s">
        <v>3293</v>
      </c>
      <c r="F109" s="2962" t="s">
        <v>3295</v>
      </c>
      <c r="G109" s="582"/>
      <c r="H109" s="582"/>
      <c r="I109" s="582"/>
      <c r="J109" s="582"/>
      <c r="K109" s="583"/>
      <c r="L109" s="584"/>
      <c r="M109" s="585"/>
      <c r="N109" s="1151"/>
      <c r="O109" s="1151"/>
      <c r="P109" s="2615"/>
      <c r="Q109" s="503"/>
    </row>
    <row r="110" spans="1:17" ht="15.75" thickBot="1">
      <c r="A110" s="533"/>
      <c r="B110" s="542"/>
      <c r="C110" s="543">
        <v>100</v>
      </c>
      <c r="D110" s="543">
        <f t="shared" ref="D110:M110" si="32">C110-$K36</f>
        <v>98.5</v>
      </c>
      <c r="E110" s="543">
        <f t="shared" si="32"/>
        <v>97</v>
      </c>
      <c r="F110" s="543">
        <f t="shared" si="32"/>
        <v>95.5</v>
      </c>
      <c r="G110" s="543">
        <f t="shared" si="32"/>
        <v>94</v>
      </c>
      <c r="H110" s="543">
        <f t="shared" si="32"/>
        <v>92.5</v>
      </c>
      <c r="I110" s="543">
        <f t="shared" si="32"/>
        <v>91</v>
      </c>
      <c r="J110" s="543">
        <f t="shared" si="32"/>
        <v>89.5</v>
      </c>
      <c r="K110" s="543">
        <f t="shared" si="32"/>
        <v>88</v>
      </c>
      <c r="L110" s="543">
        <f t="shared" si="32"/>
        <v>86.5</v>
      </c>
      <c r="M110" s="543">
        <f t="shared" si="32"/>
        <v>85</v>
      </c>
      <c r="N110" s="1152"/>
      <c r="O110" s="1152"/>
      <c r="P110" s="2615"/>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16"/>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16"/>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3"/>
      <c r="O113" s="1153"/>
      <c r="P113" s="2616"/>
      <c r="Q113" s="558"/>
    </row>
    <row r="114" spans="1:17" ht="15" thickTop="1">
      <c r="A114" s="598"/>
      <c r="B114" s="537" t="s">
        <v>2612</v>
      </c>
      <c r="C114" s="2962" t="s">
        <v>3288</v>
      </c>
      <c r="D114" s="2962" t="s">
        <v>3289</v>
      </c>
      <c r="E114" s="582"/>
      <c r="F114" s="582"/>
      <c r="G114" s="582"/>
      <c r="H114" s="582"/>
      <c r="I114" s="582"/>
      <c r="J114" s="582"/>
      <c r="K114" s="583"/>
      <c r="L114" s="584"/>
      <c r="M114" s="585"/>
      <c r="N114" s="1151"/>
      <c r="O114" s="1151"/>
      <c r="P114" s="2615"/>
      <c r="Q114" s="503"/>
    </row>
    <row r="115" spans="1:17" ht="15.75" thickBot="1">
      <c r="A115" s="533"/>
      <c r="B115" s="542"/>
      <c r="C115" s="543">
        <v>100</v>
      </c>
      <c r="D115" s="543">
        <f t="shared" ref="D115:M115" si="33">C115-$K38</f>
        <v>99</v>
      </c>
      <c r="E115" s="543">
        <f t="shared" si="33"/>
        <v>98</v>
      </c>
      <c r="F115" s="543">
        <f t="shared" si="33"/>
        <v>97</v>
      </c>
      <c r="G115" s="543">
        <f t="shared" si="33"/>
        <v>96</v>
      </c>
      <c r="H115" s="543">
        <f t="shared" si="33"/>
        <v>95</v>
      </c>
      <c r="I115" s="543">
        <f t="shared" si="33"/>
        <v>94</v>
      </c>
      <c r="J115" s="543">
        <f t="shared" si="33"/>
        <v>93</v>
      </c>
      <c r="K115" s="543">
        <f t="shared" si="33"/>
        <v>92</v>
      </c>
      <c r="L115" s="543">
        <f t="shared" si="33"/>
        <v>91</v>
      </c>
      <c r="M115" s="543">
        <f t="shared" si="33"/>
        <v>90</v>
      </c>
      <c r="N115" s="1152"/>
      <c r="O115" s="1152"/>
      <c r="P115" s="2615"/>
      <c r="Q115" s="503"/>
    </row>
    <row r="116" spans="1:17" ht="15" thickTop="1">
      <c r="A116" s="598"/>
      <c r="B116" s="537" t="s">
        <v>2613</v>
      </c>
      <c r="C116" s="2961" t="s">
        <v>3239</v>
      </c>
      <c r="D116" s="553" t="s">
        <v>3240</v>
      </c>
      <c r="E116" s="553" t="s">
        <v>3241</v>
      </c>
      <c r="F116" s="553" t="s">
        <v>3242</v>
      </c>
      <c r="G116" s="553" t="s">
        <v>3243</v>
      </c>
      <c r="H116" s="582"/>
      <c r="I116" s="582"/>
      <c r="J116" s="582"/>
      <c r="K116" s="583"/>
      <c r="L116" s="584"/>
      <c r="M116" s="585"/>
      <c r="N116" s="1151"/>
      <c r="O116" s="1151"/>
      <c r="P116" s="2615"/>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2"/>
      <c r="O117" s="1152"/>
      <c r="P117" s="2615"/>
      <c r="Q117" s="503"/>
    </row>
    <row r="118" spans="1:17" ht="15" thickTop="1">
      <c r="A118" s="598"/>
      <c r="B118" s="537" t="s">
        <v>2614</v>
      </c>
      <c r="C118" s="582"/>
      <c r="D118" s="582"/>
      <c r="E118" s="582"/>
      <c r="F118" s="582"/>
      <c r="G118" s="582"/>
      <c r="H118" s="582"/>
      <c r="I118" s="582"/>
      <c r="J118" s="582"/>
      <c r="K118" s="583"/>
      <c r="L118" s="584"/>
      <c r="M118" s="585"/>
      <c r="N118" s="1151"/>
      <c r="O118" s="1151"/>
      <c r="P118" s="2615"/>
      <c r="Q118" s="503"/>
    </row>
    <row r="119" spans="1:17" ht="15.75" thickBot="1">
      <c r="A119" s="533"/>
      <c r="B119" s="542"/>
      <c r="C119" s="543">
        <v>100</v>
      </c>
      <c r="D119" s="543">
        <f t="shared" ref="D119:M119" si="34">C119-$K40</f>
        <v>100</v>
      </c>
      <c r="E119" s="543">
        <f t="shared" si="34"/>
        <v>100</v>
      </c>
      <c r="F119" s="543">
        <f t="shared" si="34"/>
        <v>100</v>
      </c>
      <c r="G119" s="543">
        <f t="shared" si="34"/>
        <v>100</v>
      </c>
      <c r="H119" s="543">
        <f t="shared" si="34"/>
        <v>100</v>
      </c>
      <c r="I119" s="543">
        <f t="shared" si="34"/>
        <v>100</v>
      </c>
      <c r="J119" s="543">
        <f t="shared" si="34"/>
        <v>100</v>
      </c>
      <c r="K119" s="543">
        <f t="shared" si="34"/>
        <v>100</v>
      </c>
      <c r="L119" s="543">
        <f t="shared" si="34"/>
        <v>100</v>
      </c>
      <c r="M119" s="543">
        <f t="shared" si="34"/>
        <v>100</v>
      </c>
      <c r="N119" s="1152"/>
      <c r="O119" s="1152"/>
      <c r="P119" s="2615"/>
      <c r="Q119" s="503"/>
    </row>
    <row r="120" spans="1:17" s="470" customFormat="1" ht="28.5" thickTop="1">
      <c r="A120" s="592"/>
      <c r="B120" s="537" t="s">
        <v>2569</v>
      </c>
      <c r="C120" s="553"/>
      <c r="D120" s="553"/>
      <c r="E120" s="553"/>
      <c r="F120" s="553"/>
      <c r="G120" s="553"/>
      <c r="H120" s="553"/>
      <c r="I120" s="553"/>
      <c r="J120" s="553"/>
      <c r="K120" s="553"/>
      <c r="L120" s="579"/>
      <c r="M120" s="580"/>
      <c r="N120" s="1153"/>
      <c r="O120" s="1153"/>
      <c r="P120" s="2616"/>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16"/>
      <c r="Q121" s="558"/>
    </row>
    <row r="122" spans="1:17" ht="15" thickTop="1">
      <c r="A122" s="598"/>
      <c r="B122" s="537" t="s">
        <v>2615</v>
      </c>
      <c r="C122" s="2961" t="s">
        <v>3291</v>
      </c>
      <c r="D122" s="2961" t="s">
        <v>3292</v>
      </c>
      <c r="E122" s="2961" t="s">
        <v>3293</v>
      </c>
      <c r="F122" s="2962" t="s">
        <v>3295</v>
      </c>
      <c r="G122" s="582"/>
      <c r="H122" s="582"/>
      <c r="I122" s="582"/>
      <c r="J122" s="582"/>
      <c r="K122" s="583"/>
      <c r="L122" s="584"/>
      <c r="M122" s="585"/>
      <c r="N122" s="1151"/>
      <c r="O122" s="1151"/>
      <c r="P122" s="2615"/>
      <c r="Q122" s="503"/>
    </row>
    <row r="123" spans="1:17" ht="15.75" thickBot="1">
      <c r="A123" s="533"/>
      <c r="B123" s="542"/>
      <c r="C123" s="543">
        <v>100</v>
      </c>
      <c r="D123" s="543">
        <f t="shared" ref="D123:M123" si="35">C123-$K42</f>
        <v>99</v>
      </c>
      <c r="E123" s="543">
        <f t="shared" si="35"/>
        <v>98</v>
      </c>
      <c r="F123" s="543">
        <f t="shared" si="35"/>
        <v>97</v>
      </c>
      <c r="G123" s="543">
        <f t="shared" si="35"/>
        <v>96</v>
      </c>
      <c r="H123" s="543">
        <f t="shared" si="35"/>
        <v>95</v>
      </c>
      <c r="I123" s="543">
        <f t="shared" si="35"/>
        <v>94</v>
      </c>
      <c r="J123" s="543">
        <f t="shared" si="35"/>
        <v>93</v>
      </c>
      <c r="K123" s="543">
        <f t="shared" si="35"/>
        <v>92</v>
      </c>
      <c r="L123" s="543">
        <f t="shared" si="35"/>
        <v>91</v>
      </c>
      <c r="M123" s="543">
        <f t="shared" si="35"/>
        <v>90</v>
      </c>
      <c r="N123" s="1152"/>
      <c r="O123" s="1152"/>
      <c r="P123" s="2615"/>
      <c r="Q123" s="503"/>
    </row>
    <row r="124" spans="1:17" ht="15" thickTop="1">
      <c r="A124" s="598"/>
      <c r="B124" s="537" t="s">
        <v>2616</v>
      </c>
      <c r="C124" s="577" t="s">
        <v>2592</v>
      </c>
      <c r="D124" s="577" t="s">
        <v>2593</v>
      </c>
      <c r="E124" s="577" t="s">
        <v>2594</v>
      </c>
      <c r="F124" s="577" t="s">
        <v>2595</v>
      </c>
      <c r="G124" s="577" t="s">
        <v>2596</v>
      </c>
      <c r="H124" s="538"/>
      <c r="I124" s="538"/>
      <c r="J124" s="538"/>
      <c r="K124" s="539"/>
      <c r="L124" s="540"/>
      <c r="M124" s="541"/>
      <c r="N124" s="1151"/>
      <c r="O124" s="1151"/>
      <c r="P124" s="2616"/>
      <c r="Q124" s="503"/>
    </row>
    <row r="125" spans="1:17" ht="15.75" thickBot="1">
      <c r="A125" s="533"/>
      <c r="B125" s="542"/>
      <c r="C125" s="543">
        <v>100</v>
      </c>
      <c r="D125" s="543">
        <f>C125-$K43</f>
        <v>99</v>
      </c>
      <c r="E125" s="543">
        <f>D125-$K43</f>
        <v>98</v>
      </c>
      <c r="F125" s="543">
        <f>E125-$K43</f>
        <v>97</v>
      </c>
      <c r="G125" s="543">
        <f>F125-$K43</f>
        <v>96</v>
      </c>
      <c r="H125" s="543"/>
      <c r="I125" s="543"/>
      <c r="J125" s="543"/>
      <c r="K125" s="543"/>
      <c r="L125" s="543"/>
      <c r="M125" s="544"/>
      <c r="N125" s="1152"/>
      <c r="O125" s="1152"/>
      <c r="P125" s="2615"/>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16"/>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16"/>
      <c r="Q127" s="558"/>
    </row>
    <row r="128" spans="1:17" ht="15" thickTop="1">
      <c r="A128" s="598"/>
      <c r="B128" s="537">
        <f>B45</f>
        <v>111</v>
      </c>
      <c r="C128" s="553"/>
      <c r="D128" s="553"/>
      <c r="E128" s="553"/>
      <c r="F128" s="553"/>
      <c r="G128" s="582"/>
      <c r="H128" s="582"/>
      <c r="I128" s="582"/>
      <c r="J128" s="582"/>
      <c r="K128" s="583"/>
      <c r="L128" s="584"/>
      <c r="M128" s="585"/>
      <c r="N128" s="1151"/>
      <c r="O128" s="1151"/>
      <c r="P128" s="2615"/>
      <c r="Q128" s="503"/>
    </row>
    <row r="129" spans="1:17" ht="15.75" thickBot="1">
      <c r="A129" s="533"/>
      <c r="B129" s="542"/>
      <c r="C129" s="559"/>
      <c r="D129" s="559"/>
      <c r="E129" s="559"/>
      <c r="F129" s="559"/>
      <c r="G129" s="535"/>
      <c r="H129" s="535"/>
      <c r="I129" s="535"/>
      <c r="J129" s="535"/>
      <c r="K129" s="535"/>
      <c r="L129" s="535"/>
      <c r="M129" s="536"/>
      <c r="N129" s="1152"/>
      <c r="O129" s="1152"/>
      <c r="P129" s="2615"/>
      <c r="Q129" s="503"/>
    </row>
    <row r="130" spans="1:17" ht="15" thickTop="1">
      <c r="A130" s="598"/>
      <c r="B130" s="545">
        <f>B46</f>
        <v>111</v>
      </c>
      <c r="C130" s="553"/>
      <c r="D130" s="553"/>
      <c r="E130" s="553"/>
      <c r="F130" s="553"/>
      <c r="G130" s="586"/>
      <c r="H130" s="586"/>
      <c r="I130" s="586"/>
      <c r="J130" s="586"/>
      <c r="K130" s="522"/>
      <c r="L130" s="523"/>
      <c r="M130" s="589"/>
      <c r="N130" s="1151"/>
      <c r="O130" s="1151"/>
      <c r="P130" s="2615"/>
      <c r="Q130" s="503"/>
    </row>
    <row r="131" spans="1:17" ht="15.75" thickBot="1">
      <c r="A131" s="2621"/>
      <c r="B131" s="568"/>
      <c r="C131" s="569"/>
      <c r="D131" s="569"/>
      <c r="E131" s="569"/>
      <c r="F131" s="569"/>
      <c r="G131" s="590"/>
      <c r="H131" s="590"/>
      <c r="I131" s="590"/>
      <c r="J131" s="590"/>
      <c r="K131" s="590"/>
      <c r="L131" s="590"/>
      <c r="M131" s="591"/>
      <c r="N131" s="1152"/>
      <c r="O131" s="1152"/>
      <c r="P131" s="2615"/>
      <c r="Q131" s="503"/>
    </row>
    <row r="136" spans="1:17" ht="15" thickBot="1">
      <c r="B136" s="2622" t="s">
        <v>2617</v>
      </c>
    </row>
    <row r="137" spans="1:17" ht="15">
      <c r="B137" s="2623" t="s">
        <v>2618</v>
      </c>
      <c r="C137" s="2624"/>
      <c r="D137" s="2624"/>
      <c r="E137" s="2624"/>
      <c r="F137" s="2624"/>
      <c r="G137" s="2625"/>
      <c r="H137" s="2626"/>
      <c r="I137" s="2627" t="s">
        <v>2619</v>
      </c>
      <c r="J137" s="2624"/>
      <c r="K137" s="2628"/>
    </row>
    <row r="138" spans="1:17" ht="15">
      <c r="B138" s="2629"/>
      <c r="C138" s="146" t="s">
        <v>2620</v>
      </c>
      <c r="D138" s="146" t="s">
        <v>2621</v>
      </c>
      <c r="E138" s="2630" t="s">
        <v>2622</v>
      </c>
      <c r="F138" s="2631" t="s">
        <v>2623</v>
      </c>
      <c r="G138" s="146" t="s">
        <v>2621</v>
      </c>
      <c r="H138" s="147" t="s">
        <v>2622</v>
      </c>
      <c r="I138" s="2632"/>
      <c r="J138" s="146" t="s">
        <v>2624</v>
      </c>
      <c r="K138" s="147" t="s">
        <v>2625</v>
      </c>
    </row>
    <row r="139" spans="1:17" ht="15">
      <c r="B139" s="1083">
        <v>6</v>
      </c>
      <c r="C139" s="1084">
        <v>96</v>
      </c>
      <c r="D139" s="2633" t="s">
        <v>2626</v>
      </c>
      <c r="E139" s="1085">
        <v>100</v>
      </c>
      <c r="F139" s="1086">
        <v>102.5</v>
      </c>
      <c r="G139" s="2633" t="s">
        <v>2626</v>
      </c>
      <c r="H139" s="1087">
        <v>105</v>
      </c>
      <c r="I139" s="2634" t="s">
        <v>2627</v>
      </c>
      <c r="J139" s="1084">
        <v>20</v>
      </c>
      <c r="K139" s="1088">
        <f>C145/(J139-2)</f>
        <v>4.0555555555555553E-3</v>
      </c>
    </row>
    <row r="140" spans="1:17" ht="15">
      <c r="B140" s="1089">
        <v>5</v>
      </c>
      <c r="C140" s="1090">
        <v>100</v>
      </c>
      <c r="D140" s="1090"/>
      <c r="E140" s="1091"/>
      <c r="F140" s="1092">
        <v>102</v>
      </c>
      <c r="G140" s="1090"/>
      <c r="H140" s="1093"/>
      <c r="I140" s="2635" t="s">
        <v>2628</v>
      </c>
      <c r="J140" s="315">
        <f>ROUNDUP((J139-1)/2,0)</f>
        <v>10</v>
      </c>
      <c r="K140" s="1094">
        <v>100</v>
      </c>
    </row>
    <row r="141" spans="1:17" ht="15">
      <c r="B141" s="1089">
        <v>4</v>
      </c>
      <c r="C141" s="1090">
        <v>102</v>
      </c>
      <c r="D141" s="1090"/>
      <c r="E141" s="1091"/>
      <c r="F141" s="1092">
        <v>101.5</v>
      </c>
      <c r="G141" s="1090"/>
      <c r="H141" s="1093"/>
      <c r="I141" s="2635" t="s">
        <v>2629</v>
      </c>
      <c r="J141" s="315">
        <v>1</v>
      </c>
      <c r="K141" s="1095">
        <f>ROUND(100+(J141-J140)*K139*100,1)</f>
        <v>96.4</v>
      </c>
    </row>
    <row r="142" spans="1:17" ht="15">
      <c r="B142" s="1089">
        <v>3</v>
      </c>
      <c r="C142" s="1090">
        <v>103</v>
      </c>
      <c r="D142" s="1090"/>
      <c r="E142" s="1091"/>
      <c r="F142" s="1092">
        <v>101</v>
      </c>
      <c r="G142" s="1090"/>
      <c r="H142" s="1093"/>
      <c r="I142" s="2635" t="s">
        <v>2630</v>
      </c>
      <c r="J142" s="315">
        <f>J139</f>
        <v>20</v>
      </c>
      <c r="K142" s="1096">
        <v>95</v>
      </c>
    </row>
    <row r="143" spans="1:17" ht="15">
      <c r="B143" s="1089">
        <v>2</v>
      </c>
      <c r="C143" s="1090">
        <v>100</v>
      </c>
      <c r="D143" s="1090"/>
      <c r="E143" s="1091"/>
      <c r="F143" s="1092">
        <v>100.5</v>
      </c>
      <c r="G143" s="1090"/>
      <c r="H143" s="1093"/>
      <c r="I143" s="2635" t="s">
        <v>2631</v>
      </c>
      <c r="J143" s="1090">
        <v>15</v>
      </c>
      <c r="K143" s="1095">
        <f>ROUND(100+(J143-J140)*K139*100,1)</f>
        <v>102</v>
      </c>
    </row>
    <row r="144" spans="1:17" ht="15">
      <c r="B144" s="1089">
        <v>1</v>
      </c>
      <c r="C144" s="1090">
        <v>98</v>
      </c>
      <c r="D144" s="2636" t="s">
        <v>2632</v>
      </c>
      <c r="E144" s="1091">
        <v>102</v>
      </c>
      <c r="F144" s="1097">
        <v>100</v>
      </c>
      <c r="G144" s="2636" t="s">
        <v>2632</v>
      </c>
      <c r="H144" s="1093">
        <v>105</v>
      </c>
      <c r="I144" s="2635" t="s">
        <v>2631</v>
      </c>
      <c r="J144" s="1090">
        <v>18</v>
      </c>
      <c r="K144" s="1095">
        <f>ROUND(100+(J144-J140)*K139*100,1)</f>
        <v>103.2</v>
      </c>
    </row>
    <row r="145" spans="2:11" ht="15.75" thickBot="1">
      <c r="B145" s="2637" t="s">
        <v>2633</v>
      </c>
      <c r="C145" s="1098">
        <f>ROUND(MAX(C139:C144)/MIN(C139:C144)-1,3)</f>
        <v>7.2999999999999995E-2</v>
      </c>
      <c r="D145" s="1099"/>
      <c r="E145" s="1099"/>
      <c r="F145" s="2638" t="s">
        <v>2634</v>
      </c>
      <c r="G145" s="2639"/>
      <c r="H145" s="2640"/>
      <c r="I145" s="2641" t="s">
        <v>2631</v>
      </c>
      <c r="J145" s="1100">
        <v>8</v>
      </c>
      <c r="K145" s="1101">
        <f>ROUND(100+(J145-J140)*K139*100,1)</f>
        <v>99.2</v>
      </c>
    </row>
    <row r="147" spans="2:11">
      <c r="B147" s="2622" t="s">
        <v>2635</v>
      </c>
    </row>
    <row r="148" spans="2:11">
      <c r="B148" s="2622" t="s">
        <v>2636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0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569" t="s">
        <v>2637</v>
      </c>
      <c r="C1" s="1631" t="s">
        <v>2525</v>
      </c>
      <c r="D1" s="1618"/>
      <c r="E1" s="2642"/>
      <c r="F1" s="2571"/>
      <c r="G1" s="1628" t="s">
        <v>2638</v>
      </c>
      <c r="H1" s="1627"/>
      <c r="I1" s="1627"/>
      <c r="J1" s="1627"/>
      <c r="K1" s="1629"/>
      <c r="L1" s="1630"/>
      <c r="M1" s="1631"/>
      <c r="N1" s="1631"/>
      <c r="O1" s="1631"/>
      <c r="P1" s="2643"/>
      <c r="Q1" s="2644"/>
      <c r="R1" s="2644"/>
      <c r="S1" s="2644"/>
      <c r="T1" s="2644"/>
      <c r="U1" s="2644"/>
      <c r="V1" s="2644"/>
      <c r="W1" s="2644"/>
      <c r="X1" s="2644"/>
      <c r="Y1" s="2644"/>
      <c r="Z1" s="2644"/>
      <c r="AA1" s="2644"/>
      <c r="AB1" s="2644"/>
      <c r="AC1" s="2645"/>
    </row>
    <row r="2" spans="1:29" s="397" customFormat="1" ht="28.5" customHeight="1" thickTop="1">
      <c r="A2" s="1614" t="s">
        <v>2325</v>
      </c>
      <c r="B2" s="1415" t="e">
        <f ca="1">IF(C2="——",ROUND(C49*D3/10000,0),ROUND(C49*D3/10000,0)-D2)</f>
        <v>#DIV/0!</v>
      </c>
      <c r="C2" s="2573"/>
      <c r="D2" s="1362" t="e">
        <f ca="1">SUMIF(INDIRECT("'"&amp;F2&amp;"'"&amp;"!A:A"),"承租人权益价值",INDIRECT("'"&amp;F2&amp;"'"&amp;"!c:c"))</f>
        <v>#REF!</v>
      </c>
      <c r="E2" s="2574" t="s">
        <v>2326</v>
      </c>
      <c r="F2" s="2575"/>
      <c r="G2" s="1124"/>
      <c r="H2" s="1124"/>
      <c r="I2" s="1124"/>
      <c r="J2" s="1124"/>
      <c r="K2" s="1124"/>
      <c r="L2" s="1127"/>
      <c r="M2" s="1128"/>
      <c r="N2" s="1128"/>
      <c r="O2" s="1128"/>
      <c r="P2" s="2646"/>
      <c r="Q2" s="1128"/>
      <c r="R2" s="1128"/>
      <c r="S2" s="1128"/>
      <c r="T2" s="1128"/>
      <c r="U2" s="1128"/>
      <c r="V2" s="1128"/>
      <c r="W2" s="1128"/>
      <c r="X2" s="1128"/>
      <c r="Y2" s="1128"/>
      <c r="Z2" s="1128"/>
      <c r="AA2" s="1128"/>
      <c r="AB2" s="1128"/>
      <c r="AC2" s="2647"/>
    </row>
    <row r="3" spans="1:29" s="397" customFormat="1" ht="28.5" customHeight="1" thickBot="1">
      <c r="A3" s="247" t="s">
        <v>2327</v>
      </c>
      <c r="B3" s="608" t="e">
        <f ca="1">IF(C2="——",C49,ROUND(B2*10000/D3,0))</f>
        <v>#DIV/0!</v>
      </c>
      <c r="C3" s="399" t="s">
        <v>2639</v>
      </c>
      <c r="D3" s="398">
        <f>IF(D1="",'数据-汇总表'!E3,SUMIF('数据-汇总表'!$C19:$C33,D1,'数据-汇总表'!$E19:$E33))</f>
        <v>43490.38</v>
      </c>
      <c r="E3" s="2648"/>
      <c r="F3" s="1125"/>
      <c r="G3" s="1124"/>
      <c r="H3" s="1124"/>
      <c r="I3" s="1124"/>
      <c r="J3" s="1124"/>
      <c r="K3" s="1126"/>
      <c r="L3" s="1127"/>
      <c r="M3" s="1128"/>
      <c r="N3" s="1128"/>
      <c r="O3" s="1128"/>
      <c r="P3" s="2646"/>
      <c r="Q3" s="1128"/>
      <c r="R3" s="1128"/>
      <c r="S3" s="1128"/>
      <c r="T3" s="1128"/>
      <c r="U3" s="1128"/>
      <c r="V3" s="1128"/>
      <c r="W3" s="1128"/>
      <c r="X3" s="1128"/>
      <c r="Y3" s="1128"/>
      <c r="Z3" s="1128"/>
      <c r="AA3" s="1128"/>
      <c r="AB3" s="1128"/>
      <c r="AC3" s="2648"/>
    </row>
    <row r="4" spans="1:29" ht="15">
      <c r="A4" s="400" t="s">
        <v>2640</v>
      </c>
      <c r="B4" s="401"/>
      <c r="C4" s="3236" t="s">
        <v>2641</v>
      </c>
      <c r="D4" s="3237"/>
      <c r="E4" s="3238" t="s">
        <v>2642</v>
      </c>
      <c r="F4" s="3239"/>
      <c r="G4" s="3236" t="s">
        <v>2643</v>
      </c>
      <c r="H4" s="3237"/>
      <c r="I4" s="3236" t="s">
        <v>2644</v>
      </c>
      <c r="J4" s="3237"/>
      <c r="K4" s="609" t="s">
        <v>2645</v>
      </c>
      <c r="L4" s="1129"/>
      <c r="M4" s="1130"/>
      <c r="N4" s="1130"/>
      <c r="O4" s="1130"/>
      <c r="P4" s="3240" t="s">
        <v>2646</v>
      </c>
      <c r="Q4" s="3241"/>
      <c r="R4" s="3226" t="s">
        <v>2642</v>
      </c>
      <c r="S4" s="3227"/>
      <c r="T4" s="3226" t="s">
        <v>2643</v>
      </c>
      <c r="U4" s="3227"/>
      <c r="V4" s="3225" t="s">
        <v>2644</v>
      </c>
      <c r="W4" s="3225"/>
      <c r="X4" s="1802"/>
      <c r="Y4" s="3226" t="s">
        <v>2646</v>
      </c>
      <c r="Z4" s="3227"/>
      <c r="AA4" s="3232" t="s">
        <v>2642</v>
      </c>
      <c r="AB4" s="3225" t="s">
        <v>2643</v>
      </c>
      <c r="AC4" s="3232" t="s">
        <v>2644</v>
      </c>
    </row>
    <row r="5" spans="1:29" ht="15">
      <c r="A5" s="403"/>
      <c r="B5" s="404"/>
      <c r="C5" s="3256" t="s">
        <v>2537</v>
      </c>
      <c r="D5" s="3247"/>
      <c r="E5" s="3255" t="s">
        <v>2538</v>
      </c>
      <c r="F5" s="3249"/>
      <c r="G5" s="3256" t="s">
        <v>2539</v>
      </c>
      <c r="H5" s="3247"/>
      <c r="I5" s="3256" t="s">
        <v>2540</v>
      </c>
      <c r="J5" s="3247"/>
      <c r="K5" s="609"/>
      <c r="L5" s="1129"/>
      <c r="M5" s="1130"/>
      <c r="N5" s="1130"/>
      <c r="O5" s="1130"/>
      <c r="P5" s="3242"/>
      <c r="Q5" s="3243"/>
      <c r="R5" s="3228"/>
      <c r="S5" s="3229"/>
      <c r="T5" s="3228"/>
      <c r="U5" s="3229"/>
      <c r="V5" s="3225"/>
      <c r="W5" s="3225"/>
      <c r="X5" s="1802"/>
      <c r="Y5" s="3228"/>
      <c r="Z5" s="3229"/>
      <c r="AA5" s="3233"/>
      <c r="AB5" s="3225"/>
      <c r="AC5" s="3233"/>
    </row>
    <row r="6" spans="1:29" ht="15.75" thickBot="1">
      <c r="A6" s="405"/>
      <c r="B6" s="406"/>
      <c r="C6" s="3254" t="s">
        <v>2541</v>
      </c>
      <c r="D6" s="3251"/>
      <c r="E6" s="3257" t="s">
        <v>2541</v>
      </c>
      <c r="F6" s="3253"/>
      <c r="G6" s="3254" t="s">
        <v>2541</v>
      </c>
      <c r="H6" s="3251"/>
      <c r="I6" s="3254" t="s">
        <v>2541</v>
      </c>
      <c r="J6" s="3251"/>
      <c r="K6" s="609" t="s">
        <v>2542</v>
      </c>
      <c r="L6" s="1129"/>
      <c r="M6" s="1130"/>
      <c r="N6" s="1130"/>
      <c r="O6" s="1130"/>
      <c r="P6" s="3244"/>
      <c r="Q6" s="3245"/>
      <c r="R6" s="3228"/>
      <c r="S6" s="3229"/>
      <c r="T6" s="3230"/>
      <c r="U6" s="3231"/>
      <c r="V6" s="3225"/>
      <c r="W6" s="3225"/>
      <c r="X6" s="1802"/>
      <c r="Y6" s="3230"/>
      <c r="Z6" s="3231"/>
      <c r="AA6" s="3234"/>
      <c r="AB6" s="3225"/>
      <c r="AC6" s="3234"/>
    </row>
    <row r="7" spans="1:29" s="117" customFormat="1" ht="15.75" thickBot="1">
      <c r="A7" s="407" t="s">
        <v>2543</v>
      </c>
      <c r="B7" s="408"/>
      <c r="C7" s="409">
        <f>'数据-取费表'!B2</f>
        <v>43962</v>
      </c>
      <c r="D7" s="410">
        <v>100</v>
      </c>
      <c r="E7" s="411"/>
      <c r="F7" s="412">
        <f>SUMIF(58:58,YEAR(E7)&amp;"-"&amp;MONTH(E7),59:59)</f>
        <v>0</v>
      </c>
      <c r="G7" s="411"/>
      <c r="H7" s="410">
        <f>SUMIF(58:58,YEAR(G7)&amp;"-"&amp;MONTH(G7),59:59)</f>
        <v>0</v>
      </c>
      <c r="I7" s="411"/>
      <c r="J7" s="410">
        <f>SUMIF(58:58,YEAR(I7)&amp;"-"&amp;MONTH(I7),59:59)</f>
        <v>0</v>
      </c>
      <c r="K7" s="610"/>
      <c r="L7" s="1131"/>
      <c r="M7" s="1132"/>
      <c r="N7" s="1132"/>
      <c r="O7" s="1132"/>
      <c r="P7" s="3222" t="s">
        <v>2544</v>
      </c>
      <c r="Q7" s="3235"/>
      <c r="R7" s="769" t="s">
        <v>17</v>
      </c>
      <c r="S7" s="770">
        <f t="shared" ref="S7:S15" si="0">F7</f>
        <v>0</v>
      </c>
      <c r="T7" s="769" t="s">
        <v>17</v>
      </c>
      <c r="U7" s="770">
        <f t="shared" ref="U7:U15" si="1">H7</f>
        <v>0</v>
      </c>
      <c r="V7" s="769" t="s">
        <v>17</v>
      </c>
      <c r="W7" s="770">
        <f t="shared" ref="W7:W15" si="2">J7</f>
        <v>0</v>
      </c>
      <c r="X7" s="771"/>
      <c r="Y7" s="3222" t="s">
        <v>2544</v>
      </c>
      <c r="Z7" s="3223"/>
      <c r="AA7" s="772" t="e">
        <f>D7/F7</f>
        <v>#DIV/0!</v>
      </c>
      <c r="AB7" s="772" t="e">
        <f>D7/H7</f>
        <v>#DIV/0!</v>
      </c>
      <c r="AC7" s="772" t="e">
        <f>D7/J7</f>
        <v>#DIV/0!</v>
      </c>
    </row>
    <row r="8" spans="1:29" s="117" customFormat="1" ht="15.75" thickBot="1">
      <c r="A8" s="407" t="s">
        <v>2545</v>
      </c>
      <c r="B8" s="408"/>
      <c r="C8" s="413" t="s">
        <v>2647</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222" t="s">
        <v>2547</v>
      </c>
      <c r="Q8" s="3223"/>
      <c r="R8" s="769" t="s">
        <v>17</v>
      </c>
      <c r="S8" s="770">
        <f t="shared" si="0"/>
        <v>0</v>
      </c>
      <c r="T8" s="769" t="s">
        <v>17</v>
      </c>
      <c r="U8" s="770">
        <f t="shared" si="1"/>
        <v>0</v>
      </c>
      <c r="V8" s="769" t="s">
        <v>17</v>
      </c>
      <c r="W8" s="770">
        <f t="shared" si="2"/>
        <v>0</v>
      </c>
      <c r="X8" s="771"/>
      <c r="Y8" s="3222" t="s">
        <v>2547</v>
      </c>
      <c r="Z8" s="3223"/>
      <c r="AA8" s="772" t="e">
        <f t="shared" ref="AA8:AA46" si="3">D8/F8</f>
        <v>#DIV/0!</v>
      </c>
      <c r="AB8" s="772" t="e">
        <f t="shared" ref="AB8:AB46" si="4">D8/H8</f>
        <v>#DIV/0!</v>
      </c>
      <c r="AC8" s="772" t="e">
        <f t="shared" ref="AC8:AC46" si="5">D8/J8</f>
        <v>#DIV/0!</v>
      </c>
    </row>
    <row r="9" spans="1:29" s="117" customFormat="1">
      <c r="A9" s="414" t="s">
        <v>2548</v>
      </c>
      <c r="B9" s="71" t="s">
        <v>2549</v>
      </c>
      <c r="C9" s="415"/>
      <c r="D9" s="135">
        <v>100</v>
      </c>
      <c r="E9" s="416"/>
      <c r="F9" s="417">
        <f>SUMIF(63:63,E9,64:64)-SUMIF(63:63,C9,64:64)+100</f>
        <v>100</v>
      </c>
      <c r="G9" s="416"/>
      <c r="H9" s="135">
        <f>SUMIF(63:63,G9,64:64)-SUMIF(63:63,C9,64:64)+100</f>
        <v>100</v>
      </c>
      <c r="I9" s="416"/>
      <c r="J9" s="135">
        <f>SUMIF(63:63,I9,64:64)-SUMIF(63:63,C9,64:64)+100</f>
        <v>100</v>
      </c>
      <c r="K9" s="610"/>
      <c r="L9" s="1131"/>
      <c r="M9" s="1132"/>
      <c r="N9" s="1132"/>
      <c r="O9" s="1132"/>
      <c r="P9" s="3224" t="s">
        <v>2550</v>
      </c>
      <c r="Q9" s="1784" t="str">
        <f t="shared" ref="Q9:Q15" si="6">B9</f>
        <v>用途</v>
      </c>
      <c r="R9" s="769" t="s">
        <v>17</v>
      </c>
      <c r="S9" s="770">
        <f t="shared" si="0"/>
        <v>100</v>
      </c>
      <c r="T9" s="769" t="s">
        <v>17</v>
      </c>
      <c r="U9" s="770">
        <f t="shared" si="1"/>
        <v>100</v>
      </c>
      <c r="V9" s="769" t="s">
        <v>17</v>
      </c>
      <c r="W9" s="770">
        <f t="shared" si="2"/>
        <v>100</v>
      </c>
      <c r="X9" s="771"/>
      <c r="Y9" s="3055" t="s">
        <v>2551</v>
      </c>
      <c r="Z9" s="55" t="str">
        <f t="shared" ref="Z9:Z15" si="7">Q9</f>
        <v>用途</v>
      </c>
      <c r="AA9" s="772">
        <f t="shared" si="3"/>
        <v>1</v>
      </c>
      <c r="AB9" s="772">
        <f t="shared" si="4"/>
        <v>1</v>
      </c>
      <c r="AC9" s="772">
        <f t="shared" si="5"/>
        <v>1</v>
      </c>
    </row>
    <row r="10" spans="1:29" s="426" customFormat="1" ht="27">
      <c r="A10" s="420"/>
      <c r="B10" s="421" t="s">
        <v>2552</v>
      </c>
      <c r="C10" s="422"/>
      <c r="D10" s="136">
        <v>100</v>
      </c>
      <c r="E10" s="423"/>
      <c r="F10" s="424">
        <f>SUMIF(65:65,E10,66:66)-SUMIF(65:65,C10,66:66)+100</f>
        <v>100</v>
      </c>
      <c r="G10" s="422"/>
      <c r="H10" s="136">
        <f>SUMIF(65:65,G10,66:66)-SUMIF(65:65,C10,66:66)+100</f>
        <v>100</v>
      </c>
      <c r="I10" s="422"/>
      <c r="J10" s="136">
        <f>SUMIF(65:65,I10,66:66)-SUMIF(65:65,C10,66:66)+100</f>
        <v>100</v>
      </c>
      <c r="K10" s="611"/>
      <c r="L10" s="1134"/>
      <c r="M10" s="1135"/>
      <c r="N10" s="1135"/>
      <c r="O10" s="1135"/>
      <c r="P10" s="3224"/>
      <c r="Q10" s="1784"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
      <c r="A11" s="427"/>
      <c r="B11" s="421" t="s">
        <v>2553</v>
      </c>
      <c r="C11" s="428"/>
      <c r="D11" s="136">
        <v>100</v>
      </c>
      <c r="E11" s="429"/>
      <c r="F11" s="424" t="e">
        <f>LOOKUP(E11,68:68,69:69)-LOOKUP(C11,68:68,69:69)+100</f>
        <v>#N/A</v>
      </c>
      <c r="G11" s="428"/>
      <c r="H11" s="136" t="e">
        <f>LOOKUP(G11,68:68,69:69)-LOOKUP(C11,68:68,69:69)+100</f>
        <v>#N/A</v>
      </c>
      <c r="I11" s="428"/>
      <c r="J11" s="136" t="e">
        <f>LOOKUP(I11,68:68,69:69)-LOOKUP(C11,68:68,69:69)+100</f>
        <v>#N/A</v>
      </c>
      <c r="K11" s="611"/>
      <c r="L11" s="1137"/>
      <c r="M11" s="1130"/>
      <c r="N11" s="1130"/>
      <c r="O11" s="1130"/>
      <c r="P11" s="3224"/>
      <c r="Q11" s="1784" t="str">
        <f t="shared" si="6"/>
        <v>容积率</v>
      </c>
      <c r="R11" s="769" t="s">
        <v>17</v>
      </c>
      <c r="S11" s="770" t="e">
        <f t="shared" si="0"/>
        <v>#N/A</v>
      </c>
      <c r="T11" s="769" t="s">
        <v>17</v>
      </c>
      <c r="U11" s="770" t="e">
        <f t="shared" si="1"/>
        <v>#N/A</v>
      </c>
      <c r="V11" s="769" t="s">
        <v>17</v>
      </c>
      <c r="W11" s="770" t="e">
        <f t="shared" si="2"/>
        <v>#N/A</v>
      </c>
      <c r="X11" s="771"/>
      <c r="Y11" s="3055"/>
      <c r="Z11" s="55" t="str">
        <f t="shared" si="7"/>
        <v>容积率</v>
      </c>
      <c r="AA11" s="772" t="e">
        <f t="shared" si="3"/>
        <v>#N/A</v>
      </c>
      <c r="AB11" s="772" t="e">
        <f t="shared" si="4"/>
        <v>#N/A</v>
      </c>
      <c r="AC11" s="772" t="e">
        <f t="shared" si="5"/>
        <v>#N/A</v>
      </c>
    </row>
    <row r="12" spans="1:29" s="117" customFormat="1" ht="15">
      <c r="A12" s="430"/>
      <c r="B12" s="2587">
        <v>111</v>
      </c>
      <c r="C12" s="431"/>
      <c r="D12" s="432">
        <v>100</v>
      </c>
      <c r="E12" s="433"/>
      <c r="F12" s="424">
        <f>SUMIF(70:70,E12,71:71)-SUMIF(70:70,C12,71:71)+100</f>
        <v>100</v>
      </c>
      <c r="G12" s="433"/>
      <c r="H12" s="136">
        <f>SUMIF(70:70,G12,71:71)-SUMIF(70:70,C12,71:71)+100</f>
        <v>100</v>
      </c>
      <c r="I12" s="433"/>
      <c r="J12" s="136">
        <f>SUMIF(70:70,I12,71:71)-SUMIF(70:70,C12,71:71)+100</f>
        <v>100</v>
      </c>
      <c r="K12" s="612"/>
      <c r="L12" s="1131"/>
      <c r="M12" s="1132"/>
      <c r="N12" s="1132"/>
      <c r="O12" s="1132"/>
      <c r="P12" s="3224"/>
      <c r="Q12" s="1784">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
      <c r="A13" s="427"/>
      <c r="B13" s="2587">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24"/>
      <c r="Q13" s="1784">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15.75" thickBot="1">
      <c r="A14" s="435"/>
      <c r="B14" s="2589">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24"/>
      <c r="Q14" s="1784">
        <f t="shared" si="6"/>
        <v>111</v>
      </c>
      <c r="R14" s="769" t="s">
        <v>17</v>
      </c>
      <c r="S14" s="770">
        <f t="shared" si="0"/>
        <v>100</v>
      </c>
      <c r="T14" s="769" t="s">
        <v>17</v>
      </c>
      <c r="U14" s="770">
        <f t="shared" si="1"/>
        <v>100</v>
      </c>
      <c r="V14" s="769" t="s">
        <v>17</v>
      </c>
      <c r="W14" s="770">
        <f t="shared" si="2"/>
        <v>100</v>
      </c>
      <c r="X14" s="771"/>
      <c r="Y14" s="3055"/>
      <c r="Z14" s="55">
        <f t="shared" si="7"/>
        <v>111</v>
      </c>
      <c r="AA14" s="772">
        <f t="shared" si="3"/>
        <v>1</v>
      </c>
      <c r="AB14" s="772">
        <f t="shared" si="4"/>
        <v>1</v>
      </c>
      <c r="AC14" s="772">
        <f t="shared" si="5"/>
        <v>1</v>
      </c>
    </row>
    <row r="15" spans="1:29" ht="71.25">
      <c r="A15" s="439" t="s">
        <v>2554</v>
      </c>
      <c r="B15" s="69" t="s">
        <v>2648</v>
      </c>
      <c r="C15" s="2590"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13" t="s">
        <v>2555</v>
      </c>
      <c r="Q15" s="1799" t="str">
        <f t="shared" si="6"/>
        <v>商业繁华度</v>
      </c>
      <c r="R15" s="773" t="s">
        <v>17</v>
      </c>
      <c r="S15" s="774">
        <f t="shared" si="0"/>
        <v>100</v>
      </c>
      <c r="T15" s="773" t="s">
        <v>17</v>
      </c>
      <c r="U15" s="774">
        <f t="shared" si="1"/>
        <v>100</v>
      </c>
      <c r="V15" s="773" t="s">
        <v>17</v>
      </c>
      <c r="W15" s="774">
        <f t="shared" si="2"/>
        <v>100</v>
      </c>
      <c r="X15" s="1802"/>
      <c r="Y15" s="3215" t="s">
        <v>2555</v>
      </c>
      <c r="Z15" s="1803" t="str">
        <f t="shared" si="7"/>
        <v>商业繁华度</v>
      </c>
      <c r="AA15" s="1800">
        <f t="shared" si="3"/>
        <v>1</v>
      </c>
      <c r="AB15" s="1800">
        <f t="shared" si="4"/>
        <v>1</v>
      </c>
      <c r="AC15" s="1800">
        <f t="shared" si="5"/>
        <v>1</v>
      </c>
    </row>
    <row r="16" spans="1:29" ht="15">
      <c r="A16" s="427"/>
      <c r="B16" s="445"/>
      <c r="C16" s="446"/>
      <c r="D16" s="447"/>
      <c r="E16" s="446"/>
      <c r="F16" s="448"/>
      <c r="G16" s="446"/>
      <c r="H16" s="449"/>
      <c r="I16" s="446"/>
      <c r="J16" s="447"/>
      <c r="K16" s="614"/>
      <c r="L16" s="1139"/>
      <c r="M16" s="1130"/>
      <c r="N16" s="1130"/>
      <c r="O16" s="1130"/>
      <c r="P16" s="3214"/>
      <c r="Q16" s="1799"/>
      <c r="R16" s="773"/>
      <c r="S16" s="774"/>
      <c r="T16" s="773"/>
      <c r="U16" s="774"/>
      <c r="V16" s="773"/>
      <c r="W16" s="774"/>
      <c r="X16" s="1802"/>
      <c r="Y16" s="3216"/>
      <c r="Z16" s="1803"/>
      <c r="AA16" s="1800">
        <v>1</v>
      </c>
      <c r="AB16" s="1800">
        <v>1</v>
      </c>
      <c r="AC16" s="1800">
        <v>1</v>
      </c>
    </row>
    <row r="17" spans="1:29" ht="85.5">
      <c r="A17" s="427"/>
      <c r="B17" s="450" t="s">
        <v>2093</v>
      </c>
      <c r="C17" s="2594"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14"/>
      <c r="Q17" s="1799" t="str">
        <f>B17</f>
        <v>交通便捷度</v>
      </c>
      <c r="R17" s="773" t="s">
        <v>17</v>
      </c>
      <c r="S17" s="774">
        <f>F17</f>
        <v>100</v>
      </c>
      <c r="T17" s="773" t="s">
        <v>17</v>
      </c>
      <c r="U17" s="774">
        <f>H17</f>
        <v>100</v>
      </c>
      <c r="V17" s="773" t="s">
        <v>17</v>
      </c>
      <c r="W17" s="774">
        <f>J17</f>
        <v>100</v>
      </c>
      <c r="X17" s="1802"/>
      <c r="Y17" s="3216"/>
      <c r="Z17" s="1803" t="str">
        <f>Q17</f>
        <v>交通便捷度</v>
      </c>
      <c r="AA17" s="1800">
        <f t="shared" si="3"/>
        <v>1</v>
      </c>
      <c r="AB17" s="1800">
        <f t="shared" si="4"/>
        <v>1</v>
      </c>
      <c r="AC17" s="1800">
        <f t="shared" si="5"/>
        <v>1</v>
      </c>
    </row>
    <row r="18" spans="1:29" ht="15">
      <c r="A18" s="427"/>
      <c r="B18" s="455"/>
      <c r="C18" s="2595"/>
      <c r="D18" s="449"/>
      <c r="E18" s="2597"/>
      <c r="F18" s="452"/>
      <c r="G18" s="2596"/>
      <c r="H18" s="447"/>
      <c r="I18" s="2597"/>
      <c r="J18" s="447"/>
      <c r="K18" s="614"/>
      <c r="L18" s="1139"/>
      <c r="M18" s="1130"/>
      <c r="N18" s="1130"/>
      <c r="O18" s="1130"/>
      <c r="P18" s="3214"/>
      <c r="Q18" s="1799"/>
      <c r="R18" s="773"/>
      <c r="S18" s="774"/>
      <c r="T18" s="773"/>
      <c r="U18" s="774"/>
      <c r="V18" s="773"/>
      <c r="W18" s="774"/>
      <c r="X18" s="1802"/>
      <c r="Y18" s="3216"/>
      <c r="Z18" s="1803"/>
      <c r="AA18" s="1800">
        <v>1</v>
      </c>
      <c r="AB18" s="1800">
        <v>1</v>
      </c>
      <c r="AC18" s="1800">
        <v>1</v>
      </c>
    </row>
    <row r="19" spans="1:29" ht="42.75">
      <c r="A19" s="427"/>
      <c r="B19" s="450" t="s">
        <v>2649</v>
      </c>
      <c r="C19" s="2594"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14"/>
      <c r="Q19" s="1799" t="str">
        <f>B19</f>
        <v>公共配套设施</v>
      </c>
      <c r="R19" s="773" t="s">
        <v>17</v>
      </c>
      <c r="S19" s="774">
        <f>F19</f>
        <v>100</v>
      </c>
      <c r="T19" s="773" t="s">
        <v>17</v>
      </c>
      <c r="U19" s="774">
        <f>H19</f>
        <v>100</v>
      </c>
      <c r="V19" s="773" t="s">
        <v>17</v>
      </c>
      <c r="W19" s="774">
        <f>J19</f>
        <v>100</v>
      </c>
      <c r="X19" s="1802"/>
      <c r="Y19" s="3216"/>
      <c r="Z19" s="1803" t="str">
        <f>Q19</f>
        <v>公共配套设施</v>
      </c>
      <c r="AA19" s="1800">
        <f t="shared" si="3"/>
        <v>1</v>
      </c>
      <c r="AB19" s="1800">
        <f t="shared" si="4"/>
        <v>1</v>
      </c>
      <c r="AC19" s="1800">
        <f t="shared" si="5"/>
        <v>1</v>
      </c>
    </row>
    <row r="20" spans="1:29" ht="15">
      <c r="A20" s="427"/>
      <c r="B20" s="455"/>
      <c r="C20" s="446"/>
      <c r="D20" s="447"/>
      <c r="E20" s="2592"/>
      <c r="F20" s="448"/>
      <c r="G20" s="2591"/>
      <c r="H20" s="447"/>
      <c r="I20" s="2592"/>
      <c r="J20" s="447"/>
      <c r="K20" s="614"/>
      <c r="L20" s="1139"/>
      <c r="M20" s="1130"/>
      <c r="N20" s="1130"/>
      <c r="O20" s="1130"/>
      <c r="P20" s="3214"/>
      <c r="Q20" s="1799"/>
      <c r="R20" s="773"/>
      <c r="S20" s="774"/>
      <c r="T20" s="773"/>
      <c r="U20" s="774"/>
      <c r="V20" s="773"/>
      <c r="W20" s="774"/>
      <c r="X20" s="1802"/>
      <c r="Y20" s="3216"/>
      <c r="Z20" s="1803"/>
      <c r="AA20" s="1800">
        <v>1</v>
      </c>
      <c r="AB20" s="1800">
        <v>1</v>
      </c>
      <c r="AC20" s="1800">
        <v>1</v>
      </c>
    </row>
    <row r="21" spans="1:29" ht="28.5">
      <c r="A21" s="427"/>
      <c r="B21" s="1381" t="s">
        <v>2650</v>
      </c>
      <c r="C21" s="2594"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14"/>
      <c r="Q21" s="1799" t="str">
        <f>B21</f>
        <v>基础设施水平</v>
      </c>
      <c r="R21" s="773" t="s">
        <v>17</v>
      </c>
      <c r="S21" s="774">
        <f>F21</f>
        <v>100</v>
      </c>
      <c r="T21" s="773" t="s">
        <v>17</v>
      </c>
      <c r="U21" s="774">
        <f>H21</f>
        <v>100</v>
      </c>
      <c r="V21" s="773" t="s">
        <v>17</v>
      </c>
      <c r="W21" s="774">
        <f>J21</f>
        <v>100</v>
      </c>
      <c r="X21" s="1802"/>
      <c r="Y21" s="3216"/>
      <c r="Z21" s="1803" t="str">
        <f>Q21</f>
        <v>基础设施水平</v>
      </c>
      <c r="AA21" s="1800">
        <f t="shared" ref="AA21" si="8">D21/F21</f>
        <v>1</v>
      </c>
      <c r="AB21" s="1800">
        <f t="shared" ref="AB21" si="9">D21/H21</f>
        <v>1</v>
      </c>
      <c r="AC21" s="1800">
        <f t="shared" ref="AC21" si="10">D21/J21</f>
        <v>1</v>
      </c>
    </row>
    <row r="22" spans="1:29" ht="15">
      <c r="A22" s="427"/>
      <c r="B22" s="1381"/>
      <c r="C22" s="2595"/>
      <c r="D22" s="447"/>
      <c r="E22" s="446"/>
      <c r="F22" s="448"/>
      <c r="G22" s="446"/>
      <c r="H22" s="447"/>
      <c r="I22" s="446"/>
      <c r="J22" s="447"/>
      <c r="K22" s="1380"/>
      <c r="L22" s="1139"/>
      <c r="M22" s="1130"/>
      <c r="N22" s="1130"/>
      <c r="O22" s="1130"/>
      <c r="P22" s="3214"/>
      <c r="Q22" s="1799"/>
      <c r="R22" s="773"/>
      <c r="S22" s="774"/>
      <c r="T22" s="773"/>
      <c r="U22" s="774"/>
      <c r="V22" s="773"/>
      <c r="W22" s="774"/>
      <c r="X22" s="1802"/>
      <c r="Y22" s="3216"/>
      <c r="Z22" s="1803"/>
      <c r="AA22" s="1800">
        <v>1</v>
      </c>
      <c r="AB22" s="1800">
        <v>1</v>
      </c>
      <c r="AC22" s="1800">
        <v>1</v>
      </c>
    </row>
    <row r="23" spans="1:29" ht="57">
      <c r="A23" s="427"/>
      <c r="B23" s="450" t="s">
        <v>2098</v>
      </c>
      <c r="C23" s="2649"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14"/>
      <c r="Q23" s="1799" t="str">
        <f>B23</f>
        <v>自然及人文环境</v>
      </c>
      <c r="R23" s="773" t="s">
        <v>17</v>
      </c>
      <c r="S23" s="774">
        <f>F23</f>
        <v>100</v>
      </c>
      <c r="T23" s="773" t="s">
        <v>17</v>
      </c>
      <c r="U23" s="774">
        <f>H23</f>
        <v>100</v>
      </c>
      <c r="V23" s="773" t="s">
        <v>17</v>
      </c>
      <c r="W23" s="774">
        <f>J23</f>
        <v>100</v>
      </c>
      <c r="X23" s="1802"/>
      <c r="Y23" s="3216"/>
      <c r="Z23" s="1803" t="str">
        <f>Q23</f>
        <v>自然及人文环境</v>
      </c>
      <c r="AA23" s="1800">
        <f t="shared" si="3"/>
        <v>1</v>
      </c>
      <c r="AB23" s="1800">
        <f t="shared" si="4"/>
        <v>1</v>
      </c>
      <c r="AC23" s="1800">
        <f t="shared" si="5"/>
        <v>1</v>
      </c>
    </row>
    <row r="24" spans="1:29" ht="15">
      <c r="A24" s="427"/>
      <c r="B24" s="455"/>
      <c r="C24" s="446"/>
      <c r="D24" s="447"/>
      <c r="E24" s="2592"/>
      <c r="F24" s="448"/>
      <c r="G24" s="2591"/>
      <c r="H24" s="447"/>
      <c r="I24" s="2592"/>
      <c r="J24" s="447"/>
      <c r="K24" s="614"/>
      <c r="L24" s="1139"/>
      <c r="M24" s="1130"/>
      <c r="N24" s="1130"/>
      <c r="O24" s="1130"/>
      <c r="P24" s="3214"/>
      <c r="Q24" s="1799"/>
      <c r="R24" s="773"/>
      <c r="S24" s="774"/>
      <c r="T24" s="773"/>
      <c r="U24" s="774"/>
      <c r="V24" s="773"/>
      <c r="W24" s="774"/>
      <c r="X24" s="1802"/>
      <c r="Y24" s="3216"/>
      <c r="Z24" s="1803"/>
      <c r="AA24" s="1800">
        <v>1</v>
      </c>
      <c r="AB24" s="1800">
        <v>1</v>
      </c>
      <c r="AC24" s="1800">
        <v>1</v>
      </c>
    </row>
    <row r="25" spans="1:29" ht="15">
      <c r="A25" s="427"/>
      <c r="B25" s="421" t="s">
        <v>2651</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14"/>
      <c r="Q25" s="1799" t="str">
        <f t="shared" ref="Q25:Q46" si="11">B25</f>
        <v>临街状况</v>
      </c>
      <c r="R25" s="773" t="s">
        <v>17</v>
      </c>
      <c r="S25" s="774">
        <f>F25</f>
        <v>100</v>
      </c>
      <c r="T25" s="773" t="s">
        <v>17</v>
      </c>
      <c r="U25" s="774">
        <f>H25</f>
        <v>100</v>
      </c>
      <c r="V25" s="773" t="s">
        <v>17</v>
      </c>
      <c r="W25" s="774">
        <f>J25</f>
        <v>100</v>
      </c>
      <c r="X25" s="1802"/>
      <c r="Y25" s="3216"/>
      <c r="Z25" s="1803" t="str">
        <f>Q25</f>
        <v>临街状况</v>
      </c>
      <c r="AA25" s="1800">
        <f t="shared" si="3"/>
        <v>1</v>
      </c>
      <c r="AB25" s="1800">
        <f t="shared" si="4"/>
        <v>1</v>
      </c>
      <c r="AC25" s="1800">
        <f t="shared" si="5"/>
        <v>1</v>
      </c>
    </row>
    <row r="26" spans="1:29" ht="15">
      <c r="A26" s="427"/>
      <c r="B26" s="1383" t="s">
        <v>2652</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14"/>
      <c r="Q26" s="1799" t="str">
        <f t="shared" si="11"/>
        <v>平面位置/可视性</v>
      </c>
      <c r="R26" s="773" t="s">
        <v>17</v>
      </c>
      <c r="S26" s="774">
        <f>F26</f>
        <v>100</v>
      </c>
      <c r="T26" s="773" t="s">
        <v>17</v>
      </c>
      <c r="U26" s="774">
        <f>H26</f>
        <v>100</v>
      </c>
      <c r="V26" s="773" t="s">
        <v>17</v>
      </c>
      <c r="W26" s="774">
        <f>J26</f>
        <v>100</v>
      </c>
      <c r="X26" s="1802"/>
      <c r="Y26" s="3216"/>
      <c r="Z26" s="1803" t="str">
        <f>Q26</f>
        <v>平面位置/可视性</v>
      </c>
      <c r="AA26" s="1800">
        <f t="shared" si="3"/>
        <v>1</v>
      </c>
      <c r="AB26" s="1800">
        <f t="shared" si="4"/>
        <v>1</v>
      </c>
      <c r="AC26" s="1800">
        <f t="shared" si="5"/>
        <v>1</v>
      </c>
    </row>
    <row r="27" spans="1:29" s="117" customFormat="1" ht="15">
      <c r="A27" s="430"/>
      <c r="B27" s="450" t="s">
        <v>2653</v>
      </c>
      <c r="C27" s="2650"/>
      <c r="D27" s="461">
        <v>100</v>
      </c>
      <c r="E27" s="2650"/>
      <c r="F27" s="463">
        <f>SUMIF(90:90,E27,91:91)-SUMIF(90:90,C27,91:91)+100</f>
        <v>100</v>
      </c>
      <c r="G27" s="2650"/>
      <c r="H27" s="461">
        <f>SUMIF(90:90,G27,91:91)-SUMIF(90:90,C27,91:91)+100</f>
        <v>100</v>
      </c>
      <c r="I27" s="2650"/>
      <c r="J27" s="461">
        <f>SUMIF(90:90,I27,91:91)-SUMIF(90:90,C27,91:91)+100</f>
        <v>100</v>
      </c>
      <c r="K27" s="611"/>
      <c r="L27" s="1131"/>
      <c r="M27" s="1132"/>
      <c r="N27" s="1132"/>
      <c r="O27" s="1132"/>
      <c r="P27" s="3214"/>
      <c r="Q27" s="1784" t="str">
        <f t="shared" si="11"/>
        <v>人流量</v>
      </c>
      <c r="R27" s="769" t="s">
        <v>17</v>
      </c>
      <c r="S27" s="770">
        <f>F27</f>
        <v>100</v>
      </c>
      <c r="T27" s="769" t="s">
        <v>17</v>
      </c>
      <c r="U27" s="770">
        <f>H27</f>
        <v>100</v>
      </c>
      <c r="V27" s="769" t="s">
        <v>17</v>
      </c>
      <c r="W27" s="770">
        <f>J27</f>
        <v>100</v>
      </c>
      <c r="X27" s="771"/>
      <c r="Y27" s="3216"/>
      <c r="Z27" s="55" t="str">
        <f>Q27</f>
        <v>人流量</v>
      </c>
      <c r="AA27" s="1800">
        <f>D27/F27</f>
        <v>1</v>
      </c>
      <c r="AB27" s="1800">
        <f>D27/H27</f>
        <v>1</v>
      </c>
      <c r="AC27" s="1800">
        <f>D27/J27</f>
        <v>1</v>
      </c>
    </row>
    <row r="28" spans="1:29" ht="15">
      <c r="A28" s="427"/>
      <c r="B28" s="421" t="s">
        <v>2654</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14"/>
      <c r="Q28" s="1799" t="str">
        <f t="shared" si="11"/>
        <v>楼层</v>
      </c>
      <c r="R28" s="773" t="s">
        <v>17</v>
      </c>
      <c r="S28" s="774">
        <f t="shared" ref="S28:S46" si="12">F28</f>
        <v>100</v>
      </c>
      <c r="T28" s="773" t="s">
        <v>17</v>
      </c>
      <c r="U28" s="774">
        <f t="shared" ref="U28:U46" si="13">H28</f>
        <v>100</v>
      </c>
      <c r="V28" s="773" t="s">
        <v>17</v>
      </c>
      <c r="W28" s="774">
        <f t="shared" ref="W28:W46" si="14">J28</f>
        <v>100</v>
      </c>
      <c r="X28" s="1802"/>
      <c r="Y28" s="3216"/>
      <c r="Z28" s="1803" t="str">
        <f t="shared" ref="Z28:Z46" si="15">Q28</f>
        <v>楼层</v>
      </c>
      <c r="AA28" s="1800">
        <f t="shared" si="3"/>
        <v>1</v>
      </c>
      <c r="AB28" s="1800">
        <f t="shared" si="4"/>
        <v>1</v>
      </c>
      <c r="AC28" s="1800">
        <f t="shared" si="5"/>
        <v>1</v>
      </c>
    </row>
    <row r="29" spans="1:29" ht="15">
      <c r="A29" s="427"/>
      <c r="B29" s="1383">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14"/>
      <c r="Q29" s="1799">
        <f t="shared" si="11"/>
        <v>111</v>
      </c>
      <c r="R29" s="773" t="s">
        <v>17</v>
      </c>
      <c r="S29" s="774">
        <f t="shared" si="12"/>
        <v>100</v>
      </c>
      <c r="T29" s="773" t="s">
        <v>17</v>
      </c>
      <c r="U29" s="774">
        <f t="shared" si="13"/>
        <v>100</v>
      </c>
      <c r="V29" s="773" t="s">
        <v>17</v>
      </c>
      <c r="W29" s="774">
        <f t="shared" si="14"/>
        <v>100</v>
      </c>
      <c r="X29" s="1802"/>
      <c r="Y29" s="3216"/>
      <c r="Z29" s="1803">
        <f t="shared" si="15"/>
        <v>111</v>
      </c>
      <c r="AA29" s="1800">
        <f t="shared" si="3"/>
        <v>1</v>
      </c>
      <c r="AB29" s="1800">
        <f t="shared" si="4"/>
        <v>1</v>
      </c>
      <c r="AC29" s="1800">
        <f t="shared" si="5"/>
        <v>1</v>
      </c>
    </row>
    <row r="30" spans="1:29" ht="15">
      <c r="A30" s="427"/>
      <c r="B30" s="1383">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14"/>
      <c r="Q30" s="1799">
        <f t="shared" si="11"/>
        <v>111</v>
      </c>
      <c r="R30" s="773" t="s">
        <v>17</v>
      </c>
      <c r="S30" s="774">
        <f t="shared" si="12"/>
        <v>100</v>
      </c>
      <c r="T30" s="773" t="s">
        <v>17</v>
      </c>
      <c r="U30" s="774">
        <f t="shared" si="13"/>
        <v>100</v>
      </c>
      <c r="V30" s="773" t="s">
        <v>17</v>
      </c>
      <c r="W30" s="774">
        <f t="shared" si="14"/>
        <v>100</v>
      </c>
      <c r="X30" s="1802"/>
      <c r="Y30" s="3216"/>
      <c r="Z30" s="1803">
        <f t="shared" si="15"/>
        <v>111</v>
      </c>
      <c r="AA30" s="1800">
        <f t="shared" si="3"/>
        <v>1</v>
      </c>
      <c r="AB30" s="1800">
        <f t="shared" si="4"/>
        <v>1</v>
      </c>
      <c r="AC30" s="1800">
        <f t="shared" si="5"/>
        <v>1</v>
      </c>
    </row>
    <row r="31" spans="1:29" ht="15.75" thickBot="1">
      <c r="A31" s="435"/>
      <c r="B31" s="1383">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14"/>
      <c r="Q31" s="1799">
        <f t="shared" si="11"/>
        <v>111</v>
      </c>
      <c r="R31" s="773" t="s">
        <v>17</v>
      </c>
      <c r="S31" s="774">
        <f t="shared" si="12"/>
        <v>100</v>
      </c>
      <c r="T31" s="773" t="s">
        <v>17</v>
      </c>
      <c r="U31" s="774">
        <f t="shared" si="13"/>
        <v>100</v>
      </c>
      <c r="V31" s="773" t="s">
        <v>17</v>
      </c>
      <c r="W31" s="774">
        <f t="shared" si="14"/>
        <v>100</v>
      </c>
      <c r="X31" s="1802"/>
      <c r="Y31" s="3216"/>
      <c r="Z31" s="1803">
        <f t="shared" si="15"/>
        <v>111</v>
      </c>
      <c r="AA31" s="1800">
        <f t="shared" si="3"/>
        <v>1</v>
      </c>
      <c r="AB31" s="1800">
        <f t="shared" si="4"/>
        <v>1</v>
      </c>
      <c r="AC31" s="1800">
        <f t="shared" si="5"/>
        <v>1</v>
      </c>
    </row>
    <row r="32" spans="1:29" ht="15">
      <c r="A32" s="439" t="s">
        <v>2558</v>
      </c>
      <c r="B32" s="71" t="s">
        <v>2655</v>
      </c>
      <c r="C32" s="2604"/>
      <c r="D32" s="466">
        <v>100</v>
      </c>
      <c r="E32" s="2604"/>
      <c r="F32" s="460">
        <f>SUMIF(100:100,E32,101:101)-SUMIF(100:100,C32,101:101)+100</f>
        <v>100</v>
      </c>
      <c r="G32" s="2604"/>
      <c r="H32" s="434">
        <f>SUMIF(100:100,G32,101:101)-SUMIF(100:100,C32,101:101)+100</f>
        <v>100</v>
      </c>
      <c r="I32" s="2604"/>
      <c r="J32" s="466">
        <f>SUMIF(100:100,I32,101:101)-SUMIF(100:100,C32,101:101)+100</f>
        <v>100</v>
      </c>
      <c r="K32" s="611"/>
      <c r="L32" s="1139"/>
      <c r="M32" s="1130"/>
      <c r="N32" s="1130"/>
      <c r="O32" s="1130"/>
      <c r="P32" s="3217" t="s">
        <v>2560</v>
      </c>
      <c r="Q32" s="1799" t="str">
        <f t="shared" si="11"/>
        <v>商业类型</v>
      </c>
      <c r="R32" s="773" t="s">
        <v>17</v>
      </c>
      <c r="S32" s="774">
        <f t="shared" si="12"/>
        <v>100</v>
      </c>
      <c r="T32" s="773" t="s">
        <v>17</v>
      </c>
      <c r="U32" s="774">
        <f t="shared" si="13"/>
        <v>100</v>
      </c>
      <c r="V32" s="773" t="s">
        <v>17</v>
      </c>
      <c r="W32" s="774">
        <f t="shared" si="14"/>
        <v>100</v>
      </c>
      <c r="X32" s="1802"/>
      <c r="Y32" s="3220" t="s">
        <v>2560</v>
      </c>
      <c r="Z32" s="1803" t="str">
        <f t="shared" si="15"/>
        <v>商业类型</v>
      </c>
      <c r="AA32" s="1800">
        <f t="shared" si="3"/>
        <v>1</v>
      </c>
      <c r="AB32" s="1800">
        <f t="shared" si="4"/>
        <v>1</v>
      </c>
      <c r="AC32" s="1800">
        <f t="shared" si="5"/>
        <v>1</v>
      </c>
    </row>
    <row r="33" spans="1:29" s="470" customFormat="1" ht="15">
      <c r="A33" s="467"/>
      <c r="B33" s="421" t="s">
        <v>2561</v>
      </c>
      <c r="C33" s="468"/>
      <c r="D33" s="136">
        <v>100</v>
      </c>
      <c r="E33" s="429"/>
      <c r="F33" s="424" t="e">
        <f>LOOKUP(E33,103:103,104:104)-LOOKUP(C33,103:103,104:104)+100</f>
        <v>#N/A</v>
      </c>
      <c r="G33" s="428"/>
      <c r="H33" s="136" t="e">
        <f>LOOKUP(G33,103:103,104:104)-LOOKUP(C33,103:103,104:104)+100</f>
        <v>#N/A</v>
      </c>
      <c r="I33" s="428"/>
      <c r="J33" s="136" t="e">
        <f>LOOKUP(I33,103:103,104:104)-LOOKUP(C33,103:103,104:104)+100</f>
        <v>#N/A</v>
      </c>
      <c r="K33" s="612"/>
      <c r="L33" s="1137"/>
      <c r="M33" s="1140"/>
      <c r="N33" s="1140"/>
      <c r="O33" s="1140"/>
      <c r="P33" s="3218"/>
      <c r="Q33" s="775" t="str">
        <f t="shared" si="11"/>
        <v>项目建筑规模</v>
      </c>
      <c r="R33" s="776" t="s">
        <v>17</v>
      </c>
      <c r="S33" s="777" t="e">
        <f t="shared" si="12"/>
        <v>#N/A</v>
      </c>
      <c r="T33" s="776" t="s">
        <v>17</v>
      </c>
      <c r="U33" s="777" t="e">
        <f t="shared" si="13"/>
        <v>#N/A</v>
      </c>
      <c r="V33" s="776" t="s">
        <v>17</v>
      </c>
      <c r="W33" s="777" t="e">
        <f t="shared" si="14"/>
        <v>#N/A</v>
      </c>
      <c r="X33" s="778"/>
      <c r="Y33" s="3220"/>
      <c r="Z33" s="779" t="str">
        <f t="shared" si="15"/>
        <v>项目建筑规模</v>
      </c>
      <c r="AA33" s="1800" t="e">
        <f t="shared" si="3"/>
        <v>#N/A</v>
      </c>
      <c r="AB33" s="1800" t="e">
        <f t="shared" si="4"/>
        <v>#N/A</v>
      </c>
      <c r="AC33" s="1800" t="e">
        <f t="shared" si="5"/>
        <v>#N/A</v>
      </c>
    </row>
    <row r="34" spans="1:29" ht="15">
      <c r="A34" s="471"/>
      <c r="B34" s="421" t="s">
        <v>2562</v>
      </c>
      <c r="C34" s="2605"/>
      <c r="D34" s="434">
        <v>100</v>
      </c>
      <c r="E34" s="2605"/>
      <c r="F34" s="460">
        <f>SUMIF(105:105,E34,106:106)-SUMIF(105:105,C34,106:106)+100</f>
        <v>100</v>
      </c>
      <c r="G34" s="2605"/>
      <c r="H34" s="434">
        <f>SUMIF(105:105,G34,106:106)-SUMIF(105:105,C34,106:106)+100</f>
        <v>100</v>
      </c>
      <c r="I34" s="2605"/>
      <c r="J34" s="434">
        <f>SUMIF(105:105,I34,106:106)-SUMIF(105:105,C34,106:106)+100</f>
        <v>100</v>
      </c>
      <c r="K34" s="611"/>
      <c r="L34" s="1139"/>
      <c r="M34" s="1130"/>
      <c r="N34" s="1130"/>
      <c r="O34" s="1130"/>
      <c r="P34" s="3218"/>
      <c r="Q34" s="1799" t="str">
        <f t="shared" si="11"/>
        <v>建筑结构</v>
      </c>
      <c r="R34" s="773" t="s">
        <v>17</v>
      </c>
      <c r="S34" s="774">
        <f t="shared" si="12"/>
        <v>100</v>
      </c>
      <c r="T34" s="773" t="s">
        <v>17</v>
      </c>
      <c r="U34" s="774">
        <f t="shared" si="13"/>
        <v>100</v>
      </c>
      <c r="V34" s="773" t="s">
        <v>17</v>
      </c>
      <c r="W34" s="774">
        <f t="shared" si="14"/>
        <v>100</v>
      </c>
      <c r="X34" s="1802"/>
      <c r="Y34" s="3220"/>
      <c r="Z34" s="1803" t="str">
        <f t="shared" si="15"/>
        <v>建筑结构</v>
      </c>
      <c r="AA34" s="1800">
        <f t="shared" si="3"/>
        <v>1</v>
      </c>
      <c r="AB34" s="1800">
        <f t="shared" si="4"/>
        <v>1</v>
      </c>
      <c r="AC34" s="1800">
        <f t="shared" si="5"/>
        <v>1</v>
      </c>
    </row>
    <row r="35" spans="1:29" ht="15">
      <c r="A35" s="471"/>
      <c r="B35" s="421" t="s">
        <v>2656</v>
      </c>
      <c r="C35" s="2600"/>
      <c r="D35" s="434">
        <v>100</v>
      </c>
      <c r="E35" s="2600"/>
      <c r="F35" s="460">
        <f>SUMIF(107:107,E35,108:108)-SUMIF(107:107,C35,108:108)+100</f>
        <v>100</v>
      </c>
      <c r="G35" s="2600"/>
      <c r="H35" s="434">
        <f>SUMIF(107:107,G35,108:108)-SUMIF(107:107,C35,108:108)+100</f>
        <v>100</v>
      </c>
      <c r="I35" s="2600"/>
      <c r="J35" s="434">
        <f>SUMIF(107:107,I35,108:108)-SUMIF(107:107,C35,108:108)+100</f>
        <v>100</v>
      </c>
      <c r="K35" s="611"/>
      <c r="L35" s="1139"/>
      <c r="M35" s="1130"/>
      <c r="N35" s="1130"/>
      <c r="O35" s="1130"/>
      <c r="P35" s="3218"/>
      <c r="Q35" s="1799" t="str">
        <f t="shared" si="11"/>
        <v>公共部分装修</v>
      </c>
      <c r="R35" s="773" t="s">
        <v>17</v>
      </c>
      <c r="S35" s="774">
        <f t="shared" si="12"/>
        <v>100</v>
      </c>
      <c r="T35" s="773" t="s">
        <v>17</v>
      </c>
      <c r="U35" s="774">
        <f t="shared" si="13"/>
        <v>100</v>
      </c>
      <c r="V35" s="773" t="s">
        <v>17</v>
      </c>
      <c r="W35" s="774">
        <f t="shared" si="14"/>
        <v>100</v>
      </c>
      <c r="X35" s="1802"/>
      <c r="Y35" s="3220"/>
      <c r="Z35" s="1803" t="str">
        <f t="shared" si="15"/>
        <v>公共部分装修</v>
      </c>
      <c r="AA35" s="1800">
        <f t="shared" si="3"/>
        <v>1</v>
      </c>
      <c r="AB35" s="1800">
        <f t="shared" si="4"/>
        <v>1</v>
      </c>
      <c r="AC35" s="1800">
        <f t="shared" si="5"/>
        <v>1</v>
      </c>
    </row>
    <row r="36" spans="1:29" ht="15">
      <c r="A36" s="471"/>
      <c r="B36" s="421" t="s">
        <v>2657</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18"/>
      <c r="Q36" s="1799" t="str">
        <f t="shared" si="11"/>
        <v>成新度</v>
      </c>
      <c r="R36" s="773" t="s">
        <v>17</v>
      </c>
      <c r="S36" s="774" t="e">
        <f t="shared" si="12"/>
        <v>#N/A</v>
      </c>
      <c r="T36" s="773" t="s">
        <v>17</v>
      </c>
      <c r="U36" s="774" t="e">
        <f t="shared" si="13"/>
        <v>#N/A</v>
      </c>
      <c r="V36" s="773" t="s">
        <v>17</v>
      </c>
      <c r="W36" s="774" t="e">
        <f t="shared" si="14"/>
        <v>#N/A</v>
      </c>
      <c r="X36" s="1802"/>
      <c r="Y36" s="3220"/>
      <c r="Z36" s="1803" t="str">
        <f t="shared" si="15"/>
        <v>成新度</v>
      </c>
      <c r="AA36" s="1800" t="e">
        <f t="shared" si="3"/>
        <v>#N/A</v>
      </c>
      <c r="AB36" s="1800" t="e">
        <f t="shared" si="4"/>
        <v>#N/A</v>
      </c>
      <c r="AC36" s="1800" t="e">
        <f t="shared" si="5"/>
        <v>#N/A</v>
      </c>
    </row>
    <row r="37" spans="1:29" s="117" customFormat="1" ht="15">
      <c r="A37" s="472"/>
      <c r="B37" s="421" t="s">
        <v>2658</v>
      </c>
      <c r="C37" s="2600"/>
      <c r="D37" s="136">
        <v>100</v>
      </c>
      <c r="E37" s="2600"/>
      <c r="F37" s="460">
        <f>SUMIF(112:112,E37,113:113)-SUMIF(112:112,C37,113:113)+100</f>
        <v>100</v>
      </c>
      <c r="G37" s="2600"/>
      <c r="H37" s="434">
        <f>SUMIF(112:112,G37,113:113)-SUMIF(112:112,C37,113:113)+100</f>
        <v>100</v>
      </c>
      <c r="I37" s="2600"/>
      <c r="J37" s="434">
        <f>SUMIF(112:112,I37,113:113)-SUMIF(112:112,C37,113:113)+100</f>
        <v>100</v>
      </c>
      <c r="K37" s="611"/>
      <c r="L37" s="1131"/>
      <c r="M37" s="1132"/>
      <c r="N37" s="1132"/>
      <c r="O37" s="1132"/>
      <c r="P37" s="3218"/>
      <c r="Q37" s="1784" t="str">
        <f t="shared" si="11"/>
        <v>市政基础设施</v>
      </c>
      <c r="R37" s="769" t="s">
        <v>17</v>
      </c>
      <c r="S37" s="770">
        <f t="shared" si="12"/>
        <v>100</v>
      </c>
      <c r="T37" s="769" t="s">
        <v>17</v>
      </c>
      <c r="U37" s="770">
        <f t="shared" si="13"/>
        <v>100</v>
      </c>
      <c r="V37" s="769" t="s">
        <v>17</v>
      </c>
      <c r="W37" s="770">
        <f t="shared" si="14"/>
        <v>100</v>
      </c>
      <c r="X37" s="771"/>
      <c r="Y37" s="3220"/>
      <c r="Z37" s="55" t="str">
        <f t="shared" si="15"/>
        <v>市政基础设施</v>
      </c>
      <c r="AA37" s="772">
        <f t="shared" si="3"/>
        <v>1</v>
      </c>
      <c r="AB37" s="772">
        <f t="shared" si="4"/>
        <v>1</v>
      </c>
      <c r="AC37" s="772">
        <f t="shared" si="5"/>
        <v>1</v>
      </c>
    </row>
    <row r="38" spans="1:29" ht="15">
      <c r="A38" s="471"/>
      <c r="B38" s="421" t="s">
        <v>2659</v>
      </c>
      <c r="C38" s="2600"/>
      <c r="D38" s="434">
        <v>100</v>
      </c>
      <c r="E38" s="2600"/>
      <c r="F38" s="460">
        <f>SUMIF(114:114,E38,115:115)-SUMIF(114:114,C38,115:115)+100</f>
        <v>100</v>
      </c>
      <c r="G38" s="2600"/>
      <c r="H38" s="434">
        <f>SUMIF(114:114,G38,115:115)-SUMIF(114:114,C38,115:115)+100</f>
        <v>100</v>
      </c>
      <c r="I38" s="2600"/>
      <c r="J38" s="434">
        <f>SUMIF(114:114,I38,115:115)-SUMIF(114:114,C38,115:115)+100</f>
        <v>100</v>
      </c>
      <c r="K38" s="611"/>
      <c r="L38" s="1139"/>
      <c r="M38" s="1130"/>
      <c r="N38" s="1130"/>
      <c r="O38" s="1130"/>
      <c r="P38" s="3218" t="s">
        <v>2560</v>
      </c>
      <c r="Q38" s="1799" t="str">
        <f t="shared" si="11"/>
        <v>业态</v>
      </c>
      <c r="R38" s="773" t="s">
        <v>17</v>
      </c>
      <c r="S38" s="774">
        <f t="shared" si="12"/>
        <v>100</v>
      </c>
      <c r="T38" s="773" t="s">
        <v>17</v>
      </c>
      <c r="U38" s="774">
        <f t="shared" si="13"/>
        <v>100</v>
      </c>
      <c r="V38" s="773" t="s">
        <v>17</v>
      </c>
      <c r="W38" s="774">
        <f t="shared" si="14"/>
        <v>100</v>
      </c>
      <c r="X38" s="1802"/>
      <c r="Y38" s="3220" t="s">
        <v>2560</v>
      </c>
      <c r="Z38" s="1803" t="str">
        <f t="shared" si="15"/>
        <v>业态</v>
      </c>
      <c r="AA38" s="1800">
        <f t="shared" si="3"/>
        <v>1</v>
      </c>
      <c r="AB38" s="1800">
        <f t="shared" si="4"/>
        <v>1</v>
      </c>
      <c r="AC38" s="1800">
        <f t="shared" si="5"/>
        <v>1</v>
      </c>
    </row>
    <row r="39" spans="1:29" ht="15">
      <c r="A39" s="471"/>
      <c r="B39" s="421" t="s">
        <v>2660</v>
      </c>
      <c r="C39" s="2600"/>
      <c r="D39" s="434">
        <v>100</v>
      </c>
      <c r="E39" s="2600"/>
      <c r="F39" s="460">
        <f>SUMIF(116:116,E39,117:117)-SUMIF(116:116,C39,117:117)+100</f>
        <v>100</v>
      </c>
      <c r="G39" s="2600"/>
      <c r="H39" s="434">
        <f>SUMIF(116:116,G39,117:117)-SUMIF(116:116,C39,117:117)+100</f>
        <v>100</v>
      </c>
      <c r="I39" s="2600"/>
      <c r="J39" s="434">
        <f>SUMIF(116:116,I39,117:117)-SUMIF(116:116,C39,117:117)+100</f>
        <v>100</v>
      </c>
      <c r="K39" s="611"/>
      <c r="L39" s="1139"/>
      <c r="M39" s="1130"/>
      <c r="N39" s="1130"/>
      <c r="O39" s="1130"/>
      <c r="P39" s="3218"/>
      <c r="Q39" s="1799" t="str">
        <f t="shared" si="11"/>
        <v>层高</v>
      </c>
      <c r="R39" s="773" t="s">
        <v>17</v>
      </c>
      <c r="S39" s="774">
        <f t="shared" si="12"/>
        <v>100</v>
      </c>
      <c r="T39" s="773" t="s">
        <v>17</v>
      </c>
      <c r="U39" s="774">
        <f t="shared" si="13"/>
        <v>100</v>
      </c>
      <c r="V39" s="773" t="s">
        <v>17</v>
      </c>
      <c r="W39" s="774">
        <f t="shared" si="14"/>
        <v>100</v>
      </c>
      <c r="X39" s="1802"/>
      <c r="Y39" s="3220"/>
      <c r="Z39" s="1803" t="str">
        <f t="shared" si="15"/>
        <v>层高</v>
      </c>
      <c r="AA39" s="1800">
        <f t="shared" si="3"/>
        <v>1</v>
      </c>
      <c r="AB39" s="1800">
        <f t="shared" si="4"/>
        <v>1</v>
      </c>
      <c r="AC39" s="1800">
        <f t="shared" si="5"/>
        <v>1</v>
      </c>
    </row>
    <row r="40" spans="1:29" ht="15">
      <c r="A40" s="471"/>
      <c r="B40" s="421" t="s">
        <v>2661</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18"/>
      <c r="Q40" s="1799" t="str">
        <f t="shared" si="11"/>
        <v>单套建筑面积</v>
      </c>
      <c r="R40" s="773" t="s">
        <v>17</v>
      </c>
      <c r="S40" s="774">
        <f t="shared" si="12"/>
        <v>100</v>
      </c>
      <c r="T40" s="773" t="s">
        <v>17</v>
      </c>
      <c r="U40" s="774">
        <f t="shared" si="13"/>
        <v>100</v>
      </c>
      <c r="V40" s="773" t="s">
        <v>17</v>
      </c>
      <c r="W40" s="774">
        <f t="shared" si="14"/>
        <v>100</v>
      </c>
      <c r="X40" s="1802"/>
      <c r="Y40" s="3220"/>
      <c r="Z40" s="1803" t="str">
        <f t="shared" si="15"/>
        <v>单套建筑面积</v>
      </c>
      <c r="AA40" s="1800">
        <f t="shared" si="3"/>
        <v>1</v>
      </c>
      <c r="AB40" s="1800">
        <f t="shared" si="4"/>
        <v>1</v>
      </c>
      <c r="AC40" s="1800">
        <f t="shared" si="5"/>
        <v>1</v>
      </c>
    </row>
    <row r="41" spans="1:29" s="470" customFormat="1" ht="15">
      <c r="A41" s="467"/>
      <c r="B41" s="1801" t="s">
        <v>2662</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18"/>
      <c r="Q41" s="775" t="str">
        <f t="shared" si="11"/>
        <v>进深比</v>
      </c>
      <c r="R41" s="776" t="s">
        <v>17</v>
      </c>
      <c r="S41" s="777">
        <f t="shared" si="12"/>
        <v>100</v>
      </c>
      <c r="T41" s="776" t="s">
        <v>17</v>
      </c>
      <c r="U41" s="777">
        <f t="shared" si="13"/>
        <v>100</v>
      </c>
      <c r="V41" s="776" t="s">
        <v>17</v>
      </c>
      <c r="W41" s="777">
        <f t="shared" si="14"/>
        <v>100</v>
      </c>
      <c r="X41" s="778"/>
      <c r="Y41" s="3220"/>
      <c r="Z41" s="779" t="str">
        <f t="shared" si="15"/>
        <v>进深比</v>
      </c>
      <c r="AA41" s="1800">
        <f t="shared" si="3"/>
        <v>1</v>
      </c>
      <c r="AB41" s="1800">
        <f t="shared" si="4"/>
        <v>1</v>
      </c>
      <c r="AC41" s="1800">
        <f t="shared" si="5"/>
        <v>1</v>
      </c>
    </row>
    <row r="42" spans="1:29" ht="15">
      <c r="A42" s="471"/>
      <c r="B42" s="421" t="s">
        <v>2663</v>
      </c>
      <c r="C42" s="2600"/>
      <c r="D42" s="434">
        <v>100</v>
      </c>
      <c r="E42" s="2600"/>
      <c r="F42" s="460">
        <f>SUMIF(122:122,E42,123:123)-SUMIF(122:122,C42,123:123)+100</f>
        <v>100</v>
      </c>
      <c r="G42" s="2600"/>
      <c r="H42" s="434">
        <f>SUMIF(122:122,G42,123:123)-SUMIF(122:122,C42,123:123)+100</f>
        <v>100</v>
      </c>
      <c r="I42" s="2600"/>
      <c r="J42" s="434">
        <f>SUMIF(122:122,I42,123:123)-SUMIF(122:122,C42,123:123)+100</f>
        <v>100</v>
      </c>
      <c r="K42" s="611"/>
      <c r="L42" s="1139"/>
      <c r="M42" s="1130"/>
      <c r="N42" s="1130"/>
      <c r="O42" s="1130"/>
      <c r="P42" s="3218"/>
      <c r="Q42" s="1799" t="str">
        <f t="shared" si="11"/>
        <v>内部装修</v>
      </c>
      <c r="R42" s="773" t="s">
        <v>17</v>
      </c>
      <c r="S42" s="774">
        <f t="shared" si="12"/>
        <v>100</v>
      </c>
      <c r="T42" s="773" t="s">
        <v>17</v>
      </c>
      <c r="U42" s="774">
        <f t="shared" si="13"/>
        <v>100</v>
      </c>
      <c r="V42" s="773" t="s">
        <v>17</v>
      </c>
      <c r="W42" s="774">
        <f t="shared" si="14"/>
        <v>100</v>
      </c>
      <c r="X42" s="1802"/>
      <c r="Y42" s="3220"/>
      <c r="Z42" s="1803" t="str">
        <f t="shared" si="15"/>
        <v>内部装修</v>
      </c>
      <c r="AA42" s="1800">
        <f t="shared" si="3"/>
        <v>1</v>
      </c>
      <c r="AB42" s="1800">
        <f t="shared" si="4"/>
        <v>1</v>
      </c>
      <c r="AC42" s="1800">
        <f t="shared" si="5"/>
        <v>1</v>
      </c>
    </row>
    <row r="43" spans="1:29" ht="15">
      <c r="A43" s="471"/>
      <c r="B43" s="421" t="s">
        <v>2571</v>
      </c>
      <c r="C43" s="2600"/>
      <c r="D43" s="434">
        <v>100</v>
      </c>
      <c r="E43" s="2600"/>
      <c r="F43" s="460">
        <f>SUMIF(124:124,E43,125:125)-SUMIF(124:124,C43,125:125)+100</f>
        <v>100</v>
      </c>
      <c r="G43" s="2600"/>
      <c r="H43" s="434">
        <f>SUMIF(124:124,G43,125:125)-SUMIF(124:124,C43,125:125)+100</f>
        <v>100</v>
      </c>
      <c r="I43" s="2600"/>
      <c r="J43" s="434">
        <f>SUMIF(124:124,I43,125:125)-SUMIF(124:124,C43,125:125)+100</f>
        <v>100</v>
      </c>
      <c r="K43" s="611"/>
      <c r="L43" s="1139"/>
      <c r="M43" s="1130"/>
      <c r="N43" s="1130"/>
      <c r="O43" s="1130"/>
      <c r="P43" s="3218"/>
      <c r="Q43" s="1799" t="str">
        <f t="shared" si="11"/>
        <v>内部装修维护情况</v>
      </c>
      <c r="R43" s="773" t="s">
        <v>17</v>
      </c>
      <c r="S43" s="774">
        <f t="shared" si="12"/>
        <v>100</v>
      </c>
      <c r="T43" s="773" t="s">
        <v>17</v>
      </c>
      <c r="U43" s="774">
        <f t="shared" si="13"/>
        <v>100</v>
      </c>
      <c r="V43" s="773" t="s">
        <v>17</v>
      </c>
      <c r="W43" s="774">
        <f t="shared" si="14"/>
        <v>100</v>
      </c>
      <c r="X43" s="1802"/>
      <c r="Y43" s="3220"/>
      <c r="Z43" s="1803" t="str">
        <f t="shared" si="15"/>
        <v>内部装修维护情况</v>
      </c>
      <c r="AA43" s="1800">
        <f t="shared" si="3"/>
        <v>1</v>
      </c>
      <c r="AB43" s="1800">
        <f t="shared" si="4"/>
        <v>1</v>
      </c>
      <c r="AC43" s="1800">
        <f t="shared" si="5"/>
        <v>1</v>
      </c>
    </row>
    <row r="44" spans="1:29" s="117" customFormat="1" ht="15">
      <c r="A44" s="472"/>
      <c r="B44" s="1383">
        <v>111</v>
      </c>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31"/>
      <c r="M44" s="1132"/>
      <c r="N44" s="1132"/>
      <c r="O44" s="1132"/>
      <c r="P44" s="3218"/>
      <c r="Q44" s="1784">
        <f t="shared" si="11"/>
        <v>111</v>
      </c>
      <c r="R44" s="769" t="s">
        <v>17</v>
      </c>
      <c r="S44" s="770">
        <f t="shared" si="12"/>
        <v>100</v>
      </c>
      <c r="T44" s="769" t="s">
        <v>17</v>
      </c>
      <c r="U44" s="770">
        <f t="shared" si="13"/>
        <v>100</v>
      </c>
      <c r="V44" s="769" t="s">
        <v>17</v>
      </c>
      <c r="W44" s="770">
        <f t="shared" si="14"/>
        <v>100</v>
      </c>
      <c r="X44" s="771"/>
      <c r="Y44" s="3220"/>
      <c r="Z44" s="55">
        <f t="shared" si="15"/>
        <v>111</v>
      </c>
      <c r="AA44" s="772">
        <f t="shared" si="3"/>
        <v>1</v>
      </c>
      <c r="AB44" s="772">
        <f t="shared" si="4"/>
        <v>1</v>
      </c>
      <c r="AC44" s="772">
        <f t="shared" si="5"/>
        <v>1</v>
      </c>
    </row>
    <row r="45" spans="1:29" ht="15">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18"/>
      <c r="Q45" s="1799">
        <f t="shared" si="11"/>
        <v>111</v>
      </c>
      <c r="R45" s="773" t="s">
        <v>17</v>
      </c>
      <c r="S45" s="774">
        <f t="shared" si="12"/>
        <v>100</v>
      </c>
      <c r="T45" s="773" t="s">
        <v>17</v>
      </c>
      <c r="U45" s="774">
        <f t="shared" si="13"/>
        <v>100</v>
      </c>
      <c r="V45" s="773" t="s">
        <v>17</v>
      </c>
      <c r="W45" s="774">
        <f t="shared" si="14"/>
        <v>100</v>
      </c>
      <c r="X45" s="1802"/>
      <c r="Y45" s="3220"/>
      <c r="Z45" s="1803">
        <f t="shared" si="15"/>
        <v>111</v>
      </c>
      <c r="AA45" s="1800">
        <f t="shared" si="3"/>
        <v>1</v>
      </c>
      <c r="AB45" s="1800">
        <f t="shared" si="4"/>
        <v>1</v>
      </c>
      <c r="AC45" s="1800">
        <f t="shared" si="5"/>
        <v>1</v>
      </c>
    </row>
    <row r="46" spans="1:29" ht="15.75" thickBot="1">
      <c r="A46" s="477"/>
      <c r="B46" s="2589">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19"/>
      <c r="Q46" s="1799">
        <f t="shared" si="11"/>
        <v>111</v>
      </c>
      <c r="R46" s="773" t="s">
        <v>17</v>
      </c>
      <c r="S46" s="774">
        <f t="shared" si="12"/>
        <v>100</v>
      </c>
      <c r="T46" s="773" t="s">
        <v>17</v>
      </c>
      <c r="U46" s="774">
        <f t="shared" si="13"/>
        <v>100</v>
      </c>
      <c r="V46" s="773" t="s">
        <v>17</v>
      </c>
      <c r="W46" s="774">
        <f t="shared" si="14"/>
        <v>100</v>
      </c>
      <c r="X46" s="1802"/>
      <c r="Y46" s="3221"/>
      <c r="Z46" s="1803">
        <f t="shared" si="15"/>
        <v>111</v>
      </c>
      <c r="AA46" s="1800">
        <f t="shared" si="3"/>
        <v>1</v>
      </c>
      <c r="AB46" s="1800">
        <f t="shared" si="4"/>
        <v>1</v>
      </c>
      <c r="AC46" s="1800">
        <f t="shared" si="5"/>
        <v>1</v>
      </c>
    </row>
    <row r="47" spans="1:29" ht="15">
      <c r="A47" s="478" t="s">
        <v>2572</v>
      </c>
      <c r="B47" s="479"/>
      <c r="C47" s="1404" t="s">
        <v>1</v>
      </c>
      <c r="D47" s="1405"/>
      <c r="E47" s="1406"/>
      <c r="F47" s="1407"/>
      <c r="G47" s="1408"/>
      <c r="H47" s="1409"/>
      <c r="I47" s="1406"/>
      <c r="J47" s="1409"/>
      <c r="K47" s="782"/>
      <c r="L47" s="1142"/>
      <c r="M47" s="1143"/>
      <c r="N47" s="1130"/>
      <c r="O47" s="1143"/>
      <c r="P47" s="3208" t="str">
        <f>A47</f>
        <v>成交单价（元/平方米）</v>
      </c>
      <c r="Q47" s="3208"/>
      <c r="R47" s="3225">
        <f>E47</f>
        <v>0</v>
      </c>
      <c r="S47" s="3225"/>
      <c r="T47" s="3225">
        <f>G47</f>
        <v>0</v>
      </c>
      <c r="U47" s="3225"/>
      <c r="V47" s="3225">
        <f>I47</f>
        <v>0</v>
      </c>
      <c r="W47" s="3225"/>
      <c r="X47" s="758"/>
      <c r="Y47" s="780"/>
      <c r="Z47" s="758"/>
      <c r="AA47" s="758"/>
      <c r="AB47" s="758"/>
      <c r="AC47" s="758"/>
    </row>
    <row r="48" spans="1:29" ht="15.75" thickBot="1">
      <c r="A48" s="485" t="s">
        <v>2664</v>
      </c>
      <c r="B48" s="486"/>
      <c r="C48" s="1410" t="e">
        <f>R49</f>
        <v>#DIV/0!</v>
      </c>
      <c r="D48" s="1411"/>
      <c r="E48" s="1412" t="e">
        <f>R48</f>
        <v>#DIV/0!</v>
      </c>
      <c r="F48" s="1412"/>
      <c r="G48" s="1410" t="e">
        <f>T48</f>
        <v>#DIV/0!</v>
      </c>
      <c r="H48" s="1411"/>
      <c r="I48" s="1412" t="e">
        <f>V48</f>
        <v>#DIV/0!</v>
      </c>
      <c r="J48" s="1411"/>
      <c r="K48" s="783"/>
      <c r="L48" s="1142"/>
      <c r="M48" s="1143"/>
      <c r="N48" s="1130"/>
      <c r="O48" s="1143"/>
      <c r="P48" s="3208" t="str">
        <f>A48</f>
        <v>比较价值（元/平方米）</v>
      </c>
      <c r="Q48" s="3208"/>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8"/>
      <c r="Y48" s="758"/>
      <c r="Z48" s="758"/>
      <c r="AA48" s="758"/>
      <c r="AB48" s="758"/>
      <c r="AC48" s="758"/>
    </row>
    <row r="49" spans="1:29" ht="15.75" thickBot="1">
      <c r="A49" s="491" t="s">
        <v>2665</v>
      </c>
      <c r="B49" s="492"/>
      <c r="C49" s="1414" t="e">
        <f>R49</f>
        <v>#DIV/0!</v>
      </c>
      <c r="D49" s="1414"/>
      <c r="E49" s="1414"/>
      <c r="F49" s="1414"/>
      <c r="G49" s="1414"/>
      <c r="H49" s="1414"/>
      <c r="I49" s="1414"/>
      <c r="J49" s="1414"/>
      <c r="K49" s="784"/>
      <c r="L49" s="1142"/>
      <c r="M49" s="1143"/>
      <c r="N49" s="1130"/>
      <c r="O49" s="1143"/>
      <c r="P49" s="3210" t="str">
        <f>A49</f>
        <v>估价对象XX用房的比较价值（楼面单价，元/平方米）</v>
      </c>
      <c r="Q49" s="3211"/>
      <c r="R49" s="3212" t="e">
        <f>IF(F1="售价",ROUND(AVERAGE(R48:V48),0),ROUND(AVERAGE(R48:V48),1))</f>
        <v>#DIV/0!</v>
      </c>
      <c r="S49" s="3212"/>
      <c r="T49" s="3212"/>
      <c r="U49" s="3212"/>
      <c r="V49" s="3212"/>
      <c r="W49" s="3212"/>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2666</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2667</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2668</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51"/>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51"/>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2669</v>
      </c>
      <c r="B57" s="758"/>
      <c r="C57" s="763"/>
      <c r="D57" s="763"/>
      <c r="E57" s="763"/>
      <c r="F57" s="764"/>
      <c r="G57" s="764"/>
      <c r="H57" s="763"/>
      <c r="I57" s="763"/>
      <c r="J57" s="763"/>
      <c r="K57" s="765"/>
      <c r="L57" s="1160"/>
      <c r="M57" s="1158"/>
      <c r="N57" s="1158"/>
      <c r="O57" s="1158"/>
      <c r="P57" s="2652"/>
      <c r="Q57" s="2653"/>
      <c r="R57" s="758"/>
      <c r="S57" s="758"/>
      <c r="T57" s="758"/>
      <c r="U57" s="758"/>
      <c r="V57" s="758"/>
      <c r="W57" s="758"/>
      <c r="X57" s="758"/>
      <c r="Y57" s="758"/>
      <c r="Z57" s="758"/>
      <c r="AA57" s="758"/>
      <c r="AB57" s="758"/>
      <c r="AC57" s="758"/>
    </row>
    <row r="58" spans="1:29" s="507" customFormat="1" ht="15">
      <c r="A58" s="504" t="s">
        <v>2543</v>
      </c>
      <c r="B58" s="505"/>
      <c r="C58" s="1571" t="str">
        <f>YEAR(C7)&amp;"-"&amp;MONTH(C7)</f>
        <v>2020-5</v>
      </c>
      <c r="D58" s="1572">
        <f>EDATE(C58,-1)</f>
        <v>43922</v>
      </c>
      <c r="E58" s="1572">
        <f t="shared" ref="E58:N58" si="16">EDATE(D58,-1)</f>
        <v>43891</v>
      </c>
      <c r="F58" s="1572">
        <f t="shared" si="16"/>
        <v>43862</v>
      </c>
      <c r="G58" s="1572">
        <f t="shared" si="16"/>
        <v>43831</v>
      </c>
      <c r="H58" s="1572">
        <f t="shared" si="16"/>
        <v>43800</v>
      </c>
      <c r="I58" s="1572">
        <f t="shared" si="16"/>
        <v>43770</v>
      </c>
      <c r="J58" s="1572">
        <f t="shared" si="16"/>
        <v>43739</v>
      </c>
      <c r="K58" s="1572">
        <f t="shared" si="16"/>
        <v>43709</v>
      </c>
      <c r="L58" s="1572">
        <f t="shared" si="16"/>
        <v>43678</v>
      </c>
      <c r="M58" s="1572">
        <f t="shared" si="16"/>
        <v>43647</v>
      </c>
      <c r="N58" s="1572">
        <f t="shared" si="16"/>
        <v>43617</v>
      </c>
      <c r="O58" s="1572">
        <f>EDATE(N58,-1)</f>
        <v>43586</v>
      </c>
      <c r="P58" s="1567"/>
    </row>
    <row r="59" spans="1:29" s="117" customFormat="1" ht="15">
      <c r="A59" s="508"/>
      <c r="B59" s="509"/>
      <c r="C59" s="1570">
        <v>100</v>
      </c>
      <c r="D59" s="511"/>
      <c r="E59" s="511"/>
      <c r="F59" s="511"/>
      <c r="G59" s="511"/>
      <c r="H59" s="511"/>
      <c r="I59" s="511"/>
      <c r="J59" s="511"/>
      <c r="K59" s="511"/>
      <c r="L59" s="511"/>
      <c r="M59" s="512"/>
      <c r="N59" s="511"/>
      <c r="O59" s="512"/>
      <c r="P59" s="2613"/>
    </row>
    <row r="60" spans="1:29" s="117" customFormat="1" ht="15.75" thickBot="1">
      <c r="A60" s="514" t="s">
        <v>2580</v>
      </c>
      <c r="B60" s="515"/>
      <c r="C60" s="516"/>
      <c r="D60" s="517"/>
      <c r="E60" s="517"/>
      <c r="F60" s="517"/>
      <c r="G60" s="517"/>
      <c r="H60" s="517"/>
      <c r="I60" s="517"/>
      <c r="J60" s="517"/>
      <c r="K60" s="517"/>
      <c r="L60" s="517"/>
      <c r="M60" s="518"/>
      <c r="N60" s="517"/>
      <c r="O60" s="518"/>
      <c r="P60" s="2613"/>
      <c r="Q60" s="503"/>
    </row>
    <row r="61" spans="1:29" s="117" customFormat="1" ht="15">
      <c r="A61" s="520" t="s">
        <v>2545</v>
      </c>
      <c r="B61" s="509"/>
      <c r="C61" s="521" t="s">
        <v>2647</v>
      </c>
      <c r="D61" s="522"/>
      <c r="E61" s="522"/>
      <c r="F61" s="522"/>
      <c r="G61" s="522"/>
      <c r="H61" s="522"/>
      <c r="I61" s="522"/>
      <c r="J61" s="522"/>
      <c r="K61" s="522"/>
      <c r="L61" s="523"/>
      <c r="M61" s="524"/>
      <c r="N61" s="1150"/>
      <c r="O61" s="1150"/>
      <c r="P61" s="2614"/>
      <c r="Q61" s="503"/>
    </row>
    <row r="62" spans="1:29" s="117" customFormat="1" ht="15.75" thickBot="1">
      <c r="A62" s="520"/>
      <c r="B62" s="509"/>
      <c r="C62" s="510">
        <v>100</v>
      </c>
      <c r="D62" s="511"/>
      <c r="E62" s="511"/>
      <c r="F62" s="511"/>
      <c r="G62" s="511"/>
      <c r="H62" s="511"/>
      <c r="I62" s="511"/>
      <c r="J62" s="511"/>
      <c r="K62" s="511"/>
      <c r="L62" s="511"/>
      <c r="M62" s="513"/>
      <c r="N62" s="1150"/>
      <c r="O62" s="1150"/>
      <c r="P62" s="2613"/>
      <c r="Q62" s="503"/>
    </row>
    <row r="63" spans="1:29">
      <c r="A63" s="526" t="s">
        <v>2583</v>
      </c>
      <c r="B63" s="527" t="s">
        <v>2549</v>
      </c>
      <c r="C63" s="528">
        <f>C9</f>
        <v>0</v>
      </c>
      <c r="D63" s="529"/>
      <c r="E63" s="529"/>
      <c r="F63" s="529"/>
      <c r="G63" s="529"/>
      <c r="H63" s="529"/>
      <c r="I63" s="529"/>
      <c r="J63" s="529"/>
      <c r="K63" s="530"/>
      <c r="L63" s="531"/>
      <c r="M63" s="532"/>
      <c r="N63" s="1151"/>
      <c r="O63" s="1151"/>
      <c r="P63" s="2615"/>
      <c r="Q63" s="503"/>
    </row>
    <row r="64" spans="1:29" ht="15.75" thickBot="1">
      <c r="A64" s="533"/>
      <c r="B64" s="534"/>
      <c r="C64" s="535">
        <v>100</v>
      </c>
      <c r="D64" s="535"/>
      <c r="E64" s="535"/>
      <c r="F64" s="535"/>
      <c r="G64" s="535"/>
      <c r="H64" s="535"/>
      <c r="I64" s="535"/>
      <c r="J64" s="535"/>
      <c r="K64" s="535"/>
      <c r="L64" s="535"/>
      <c r="M64" s="536"/>
      <c r="N64" s="1152"/>
      <c r="O64" s="1152"/>
      <c r="P64" s="2615"/>
      <c r="Q64" s="503"/>
    </row>
    <row r="65" spans="1:17" ht="27.75" thickTop="1">
      <c r="A65" s="533"/>
      <c r="B65" s="537" t="s">
        <v>2552</v>
      </c>
      <c r="C65" s="538" t="s">
        <v>2584</v>
      </c>
      <c r="D65" s="538" t="s">
        <v>2585</v>
      </c>
      <c r="E65" s="538" t="s">
        <v>2586</v>
      </c>
      <c r="F65" s="538" t="s">
        <v>2587</v>
      </c>
      <c r="G65" s="538" t="s">
        <v>2588</v>
      </c>
      <c r="H65" s="538" t="s">
        <v>2589</v>
      </c>
      <c r="I65" s="538" t="s">
        <v>2590</v>
      </c>
      <c r="J65" s="538"/>
      <c r="K65" s="539"/>
      <c r="L65" s="540"/>
      <c r="M65" s="541"/>
      <c r="N65" s="1151"/>
      <c r="O65" s="1151"/>
      <c r="P65" s="2615"/>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15"/>
      <c r="Q66" s="503"/>
    </row>
    <row r="67" spans="1:17" ht="15.75" thickTop="1">
      <c r="A67" s="533"/>
      <c r="B67" s="545" t="s">
        <v>2553</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15"/>
      <c r="Q67" s="503"/>
    </row>
    <row r="68" spans="1:17" ht="15">
      <c r="A68" s="533"/>
      <c r="B68" s="547"/>
      <c r="C68" s="548"/>
      <c r="D68" s="548"/>
      <c r="E68" s="548"/>
      <c r="F68" s="548"/>
      <c r="G68" s="548"/>
      <c r="H68" s="548"/>
      <c r="I68" s="548"/>
      <c r="J68" s="548"/>
      <c r="K68" s="549"/>
      <c r="L68" s="550"/>
      <c r="M68" s="551"/>
      <c r="N68" s="1151"/>
      <c r="O68" s="1151"/>
      <c r="P68" s="2615"/>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15"/>
      <c r="Q69" s="503"/>
    </row>
    <row r="70" spans="1:17" s="470" customFormat="1" ht="15.75" thickTop="1">
      <c r="A70" s="552"/>
      <c r="B70" s="537">
        <f>B12</f>
        <v>111</v>
      </c>
      <c r="C70" s="553"/>
      <c r="D70" s="553"/>
      <c r="E70" s="553"/>
      <c r="F70" s="553"/>
      <c r="G70" s="553"/>
      <c r="H70" s="554"/>
      <c r="I70" s="554"/>
      <c r="J70" s="554"/>
      <c r="K70" s="554"/>
      <c r="L70" s="555"/>
      <c r="M70" s="556"/>
      <c r="N70" s="1153"/>
      <c r="O70" s="1153"/>
      <c r="P70" s="2616"/>
      <c r="Q70" s="558"/>
    </row>
    <row r="71" spans="1:17" s="470" customFormat="1" ht="15.75" thickBot="1">
      <c r="A71" s="552"/>
      <c r="B71" s="542"/>
      <c r="C71" s="559"/>
      <c r="D71" s="535"/>
      <c r="E71" s="535"/>
      <c r="F71" s="535"/>
      <c r="G71" s="535"/>
      <c r="H71" s="535"/>
      <c r="I71" s="535"/>
      <c r="J71" s="535"/>
      <c r="K71" s="535"/>
      <c r="L71" s="535"/>
      <c r="M71" s="536"/>
      <c r="N71" s="1152"/>
      <c r="O71" s="1152"/>
      <c r="P71" s="2616"/>
      <c r="Q71" s="558"/>
    </row>
    <row r="72" spans="1:17" s="470" customFormat="1" ht="15.75" thickTop="1">
      <c r="A72" s="552"/>
      <c r="B72" s="537">
        <f>B13</f>
        <v>111</v>
      </c>
      <c r="C72" s="553"/>
      <c r="D72" s="553"/>
      <c r="E72" s="553"/>
      <c r="F72" s="553"/>
      <c r="G72" s="553"/>
      <c r="H72" s="554"/>
      <c r="I72" s="554"/>
      <c r="J72" s="554"/>
      <c r="K72" s="554"/>
      <c r="L72" s="555"/>
      <c r="M72" s="556"/>
      <c r="N72" s="1153"/>
      <c r="O72" s="1153"/>
      <c r="P72" s="2617"/>
      <c r="Q72" s="560"/>
    </row>
    <row r="73" spans="1:17" s="470" customFormat="1" ht="15.75" thickBot="1">
      <c r="A73" s="552"/>
      <c r="B73" s="542"/>
      <c r="C73" s="559"/>
      <c r="D73" s="535"/>
      <c r="E73" s="535"/>
      <c r="F73" s="535"/>
      <c r="G73" s="559"/>
      <c r="H73" s="561"/>
      <c r="I73" s="561"/>
      <c r="J73" s="561"/>
      <c r="K73" s="561"/>
      <c r="L73" s="561"/>
      <c r="M73" s="562"/>
      <c r="N73" s="1153"/>
      <c r="O73" s="1153"/>
      <c r="P73" s="2616"/>
      <c r="Q73" s="558"/>
    </row>
    <row r="74" spans="1:17" s="470" customFormat="1" ht="15.75" thickTop="1">
      <c r="A74" s="552"/>
      <c r="B74" s="545">
        <f>B14</f>
        <v>111</v>
      </c>
      <c r="C74" s="553"/>
      <c r="D74" s="553"/>
      <c r="E74" s="553"/>
      <c r="F74" s="553"/>
      <c r="G74" s="522"/>
      <c r="H74" s="563"/>
      <c r="I74" s="563"/>
      <c r="J74" s="563"/>
      <c r="K74" s="563"/>
      <c r="L74" s="564"/>
      <c r="M74" s="565"/>
      <c r="N74" s="1153"/>
      <c r="O74" s="1153"/>
      <c r="P74" s="2618"/>
      <c r="Q74" s="558"/>
    </row>
    <row r="75" spans="1:17" s="470" customFormat="1" ht="15.75" thickBot="1">
      <c r="A75" s="567"/>
      <c r="B75" s="568"/>
      <c r="C75" s="569"/>
      <c r="D75" s="569"/>
      <c r="E75" s="569"/>
      <c r="F75" s="569"/>
      <c r="G75" s="569"/>
      <c r="H75" s="570"/>
      <c r="I75" s="570"/>
      <c r="J75" s="570"/>
      <c r="K75" s="570"/>
      <c r="L75" s="570"/>
      <c r="M75" s="571"/>
      <c r="N75" s="1153"/>
      <c r="O75" s="1153"/>
      <c r="P75" s="2616"/>
      <c r="Q75" s="558"/>
    </row>
    <row r="76" spans="1:17">
      <c r="A76" s="526" t="s">
        <v>2554</v>
      </c>
      <c r="B76" s="527" t="s">
        <v>2591</v>
      </c>
      <c r="C76" s="572" t="s">
        <v>2592</v>
      </c>
      <c r="D76" s="572" t="s">
        <v>2593</v>
      </c>
      <c r="E76" s="572" t="s">
        <v>2594</v>
      </c>
      <c r="F76" s="572" t="s">
        <v>2595</v>
      </c>
      <c r="G76" s="572" t="s">
        <v>2596</v>
      </c>
      <c r="H76" s="528"/>
      <c r="I76" s="528"/>
      <c r="J76" s="528"/>
      <c r="K76" s="573"/>
      <c r="L76" s="574"/>
      <c r="M76" s="575"/>
      <c r="N76" s="1151"/>
      <c r="O76" s="1151"/>
      <c r="P76" s="2619"/>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15"/>
      <c r="Q77" s="503"/>
    </row>
    <row r="78" spans="1:17" ht="15.75" thickTop="1">
      <c r="A78" s="533"/>
      <c r="B78" s="537" t="s">
        <v>2597</v>
      </c>
      <c r="C78" s="577" t="s">
        <v>2592</v>
      </c>
      <c r="D78" s="577" t="s">
        <v>2593</v>
      </c>
      <c r="E78" s="577" t="s">
        <v>2594</v>
      </c>
      <c r="F78" s="577" t="s">
        <v>2595</v>
      </c>
      <c r="G78" s="577" t="s">
        <v>2596</v>
      </c>
      <c r="H78" s="538"/>
      <c r="I78" s="538"/>
      <c r="J78" s="538"/>
      <c r="K78" s="539"/>
      <c r="L78" s="540"/>
      <c r="M78" s="541"/>
      <c r="N78" s="1151"/>
      <c r="O78" s="1151"/>
      <c r="P78" s="2615"/>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15"/>
      <c r="Q79" s="503"/>
    </row>
    <row r="80" spans="1:17" ht="15.75" thickTop="1">
      <c r="A80" s="533"/>
      <c r="B80" s="537" t="s">
        <v>2598</v>
      </c>
      <c r="C80" s="577" t="s">
        <v>2592</v>
      </c>
      <c r="D80" s="577" t="s">
        <v>2593</v>
      </c>
      <c r="E80" s="577" t="s">
        <v>2594</v>
      </c>
      <c r="F80" s="577" t="s">
        <v>2595</v>
      </c>
      <c r="G80" s="577" t="s">
        <v>2596</v>
      </c>
      <c r="H80" s="538"/>
      <c r="I80" s="538"/>
      <c r="J80" s="538"/>
      <c r="K80" s="539"/>
      <c r="L80" s="540"/>
      <c r="M80" s="541"/>
      <c r="N80" s="1151"/>
      <c r="O80" s="1151"/>
      <c r="P80" s="2615"/>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15"/>
      <c r="Q81" s="503"/>
    </row>
    <row r="82" spans="1:17" ht="15.75" thickTop="1">
      <c r="A82" s="533"/>
      <c r="B82" s="545" t="s">
        <v>2650</v>
      </c>
      <c r="C82" s="659" t="s">
        <v>2670</v>
      </c>
      <c r="D82" s="659" t="s">
        <v>2671</v>
      </c>
      <c r="E82" s="659" t="s">
        <v>2672</v>
      </c>
      <c r="F82" s="659" t="s">
        <v>2673</v>
      </c>
      <c r="G82" s="659" t="s">
        <v>2674</v>
      </c>
      <c r="H82" s="538"/>
      <c r="I82" s="538"/>
      <c r="J82" s="538"/>
      <c r="K82" s="538"/>
      <c r="L82" s="538"/>
      <c r="M82" s="1379"/>
      <c r="N82" s="1152"/>
      <c r="O82" s="1152"/>
      <c r="P82" s="2615"/>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15"/>
      <c r="Q83" s="503"/>
    </row>
    <row r="84" spans="1:17" ht="15.75" thickTop="1">
      <c r="A84" s="533"/>
      <c r="B84" s="537" t="s">
        <v>2604</v>
      </c>
      <c r="C84" s="577" t="s">
        <v>2592</v>
      </c>
      <c r="D84" s="577" t="s">
        <v>2593</v>
      </c>
      <c r="E84" s="577" t="s">
        <v>2594</v>
      </c>
      <c r="F84" s="577" t="s">
        <v>2595</v>
      </c>
      <c r="G84" s="577" t="s">
        <v>2596</v>
      </c>
      <c r="H84" s="538"/>
      <c r="I84" s="538"/>
      <c r="J84" s="538"/>
      <c r="K84" s="539"/>
      <c r="L84" s="540"/>
      <c r="M84" s="541"/>
      <c r="N84" s="1151"/>
      <c r="O84" s="1151"/>
      <c r="P84" s="2615"/>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15"/>
      <c r="Q85" s="503"/>
    </row>
    <row r="86" spans="1:17" s="117" customFormat="1" ht="15.75" thickTop="1">
      <c r="A86" s="578"/>
      <c r="B86" s="537" t="s">
        <v>2675</v>
      </c>
      <c r="C86" s="553"/>
      <c r="D86" s="553"/>
      <c r="E86" s="553"/>
      <c r="F86" s="553"/>
      <c r="G86" s="553"/>
      <c r="H86" s="553"/>
      <c r="I86" s="553"/>
      <c r="J86" s="553"/>
      <c r="K86" s="553"/>
      <c r="L86" s="579"/>
      <c r="M86" s="580"/>
      <c r="N86" s="1150"/>
      <c r="O86" s="1150"/>
      <c r="P86" s="2615"/>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15"/>
      <c r="Q87" s="503"/>
    </row>
    <row r="88" spans="1:17" s="117" customFormat="1" ht="15.75" thickTop="1">
      <c r="A88" s="578"/>
      <c r="B88" s="537" t="str">
        <f>B26</f>
        <v>平面位置/可视性</v>
      </c>
      <c r="C88" s="553"/>
      <c r="D88" s="553"/>
      <c r="E88" s="553"/>
      <c r="F88" s="2620"/>
      <c r="G88" s="553"/>
      <c r="H88" s="553"/>
      <c r="I88" s="553"/>
      <c r="J88" s="553"/>
      <c r="K88" s="553"/>
      <c r="L88" s="553"/>
      <c r="M88" s="580"/>
      <c r="N88" s="1150"/>
      <c r="O88" s="1150"/>
      <c r="P88" s="2615"/>
      <c r="Q88" s="503"/>
    </row>
    <row r="89" spans="1:17" s="117" customFormat="1" ht="15.75" thickBot="1">
      <c r="A89" s="578"/>
      <c r="B89" s="542"/>
      <c r="C89" s="559"/>
      <c r="D89" s="535"/>
      <c r="E89" s="535"/>
      <c r="F89" s="535"/>
      <c r="G89" s="535"/>
      <c r="H89" s="535"/>
      <c r="I89" s="535"/>
      <c r="J89" s="535"/>
      <c r="K89" s="535"/>
      <c r="L89" s="535"/>
      <c r="M89" s="535"/>
      <c r="N89" s="1152"/>
      <c r="O89" s="1152"/>
      <c r="P89" s="2615"/>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16"/>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16"/>
      <c r="Q91" s="558"/>
    </row>
    <row r="92" spans="1:17" ht="15.75" thickTop="1">
      <c r="A92" s="533"/>
      <c r="B92" s="537" t="str">
        <f>B28</f>
        <v>楼层</v>
      </c>
      <c r="C92" s="553"/>
      <c r="D92" s="553"/>
      <c r="E92" s="553"/>
      <c r="F92" s="553"/>
      <c r="G92" s="553"/>
      <c r="H92" s="553"/>
      <c r="I92" s="553"/>
      <c r="J92" s="553"/>
      <c r="K92" s="553"/>
      <c r="L92" s="579"/>
      <c r="M92" s="580"/>
      <c r="N92" s="1151"/>
      <c r="O92" s="1151"/>
      <c r="P92" s="2615"/>
      <c r="Q92" s="503"/>
    </row>
    <row r="93" spans="1:17" ht="15.75" thickBot="1">
      <c r="A93" s="533"/>
      <c r="B93" s="542"/>
      <c r="C93" s="535"/>
      <c r="D93" s="535"/>
      <c r="E93" s="535"/>
      <c r="F93" s="535"/>
      <c r="G93" s="535"/>
      <c r="H93" s="535"/>
      <c r="I93" s="535"/>
      <c r="J93" s="535"/>
      <c r="K93" s="535"/>
      <c r="L93" s="535"/>
      <c r="M93" s="536"/>
      <c r="N93" s="1152"/>
      <c r="O93" s="1152"/>
      <c r="P93" s="2615"/>
      <c r="Q93" s="503"/>
    </row>
    <row r="94" spans="1:17" ht="15.75" thickTop="1">
      <c r="A94" s="533"/>
      <c r="B94" s="537">
        <f>B29</f>
        <v>111</v>
      </c>
      <c r="C94" s="553"/>
      <c r="D94" s="553"/>
      <c r="E94" s="553"/>
      <c r="F94" s="553"/>
      <c r="G94" s="582"/>
      <c r="H94" s="582"/>
      <c r="I94" s="582"/>
      <c r="J94" s="582"/>
      <c r="K94" s="583"/>
      <c r="L94" s="584"/>
      <c r="M94" s="585"/>
      <c r="N94" s="1151"/>
      <c r="O94" s="1151"/>
      <c r="P94" s="2615"/>
      <c r="Q94" s="503"/>
    </row>
    <row r="95" spans="1:17" ht="15.75" thickBot="1">
      <c r="A95" s="533"/>
      <c r="B95" s="542"/>
      <c r="C95" s="559"/>
      <c r="D95" s="535"/>
      <c r="E95" s="535"/>
      <c r="F95" s="535"/>
      <c r="G95" s="535"/>
      <c r="H95" s="535"/>
      <c r="I95" s="535"/>
      <c r="J95" s="535"/>
      <c r="K95" s="535"/>
      <c r="L95" s="535"/>
      <c r="M95" s="536"/>
      <c r="N95" s="1152"/>
      <c r="O95" s="1152"/>
      <c r="P95" s="2615"/>
      <c r="Q95" s="503"/>
    </row>
    <row r="96" spans="1:17" ht="15.75" thickTop="1">
      <c r="A96" s="533"/>
      <c r="B96" s="537">
        <f>B30</f>
        <v>111</v>
      </c>
      <c r="C96" s="553"/>
      <c r="D96" s="553"/>
      <c r="E96" s="553"/>
      <c r="F96" s="553"/>
      <c r="G96" s="582"/>
      <c r="H96" s="582"/>
      <c r="I96" s="582"/>
      <c r="J96" s="582"/>
      <c r="K96" s="583"/>
      <c r="L96" s="584"/>
      <c r="M96" s="585"/>
      <c r="N96" s="1151"/>
      <c r="O96" s="1151"/>
      <c r="P96" s="2615"/>
      <c r="Q96" s="503"/>
    </row>
    <row r="97" spans="1:17" ht="15.75" thickBot="1">
      <c r="A97" s="533"/>
      <c r="B97" s="542"/>
      <c r="C97" s="559"/>
      <c r="D97" s="535"/>
      <c r="E97" s="535"/>
      <c r="F97" s="535"/>
      <c r="G97" s="535"/>
      <c r="H97" s="535"/>
      <c r="I97" s="535"/>
      <c r="J97" s="535"/>
      <c r="K97" s="535"/>
      <c r="L97" s="535"/>
      <c r="M97" s="536"/>
      <c r="N97" s="1152"/>
      <c r="O97" s="1152"/>
      <c r="P97" s="2615"/>
      <c r="Q97" s="503"/>
    </row>
    <row r="98" spans="1:17" ht="15.75" thickTop="1">
      <c r="A98" s="533"/>
      <c r="B98" s="545">
        <f>B31</f>
        <v>111</v>
      </c>
      <c r="C98" s="553"/>
      <c r="D98" s="553"/>
      <c r="E98" s="553"/>
      <c r="F98" s="553"/>
      <c r="G98" s="586"/>
      <c r="H98" s="586"/>
      <c r="I98" s="586"/>
      <c r="J98" s="586"/>
      <c r="K98" s="587"/>
      <c r="L98" s="588"/>
      <c r="M98" s="589"/>
      <c r="N98" s="1151"/>
      <c r="O98" s="1151"/>
      <c r="P98" s="2615"/>
      <c r="Q98" s="503"/>
    </row>
    <row r="99" spans="1:17" ht="15.75" thickBot="1">
      <c r="A99" s="2621"/>
      <c r="B99" s="568"/>
      <c r="C99" s="569"/>
      <c r="D99" s="569"/>
      <c r="E99" s="569"/>
      <c r="F99" s="569"/>
      <c r="G99" s="590"/>
      <c r="H99" s="590"/>
      <c r="I99" s="590"/>
      <c r="J99" s="590"/>
      <c r="K99" s="590"/>
      <c r="L99" s="590"/>
      <c r="M99" s="591"/>
      <c r="N99" s="1152"/>
      <c r="O99" s="1152"/>
      <c r="P99" s="2615"/>
      <c r="Q99" s="503"/>
    </row>
    <row r="100" spans="1:17">
      <c r="A100" s="526" t="s">
        <v>2558</v>
      </c>
      <c r="B100" s="527" t="s">
        <v>2676</v>
      </c>
      <c r="C100" s="529"/>
      <c r="D100" s="529"/>
      <c r="E100" s="529"/>
      <c r="F100" s="529"/>
      <c r="G100" s="529"/>
      <c r="H100" s="529"/>
      <c r="I100" s="529"/>
      <c r="J100" s="529"/>
      <c r="K100" s="530"/>
      <c r="L100" s="531"/>
      <c r="M100" s="532"/>
      <c r="N100" s="1151"/>
      <c r="O100" s="1151"/>
      <c r="P100" s="2615"/>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15"/>
      <c r="Q101" s="503"/>
    </row>
    <row r="102" spans="1:17" ht="15.75" thickTop="1">
      <c r="A102" s="533"/>
      <c r="B102" s="537" t="s">
        <v>2608</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15"/>
      <c r="Q102" s="503"/>
    </row>
    <row r="103" spans="1:17" s="470" customFormat="1">
      <c r="A103" s="592"/>
      <c r="B103" s="593"/>
      <c r="C103" s="594"/>
      <c r="D103" s="594"/>
      <c r="E103" s="594"/>
      <c r="F103" s="594"/>
      <c r="G103" s="594"/>
      <c r="H103" s="594"/>
      <c r="I103" s="594"/>
      <c r="J103" s="595"/>
      <c r="K103" s="595"/>
      <c r="L103" s="596"/>
      <c r="M103" s="597"/>
      <c r="N103" s="1153"/>
      <c r="O103" s="1153"/>
      <c r="P103" s="2616"/>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16"/>
      <c r="Q104" s="558"/>
    </row>
    <row r="105" spans="1:17" ht="15" thickTop="1">
      <c r="A105" s="598"/>
      <c r="B105" s="537" t="s">
        <v>2609</v>
      </c>
      <c r="C105" s="553"/>
      <c r="D105" s="553"/>
      <c r="E105" s="582"/>
      <c r="F105" s="582"/>
      <c r="G105" s="582"/>
      <c r="H105" s="582"/>
      <c r="I105" s="582"/>
      <c r="J105" s="582"/>
      <c r="K105" s="583"/>
      <c r="L105" s="584"/>
      <c r="M105" s="585"/>
      <c r="N105" s="1151"/>
      <c r="O105" s="1151"/>
      <c r="P105" s="2615"/>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15"/>
      <c r="Q106" s="503"/>
    </row>
    <row r="107" spans="1:17" ht="15" thickTop="1">
      <c r="A107" s="598"/>
      <c r="B107" s="537" t="s">
        <v>2611</v>
      </c>
      <c r="C107" s="553"/>
      <c r="D107" s="553"/>
      <c r="E107" s="553"/>
      <c r="F107" s="582"/>
      <c r="G107" s="582"/>
      <c r="H107" s="582"/>
      <c r="I107" s="582"/>
      <c r="J107" s="582"/>
      <c r="K107" s="583"/>
      <c r="L107" s="584"/>
      <c r="M107" s="585"/>
      <c r="N107" s="1151"/>
      <c r="O107" s="1151"/>
      <c r="P107" s="2615"/>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15"/>
      <c r="Q108" s="503"/>
    </row>
    <row r="109" spans="1:17" ht="15" thickTop="1">
      <c r="A109" s="598"/>
      <c r="B109" s="537" t="s">
        <v>1991</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15"/>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15"/>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15"/>
      <c r="Q111" s="503"/>
    </row>
    <row r="112" spans="1:17" s="470" customFormat="1" ht="15" thickTop="1">
      <c r="A112" s="592"/>
      <c r="B112" s="537" t="s">
        <v>2613</v>
      </c>
      <c r="C112" s="553"/>
      <c r="D112" s="553"/>
      <c r="E112" s="553"/>
      <c r="F112" s="553"/>
      <c r="G112" s="553"/>
      <c r="H112" s="582"/>
      <c r="I112" s="582"/>
      <c r="J112" s="582"/>
      <c r="K112" s="583"/>
      <c r="L112" s="584"/>
      <c r="M112" s="585"/>
      <c r="N112" s="1153"/>
      <c r="O112" s="1153"/>
      <c r="P112" s="2616"/>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16"/>
      <c r="Q113" s="558"/>
    </row>
    <row r="114" spans="1:17" ht="15" thickTop="1">
      <c r="A114" s="598"/>
      <c r="B114" s="537" t="s">
        <v>2677</v>
      </c>
      <c r="C114" s="553"/>
      <c r="D114" s="553"/>
      <c r="E114" s="582"/>
      <c r="F114" s="582"/>
      <c r="G114" s="582"/>
      <c r="H114" s="582"/>
      <c r="I114" s="582"/>
      <c r="J114" s="582"/>
      <c r="K114" s="583"/>
      <c r="L114" s="584"/>
      <c r="M114" s="585"/>
      <c r="N114" s="1151"/>
      <c r="O114" s="1151"/>
      <c r="P114" s="2615"/>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15"/>
      <c r="Q115" s="503"/>
    </row>
    <row r="116" spans="1:17" ht="15" thickTop="1">
      <c r="A116" s="598"/>
      <c r="B116" s="537" t="s">
        <v>2678</v>
      </c>
      <c r="C116" s="553"/>
      <c r="D116" s="553"/>
      <c r="E116" s="553"/>
      <c r="F116" s="553"/>
      <c r="G116" s="553"/>
      <c r="H116" s="582"/>
      <c r="I116" s="582"/>
      <c r="J116" s="582"/>
      <c r="K116" s="583"/>
      <c r="L116" s="584"/>
      <c r="M116" s="585"/>
      <c r="N116" s="1151"/>
      <c r="O116" s="1151"/>
      <c r="P116" s="2615"/>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15"/>
      <c r="Q117" s="503"/>
    </row>
    <row r="118" spans="1:17" ht="15" thickTop="1">
      <c r="A118" s="598"/>
      <c r="B118" s="537" t="s">
        <v>2679</v>
      </c>
      <c r="C118" s="626"/>
      <c r="D118" s="626"/>
      <c r="E118" s="626"/>
      <c r="F118" s="626"/>
      <c r="G118" s="626"/>
      <c r="H118" s="554"/>
      <c r="I118" s="554"/>
      <c r="J118" s="554"/>
      <c r="K118" s="554"/>
      <c r="L118" s="555"/>
      <c r="M118" s="556"/>
      <c r="N118" s="1151"/>
      <c r="O118" s="1151"/>
      <c r="P118" s="2615"/>
      <c r="Q118" s="503"/>
    </row>
    <row r="119" spans="1:17" ht="15.75" thickBot="1">
      <c r="A119" s="533"/>
      <c r="B119" s="542"/>
      <c r="C119" s="559"/>
      <c r="D119" s="535"/>
      <c r="E119" s="535"/>
      <c r="F119" s="535"/>
      <c r="G119" s="535"/>
      <c r="H119" s="535"/>
      <c r="I119" s="535"/>
      <c r="J119" s="535"/>
      <c r="K119" s="535"/>
      <c r="L119" s="535"/>
      <c r="M119" s="536"/>
      <c r="N119" s="1152"/>
      <c r="O119" s="1152"/>
      <c r="P119" s="2615"/>
      <c r="Q119" s="503"/>
    </row>
    <row r="120" spans="1:17" s="470" customFormat="1" ht="15" thickTop="1">
      <c r="A120" s="592"/>
      <c r="B120" s="537" t="s">
        <v>2680</v>
      </c>
      <c r="C120" s="582"/>
      <c r="D120" s="582"/>
      <c r="E120" s="582"/>
      <c r="F120" s="582"/>
      <c r="G120" s="554"/>
      <c r="H120" s="554"/>
      <c r="I120" s="554"/>
      <c r="J120" s="554"/>
      <c r="K120" s="554"/>
      <c r="L120" s="555"/>
      <c r="M120" s="556"/>
      <c r="N120" s="1153"/>
      <c r="O120" s="1153"/>
      <c r="P120" s="2616"/>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16"/>
      <c r="Q121" s="558"/>
    </row>
    <row r="122" spans="1:17" ht="15" thickTop="1">
      <c r="A122" s="598"/>
      <c r="B122" s="537" t="s">
        <v>2615</v>
      </c>
      <c r="C122" s="553"/>
      <c r="D122" s="553"/>
      <c r="E122" s="553"/>
      <c r="F122" s="582"/>
      <c r="G122" s="582"/>
      <c r="H122" s="582"/>
      <c r="I122" s="582"/>
      <c r="J122" s="582"/>
      <c r="K122" s="583"/>
      <c r="L122" s="584"/>
      <c r="M122" s="585"/>
      <c r="N122" s="1151"/>
      <c r="O122" s="1151"/>
      <c r="P122" s="2615"/>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15"/>
      <c r="Q123" s="503"/>
    </row>
    <row r="124" spans="1:17" ht="15" thickTop="1">
      <c r="A124" s="598"/>
      <c r="B124" s="537" t="s">
        <v>2616</v>
      </c>
      <c r="C124" s="577" t="s">
        <v>2592</v>
      </c>
      <c r="D124" s="577" t="s">
        <v>2593</v>
      </c>
      <c r="E124" s="577" t="s">
        <v>2594</v>
      </c>
      <c r="F124" s="577" t="s">
        <v>2595</v>
      </c>
      <c r="G124" s="577" t="s">
        <v>2596</v>
      </c>
      <c r="H124" s="538"/>
      <c r="I124" s="538"/>
      <c r="J124" s="538"/>
      <c r="K124" s="539"/>
      <c r="L124" s="540"/>
      <c r="M124" s="541"/>
      <c r="N124" s="1151"/>
      <c r="O124" s="1151"/>
      <c r="P124" s="2616"/>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15"/>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16"/>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16"/>
      <c r="Q127" s="558"/>
    </row>
    <row r="128" spans="1:17" ht="15" thickTop="1">
      <c r="A128" s="598"/>
      <c r="B128" s="537">
        <f>B45</f>
        <v>111</v>
      </c>
      <c r="C128" s="553"/>
      <c r="D128" s="553"/>
      <c r="E128" s="553"/>
      <c r="F128" s="553"/>
      <c r="G128" s="582"/>
      <c r="H128" s="582"/>
      <c r="I128" s="582"/>
      <c r="J128" s="582"/>
      <c r="K128" s="583"/>
      <c r="L128" s="584"/>
      <c r="M128" s="585"/>
      <c r="N128" s="1151"/>
      <c r="O128" s="1151"/>
      <c r="P128" s="2615"/>
      <c r="Q128" s="503"/>
    </row>
    <row r="129" spans="1:17" ht="15.75" thickBot="1">
      <c r="A129" s="533"/>
      <c r="B129" s="542"/>
      <c r="C129" s="559"/>
      <c r="D129" s="535"/>
      <c r="E129" s="535"/>
      <c r="F129" s="535"/>
      <c r="G129" s="535"/>
      <c r="H129" s="535"/>
      <c r="I129" s="535"/>
      <c r="J129" s="535"/>
      <c r="K129" s="535"/>
      <c r="L129" s="535"/>
      <c r="M129" s="536"/>
      <c r="N129" s="1152"/>
      <c r="O129" s="1152"/>
      <c r="P129" s="2615"/>
      <c r="Q129" s="503"/>
    </row>
    <row r="130" spans="1:17" ht="15" thickTop="1">
      <c r="A130" s="598"/>
      <c r="B130" s="545">
        <f>B46</f>
        <v>111</v>
      </c>
      <c r="C130" s="553"/>
      <c r="D130" s="553"/>
      <c r="E130" s="553"/>
      <c r="F130" s="553"/>
      <c r="G130" s="586"/>
      <c r="H130" s="586"/>
      <c r="I130" s="586"/>
      <c r="J130" s="586"/>
      <c r="K130" s="522"/>
      <c r="L130" s="523"/>
      <c r="M130" s="589"/>
      <c r="N130" s="1151"/>
      <c r="O130" s="1151"/>
      <c r="P130" s="2615"/>
      <c r="Q130" s="503"/>
    </row>
    <row r="131" spans="1:17" ht="15.75" thickBot="1">
      <c r="A131" s="2621"/>
      <c r="B131" s="568"/>
      <c r="C131" s="569"/>
      <c r="D131" s="569"/>
      <c r="E131" s="569"/>
      <c r="F131" s="569"/>
      <c r="G131" s="590"/>
      <c r="H131" s="590"/>
      <c r="I131" s="590"/>
      <c r="J131" s="590"/>
      <c r="K131" s="590"/>
      <c r="L131" s="590"/>
      <c r="M131" s="591"/>
      <c r="N131" s="1152"/>
      <c r="O131" s="1152"/>
      <c r="P131" s="2615"/>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654" t="s">
        <v>2681</v>
      </c>
      <c r="C1" s="1617" t="s">
        <v>2525</v>
      </c>
      <c r="D1" s="1618"/>
      <c r="E1" s="1627"/>
      <c r="F1" s="2571"/>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2325</v>
      </c>
      <c r="B2" s="1415" t="e">
        <f ca="1">IF(C2="——",ROUND(C50*D3/10000,0),ROUND(C50*D3/10000,0)-D2)</f>
        <v>#DIV/0!</v>
      </c>
      <c r="C2" s="2573"/>
      <c r="D2" s="1362" t="e">
        <f ca="1">SUMIF(INDIRECT("'"&amp;F2&amp;"'"&amp;"!A:A"),"承租人权益价值",INDIRECT("'"&amp;F2&amp;"'"&amp;"!c:c"))</f>
        <v>#REF!</v>
      </c>
      <c r="E2" s="2574" t="s">
        <v>2326</v>
      </c>
      <c r="F2" s="2575"/>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7" t="s">
        <v>2327</v>
      </c>
      <c r="B3" s="608" t="e">
        <f ca="1">IF(C2="——",C50,ROUND(B2*10000/D3,0))</f>
        <v>#DIV/0!</v>
      </c>
      <c r="C3" s="399" t="s">
        <v>2639</v>
      </c>
      <c r="D3" s="398">
        <f>IF(D1="",'数据-汇总表'!E3,SUMIF('数据-汇总表'!$C19:$C33,D1,'数据-汇总表'!$E19:$E33))</f>
        <v>43490.38</v>
      </c>
      <c r="E3" s="2648"/>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2640</v>
      </c>
      <c r="B4" s="401"/>
      <c r="C4" s="3236" t="s">
        <v>2641</v>
      </c>
      <c r="D4" s="3237"/>
      <c r="E4" s="3238" t="s">
        <v>2642</v>
      </c>
      <c r="F4" s="3239"/>
      <c r="G4" s="3236" t="s">
        <v>2643</v>
      </c>
      <c r="H4" s="3237"/>
      <c r="I4" s="3236" t="s">
        <v>2644</v>
      </c>
      <c r="J4" s="3237"/>
      <c r="K4" s="609" t="s">
        <v>2645</v>
      </c>
      <c r="L4" s="1129"/>
      <c r="M4" s="1130"/>
      <c r="N4" s="1130"/>
      <c r="O4" s="1130"/>
      <c r="P4" s="3264" t="s">
        <v>2646</v>
      </c>
      <c r="Q4" s="3265"/>
      <c r="R4" s="3259" t="s">
        <v>2642</v>
      </c>
      <c r="S4" s="3260"/>
      <c r="T4" s="3259" t="s">
        <v>2643</v>
      </c>
      <c r="U4" s="3260"/>
      <c r="V4" s="3268" t="s">
        <v>2644</v>
      </c>
      <c r="W4" s="3268"/>
      <c r="X4" s="2655"/>
      <c r="Y4" s="3259" t="s">
        <v>2646</v>
      </c>
      <c r="Z4" s="3260"/>
      <c r="AA4" s="3258" t="s">
        <v>2642</v>
      </c>
      <c r="AB4" s="3258" t="s">
        <v>2643</v>
      </c>
      <c r="AC4" s="3261" t="s">
        <v>2644</v>
      </c>
    </row>
    <row r="5" spans="1:29" ht="15">
      <c r="A5" s="403"/>
      <c r="B5" s="404"/>
      <c r="C5" s="3256" t="s">
        <v>2537</v>
      </c>
      <c r="D5" s="3247"/>
      <c r="E5" s="3255" t="s">
        <v>2538</v>
      </c>
      <c r="F5" s="3249"/>
      <c r="G5" s="3256" t="s">
        <v>2539</v>
      </c>
      <c r="H5" s="3247"/>
      <c r="I5" s="3256" t="s">
        <v>2540</v>
      </c>
      <c r="J5" s="3247"/>
      <c r="K5" s="609"/>
      <c r="L5" s="1129"/>
      <c r="M5" s="1130"/>
      <c r="N5" s="1130"/>
      <c r="O5" s="1130"/>
      <c r="P5" s="3266"/>
      <c r="Q5" s="3243"/>
      <c r="R5" s="3228"/>
      <c r="S5" s="3229"/>
      <c r="T5" s="3228"/>
      <c r="U5" s="3229"/>
      <c r="V5" s="3225"/>
      <c r="W5" s="3225"/>
      <c r="X5" s="1802"/>
      <c r="Y5" s="3228"/>
      <c r="Z5" s="3229"/>
      <c r="AA5" s="3233"/>
      <c r="AB5" s="3233"/>
      <c r="AC5" s="3262"/>
    </row>
    <row r="6" spans="1:29" ht="15.75" thickBot="1">
      <c r="A6" s="405"/>
      <c r="B6" s="406"/>
      <c r="C6" s="3254" t="s">
        <v>2541</v>
      </c>
      <c r="D6" s="3251"/>
      <c r="E6" s="3257" t="s">
        <v>2541</v>
      </c>
      <c r="F6" s="3253"/>
      <c r="G6" s="3254" t="s">
        <v>2541</v>
      </c>
      <c r="H6" s="3251"/>
      <c r="I6" s="3254" t="s">
        <v>2541</v>
      </c>
      <c r="J6" s="3251"/>
      <c r="K6" s="609" t="s">
        <v>2542</v>
      </c>
      <c r="L6" s="1129"/>
      <c r="M6" s="1130"/>
      <c r="N6" s="1130"/>
      <c r="O6" s="1130"/>
      <c r="P6" s="3267"/>
      <c r="Q6" s="3245"/>
      <c r="R6" s="3228"/>
      <c r="S6" s="3229"/>
      <c r="T6" s="3230"/>
      <c r="U6" s="3231"/>
      <c r="V6" s="3225"/>
      <c r="W6" s="3225"/>
      <c r="X6" s="1802"/>
      <c r="Y6" s="3230"/>
      <c r="Z6" s="3231"/>
      <c r="AA6" s="3234"/>
      <c r="AB6" s="3234"/>
      <c r="AC6" s="3263"/>
    </row>
    <row r="7" spans="1:29" s="117" customFormat="1" ht="15.75" thickBot="1">
      <c r="A7" s="407" t="s">
        <v>2543</v>
      </c>
      <c r="B7" s="408"/>
      <c r="C7" s="409">
        <f>'数据-取费表'!B2</f>
        <v>43962</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69" t="s">
        <v>2544</v>
      </c>
      <c r="Q7" s="3235"/>
      <c r="R7" s="769" t="s">
        <v>17</v>
      </c>
      <c r="S7" s="770">
        <f t="shared" ref="S7:S15" si="0">F7</f>
        <v>0</v>
      </c>
      <c r="T7" s="769" t="s">
        <v>17</v>
      </c>
      <c r="U7" s="770">
        <f t="shared" ref="U7:U15" si="1">H7</f>
        <v>0</v>
      </c>
      <c r="V7" s="769" t="s">
        <v>17</v>
      </c>
      <c r="W7" s="770">
        <f t="shared" ref="W7:W15" si="2">J7</f>
        <v>0</v>
      </c>
      <c r="X7" s="771"/>
      <c r="Y7" s="3222" t="s">
        <v>2544</v>
      </c>
      <c r="Z7" s="3223"/>
      <c r="AA7" s="772" t="e">
        <f>D7/F7</f>
        <v>#DIV/0!</v>
      </c>
      <c r="AB7" s="772" t="e">
        <f>D7/H7</f>
        <v>#DIV/0!</v>
      </c>
      <c r="AC7" s="2656" t="e">
        <f>D7/J7</f>
        <v>#DIV/0!</v>
      </c>
    </row>
    <row r="8" spans="1:29" s="117" customFormat="1" ht="15.75" thickBot="1">
      <c r="A8" s="407" t="s">
        <v>2545</v>
      </c>
      <c r="B8" s="408"/>
      <c r="C8" s="413" t="s">
        <v>2647</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69" t="s">
        <v>2547</v>
      </c>
      <c r="Q8" s="3223"/>
      <c r="R8" s="769" t="s">
        <v>17</v>
      </c>
      <c r="S8" s="770">
        <f t="shared" si="0"/>
        <v>0</v>
      </c>
      <c r="T8" s="769" t="s">
        <v>17</v>
      </c>
      <c r="U8" s="770">
        <f t="shared" si="1"/>
        <v>0</v>
      </c>
      <c r="V8" s="769" t="s">
        <v>17</v>
      </c>
      <c r="W8" s="770">
        <f t="shared" si="2"/>
        <v>0</v>
      </c>
      <c r="X8" s="771"/>
      <c r="Y8" s="3222" t="s">
        <v>2547</v>
      </c>
      <c r="Z8" s="3223"/>
      <c r="AA8" s="772" t="e">
        <f t="shared" ref="AA8:AA47" si="3">D8/F8</f>
        <v>#DIV/0!</v>
      </c>
      <c r="AB8" s="772" t="e">
        <f t="shared" ref="AB8:AB47" si="4">D8/H8</f>
        <v>#DIV/0!</v>
      </c>
      <c r="AC8" s="2656" t="e">
        <f t="shared" ref="AC8:AC47" si="5">D8/J8</f>
        <v>#DIV/0!</v>
      </c>
    </row>
    <row r="9" spans="1:29" s="117" customFormat="1">
      <c r="A9" s="414" t="s">
        <v>2548</v>
      </c>
      <c r="B9" s="71" t="s">
        <v>2549</v>
      </c>
      <c r="C9" s="415"/>
      <c r="D9" s="135">
        <v>100</v>
      </c>
      <c r="E9" s="418"/>
      <c r="F9" s="135">
        <f>SUMIF(64:64,E9,65:65)-SUMIF(64:64,C9,65:65)+100</f>
        <v>100</v>
      </c>
      <c r="G9" s="416"/>
      <c r="H9" s="135">
        <f>SUMIF(64:64,G9,65:65)-SUMIF(64:64,C9,65:65)+100</f>
        <v>100</v>
      </c>
      <c r="I9" s="416"/>
      <c r="J9" s="135">
        <f>SUMIF(64:64,I9,65:65)-SUMIF(64:64,C9,65:65)+100</f>
        <v>100</v>
      </c>
      <c r="K9" s="610"/>
      <c r="L9" s="1131"/>
      <c r="M9" s="1132"/>
      <c r="N9" s="1132"/>
      <c r="O9" s="1132"/>
      <c r="P9" s="3224" t="s">
        <v>2550</v>
      </c>
      <c r="Q9" s="1784" t="str">
        <f t="shared" ref="Q9:Q15" si="6">B9</f>
        <v>用途</v>
      </c>
      <c r="R9" s="769" t="s">
        <v>17</v>
      </c>
      <c r="S9" s="770">
        <f t="shared" si="0"/>
        <v>100</v>
      </c>
      <c r="T9" s="769" t="s">
        <v>17</v>
      </c>
      <c r="U9" s="770">
        <f t="shared" si="1"/>
        <v>100</v>
      </c>
      <c r="V9" s="769" t="s">
        <v>17</v>
      </c>
      <c r="W9" s="770">
        <f t="shared" si="2"/>
        <v>100</v>
      </c>
      <c r="X9" s="771"/>
      <c r="Y9" s="3055" t="s">
        <v>2551</v>
      </c>
      <c r="Z9" s="55" t="str">
        <f t="shared" ref="Z9:Z15" si="7">Q9</f>
        <v>用途</v>
      </c>
      <c r="AA9" s="772">
        <f t="shared" si="3"/>
        <v>1</v>
      </c>
      <c r="AB9" s="772">
        <f t="shared" si="4"/>
        <v>1</v>
      </c>
      <c r="AC9" s="2656">
        <f t="shared" si="5"/>
        <v>1</v>
      </c>
    </row>
    <row r="10" spans="1:29" s="426" customFormat="1" ht="27">
      <c r="A10" s="420"/>
      <c r="B10" s="421" t="s">
        <v>2552</v>
      </c>
      <c r="C10" s="422"/>
      <c r="D10" s="136">
        <v>100</v>
      </c>
      <c r="E10" s="422"/>
      <c r="F10" s="136">
        <f>SUMIF(66:66,E10,67:67)-SUMIF(66:66,C10,67:67)+100</f>
        <v>100</v>
      </c>
      <c r="G10" s="423"/>
      <c r="H10" s="136">
        <f>SUMIF(66:66,G10,67:67)-SUMIF(66:66,C10,67:67)+100</f>
        <v>100</v>
      </c>
      <c r="I10" s="422"/>
      <c r="J10" s="136">
        <f>SUMIF(66:66,I10,67:67)-SUMIF(66:66,C10,67:67)+100</f>
        <v>100</v>
      </c>
      <c r="K10" s="611"/>
      <c r="L10" s="1134"/>
      <c r="M10" s="1135"/>
      <c r="N10" s="1135"/>
      <c r="O10" s="1135"/>
      <c r="P10" s="3224"/>
      <c r="Q10" s="1784"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2656">
        <f t="shared" si="5"/>
        <v>1</v>
      </c>
    </row>
    <row r="11" spans="1:29" ht="15">
      <c r="A11" s="427"/>
      <c r="B11" s="421" t="s">
        <v>2553</v>
      </c>
      <c r="C11" s="428"/>
      <c r="D11" s="136">
        <v>100</v>
      </c>
      <c r="E11" s="428"/>
      <c r="F11" s="136" t="e">
        <f>LOOKUP(E11,69:69,70:70)-LOOKUP(C11,69:69,70:70)+100</f>
        <v>#N/A</v>
      </c>
      <c r="G11" s="429"/>
      <c r="H11" s="136" t="e">
        <f>LOOKUP(G11,69:69,70:70)-LOOKUP(C11,69:69,70:70)+100</f>
        <v>#N/A</v>
      </c>
      <c r="I11" s="428"/>
      <c r="J11" s="136" t="e">
        <f>LOOKUP(I11,69:69,70:70)-LOOKUP(C11,69:69,70:70)+100</f>
        <v>#N/A</v>
      </c>
      <c r="K11" s="611"/>
      <c r="L11" s="1137"/>
      <c r="M11" s="1130"/>
      <c r="N11" s="1130"/>
      <c r="O11" s="1130"/>
      <c r="P11" s="3224"/>
      <c r="Q11" s="1784" t="str">
        <f t="shared" si="6"/>
        <v>容积率</v>
      </c>
      <c r="R11" s="769" t="s">
        <v>17</v>
      </c>
      <c r="S11" s="770" t="e">
        <f t="shared" si="0"/>
        <v>#N/A</v>
      </c>
      <c r="T11" s="769" t="s">
        <v>17</v>
      </c>
      <c r="U11" s="770" t="e">
        <f t="shared" si="1"/>
        <v>#N/A</v>
      </c>
      <c r="V11" s="769" t="s">
        <v>17</v>
      </c>
      <c r="W11" s="770" t="e">
        <f t="shared" si="2"/>
        <v>#N/A</v>
      </c>
      <c r="X11" s="771"/>
      <c r="Y11" s="3055"/>
      <c r="Z11" s="55" t="str">
        <f t="shared" si="7"/>
        <v>容积率</v>
      </c>
      <c r="AA11" s="772" t="e">
        <f t="shared" si="3"/>
        <v>#N/A</v>
      </c>
      <c r="AB11" s="772" t="e">
        <f t="shared" si="4"/>
        <v>#N/A</v>
      </c>
      <c r="AC11" s="2656" t="e">
        <f t="shared" si="5"/>
        <v>#N/A</v>
      </c>
    </row>
    <row r="12" spans="1:29" s="117" customFormat="1" ht="15">
      <c r="A12" s="430"/>
      <c r="B12" s="2587">
        <v>111</v>
      </c>
      <c r="C12" s="431"/>
      <c r="D12" s="432">
        <v>100</v>
      </c>
      <c r="E12" s="431"/>
      <c r="F12" s="136">
        <f>SUMIF(71:71,E12,72:72)-SUMIF(71:71,C12,72:72)+100</f>
        <v>100</v>
      </c>
      <c r="G12" s="2657"/>
      <c r="H12" s="136">
        <f>SUMIF(71:71,G12,72:72)-SUMIF(71:71,C12,72:72)+100</f>
        <v>100</v>
      </c>
      <c r="I12" s="431"/>
      <c r="J12" s="136">
        <f>SUMIF(71:71,I12,72:72)-SUMIF(71:71,C12,72:72)+100</f>
        <v>100</v>
      </c>
      <c r="K12" s="612"/>
      <c r="L12" s="1131"/>
      <c r="M12" s="1132"/>
      <c r="N12" s="1132"/>
      <c r="O12" s="1132"/>
      <c r="P12" s="3224"/>
      <c r="Q12" s="1784">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2656">
        <f>D12/J12</f>
        <v>1</v>
      </c>
    </row>
    <row r="13" spans="1:29" ht="15">
      <c r="A13" s="427"/>
      <c r="B13" s="2587">
        <v>111</v>
      </c>
      <c r="C13" s="433"/>
      <c r="D13" s="434">
        <v>100</v>
      </c>
      <c r="E13" s="431"/>
      <c r="F13" s="136">
        <f>SUMIF(73:73,E13,74:74)-SUMIF(73:73,C13,74:74)+100</f>
        <v>100</v>
      </c>
      <c r="G13" s="2657"/>
      <c r="H13" s="434">
        <f>SUMIF(73:73,G13,74:74)-SUMIF(73:73,C13,74:74)+100</f>
        <v>100</v>
      </c>
      <c r="I13" s="431"/>
      <c r="J13" s="434">
        <f>SUMIF(73:73,I13,74:74)-SUMIF(73:73,C13,74:74)+100</f>
        <v>100</v>
      </c>
      <c r="K13" s="612"/>
      <c r="L13" s="1139"/>
      <c r="M13" s="1130"/>
      <c r="N13" s="1130"/>
      <c r="O13" s="1130"/>
      <c r="P13" s="3224"/>
      <c r="Q13" s="1784">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2656">
        <f t="shared" si="5"/>
        <v>1</v>
      </c>
    </row>
    <row r="14" spans="1:29" ht="15.75" thickBot="1">
      <c r="A14" s="435"/>
      <c r="B14" s="2589">
        <v>111</v>
      </c>
      <c r="C14" s="436"/>
      <c r="D14" s="437">
        <v>100</v>
      </c>
      <c r="E14" s="627"/>
      <c r="F14" s="437">
        <f>SUMIF(75:75,E14,76:76)-SUMIF(75:75,C14,76:76)+100</f>
        <v>100</v>
      </c>
      <c r="G14" s="2657"/>
      <c r="H14" s="437">
        <f>SUMIF(75:75,G14,76:76)-SUMIF(75:75,C14,76:76)+100</f>
        <v>100</v>
      </c>
      <c r="I14" s="431"/>
      <c r="J14" s="437">
        <f>SUMIF(75:75,I14,76:76)-SUMIF(75:75,C14,76:76)+100</f>
        <v>100</v>
      </c>
      <c r="K14" s="612"/>
      <c r="L14" s="1139"/>
      <c r="M14" s="1130"/>
      <c r="N14" s="1130"/>
      <c r="O14" s="1130"/>
      <c r="P14" s="3224"/>
      <c r="Q14" s="1784">
        <f t="shared" si="6"/>
        <v>111</v>
      </c>
      <c r="R14" s="769" t="s">
        <v>17</v>
      </c>
      <c r="S14" s="770">
        <f t="shared" si="0"/>
        <v>100</v>
      </c>
      <c r="T14" s="769" t="s">
        <v>17</v>
      </c>
      <c r="U14" s="770">
        <f t="shared" si="1"/>
        <v>100</v>
      </c>
      <c r="V14" s="769" t="s">
        <v>17</v>
      </c>
      <c r="W14" s="770">
        <f t="shared" si="2"/>
        <v>100</v>
      </c>
      <c r="X14" s="771"/>
      <c r="Y14" s="3055"/>
      <c r="Z14" s="55">
        <f t="shared" si="7"/>
        <v>111</v>
      </c>
      <c r="AA14" s="772">
        <f t="shared" si="3"/>
        <v>1</v>
      </c>
      <c r="AB14" s="772">
        <f t="shared" si="4"/>
        <v>1</v>
      </c>
      <c r="AC14" s="2656">
        <f t="shared" si="5"/>
        <v>1</v>
      </c>
    </row>
    <row r="15" spans="1:29" ht="71.25">
      <c r="A15" s="439" t="s">
        <v>2554</v>
      </c>
      <c r="B15" s="628" t="s">
        <v>2682</v>
      </c>
      <c r="C15" s="2658"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13" t="s">
        <v>2555</v>
      </c>
      <c r="Q15" s="1799" t="str">
        <f t="shared" si="6"/>
        <v>办公集聚程度</v>
      </c>
      <c r="R15" s="773" t="s">
        <v>17</v>
      </c>
      <c r="S15" s="774">
        <f t="shared" si="0"/>
        <v>100</v>
      </c>
      <c r="T15" s="773" t="s">
        <v>17</v>
      </c>
      <c r="U15" s="774">
        <f t="shared" si="1"/>
        <v>100</v>
      </c>
      <c r="V15" s="773" t="s">
        <v>17</v>
      </c>
      <c r="W15" s="774">
        <f t="shared" si="2"/>
        <v>100</v>
      </c>
      <c r="X15" s="1802"/>
      <c r="Y15" s="3215" t="s">
        <v>2555</v>
      </c>
      <c r="Z15" s="1803" t="str">
        <f t="shared" si="7"/>
        <v>办公集聚程度</v>
      </c>
      <c r="AA15" s="1800">
        <f t="shared" si="3"/>
        <v>1</v>
      </c>
      <c r="AB15" s="1800">
        <f t="shared" si="4"/>
        <v>1</v>
      </c>
      <c r="AC15" s="2659">
        <f t="shared" si="5"/>
        <v>1</v>
      </c>
    </row>
    <row r="16" spans="1:29" ht="15">
      <c r="A16" s="427"/>
      <c r="B16" s="629"/>
      <c r="C16" s="2598"/>
      <c r="D16" s="447"/>
      <c r="E16" s="446"/>
      <c r="F16" s="447"/>
      <c r="G16" s="2598"/>
      <c r="H16" s="449"/>
      <c r="I16" s="446"/>
      <c r="J16" s="447"/>
      <c r="K16" s="614"/>
      <c r="L16" s="1139"/>
      <c r="M16" s="1130"/>
      <c r="N16" s="1130"/>
      <c r="O16" s="1130"/>
      <c r="P16" s="3214"/>
      <c r="Q16" s="1799"/>
      <c r="R16" s="773"/>
      <c r="S16" s="774"/>
      <c r="T16" s="773"/>
      <c r="U16" s="774"/>
      <c r="V16" s="773"/>
      <c r="W16" s="774"/>
      <c r="X16" s="1802"/>
      <c r="Y16" s="3216"/>
      <c r="Z16" s="1803"/>
      <c r="AA16" s="1800">
        <v>1</v>
      </c>
      <c r="AB16" s="1800">
        <v>1</v>
      </c>
      <c r="AC16" s="2659">
        <v>1</v>
      </c>
    </row>
    <row r="17" spans="1:29" ht="71.25">
      <c r="A17" s="427"/>
      <c r="B17" s="630" t="s">
        <v>2093</v>
      </c>
      <c r="C17" s="2660"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14"/>
      <c r="Q17" s="1799" t="str">
        <f>B17</f>
        <v>交通便捷度</v>
      </c>
      <c r="R17" s="773" t="s">
        <v>17</v>
      </c>
      <c r="S17" s="774">
        <f>F17</f>
        <v>100</v>
      </c>
      <c r="T17" s="773" t="s">
        <v>17</v>
      </c>
      <c r="U17" s="774">
        <f>H17</f>
        <v>100</v>
      </c>
      <c r="V17" s="773" t="s">
        <v>17</v>
      </c>
      <c r="W17" s="774">
        <f>J17</f>
        <v>100</v>
      </c>
      <c r="X17" s="1802"/>
      <c r="Y17" s="3216"/>
      <c r="Z17" s="1803" t="str">
        <f>Q17</f>
        <v>交通便捷度</v>
      </c>
      <c r="AA17" s="1800">
        <f t="shared" si="3"/>
        <v>1</v>
      </c>
      <c r="AB17" s="1800">
        <f t="shared" si="4"/>
        <v>1</v>
      </c>
      <c r="AC17" s="2659">
        <f t="shared" si="5"/>
        <v>1</v>
      </c>
    </row>
    <row r="18" spans="1:29" ht="15">
      <c r="A18" s="427"/>
      <c r="B18" s="631"/>
      <c r="C18" s="2661"/>
      <c r="D18" s="449"/>
      <c r="E18" s="2596"/>
      <c r="F18" s="449"/>
      <c r="G18" s="2597"/>
      <c r="H18" s="447"/>
      <c r="I18" s="2597"/>
      <c r="J18" s="447"/>
      <c r="K18" s="614"/>
      <c r="L18" s="1139"/>
      <c r="M18" s="1130"/>
      <c r="N18" s="1130"/>
      <c r="O18" s="1130"/>
      <c r="P18" s="3214"/>
      <c r="Q18" s="1799"/>
      <c r="R18" s="773"/>
      <c r="S18" s="774"/>
      <c r="T18" s="773"/>
      <c r="U18" s="774"/>
      <c r="V18" s="773"/>
      <c r="W18" s="774"/>
      <c r="X18" s="1802"/>
      <c r="Y18" s="3216"/>
      <c r="Z18" s="1803"/>
      <c r="AA18" s="1800">
        <v>1</v>
      </c>
      <c r="AB18" s="1800">
        <v>1</v>
      </c>
      <c r="AC18" s="2659">
        <v>1</v>
      </c>
    </row>
    <row r="19" spans="1:29" ht="42.75">
      <c r="A19" s="427"/>
      <c r="B19" s="630" t="s">
        <v>2683</v>
      </c>
      <c r="C19" s="2660"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14"/>
      <c r="Q19" s="1799" t="str">
        <f>B19</f>
        <v>公共配套设施</v>
      </c>
      <c r="R19" s="773" t="s">
        <v>17</v>
      </c>
      <c r="S19" s="774">
        <f>F19</f>
        <v>100</v>
      </c>
      <c r="T19" s="773" t="s">
        <v>17</v>
      </c>
      <c r="U19" s="774">
        <f>H19</f>
        <v>100</v>
      </c>
      <c r="V19" s="773" t="s">
        <v>17</v>
      </c>
      <c r="W19" s="774">
        <f>J19</f>
        <v>100</v>
      </c>
      <c r="X19" s="1802"/>
      <c r="Y19" s="3216"/>
      <c r="Z19" s="1803" t="str">
        <f>Q19</f>
        <v>公共配套设施</v>
      </c>
      <c r="AA19" s="1800">
        <f t="shared" si="3"/>
        <v>1</v>
      </c>
      <c r="AB19" s="1800">
        <f t="shared" si="4"/>
        <v>1</v>
      </c>
      <c r="AC19" s="2659">
        <f t="shared" si="5"/>
        <v>1</v>
      </c>
    </row>
    <row r="20" spans="1:29" ht="15">
      <c r="A20" s="427"/>
      <c r="B20" s="631"/>
      <c r="C20" s="2598"/>
      <c r="D20" s="447"/>
      <c r="E20" s="2591"/>
      <c r="F20" s="447"/>
      <c r="G20" s="2592"/>
      <c r="H20" s="447"/>
      <c r="I20" s="2592"/>
      <c r="J20" s="447"/>
      <c r="K20" s="614"/>
      <c r="L20" s="1139"/>
      <c r="M20" s="1130"/>
      <c r="N20" s="1130"/>
      <c r="O20" s="1130"/>
      <c r="P20" s="3214"/>
      <c r="Q20" s="1799"/>
      <c r="R20" s="773"/>
      <c r="S20" s="774"/>
      <c r="T20" s="773"/>
      <c r="U20" s="774"/>
      <c r="V20" s="773"/>
      <c r="W20" s="774"/>
      <c r="X20" s="1802"/>
      <c r="Y20" s="3216"/>
      <c r="Z20" s="1803"/>
      <c r="AA20" s="1800">
        <v>1</v>
      </c>
      <c r="AB20" s="1800">
        <v>1</v>
      </c>
      <c r="AC20" s="2659">
        <v>1</v>
      </c>
    </row>
    <row r="21" spans="1:29" ht="28.5">
      <c r="A21" s="427"/>
      <c r="B21" s="632" t="s">
        <v>2684</v>
      </c>
      <c r="C21" s="2660"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14"/>
      <c r="Q21" s="1799" t="str">
        <f>B21</f>
        <v>基础设施水平</v>
      </c>
      <c r="R21" s="773" t="s">
        <v>17</v>
      </c>
      <c r="S21" s="774">
        <f>F21</f>
        <v>100</v>
      </c>
      <c r="T21" s="773" t="s">
        <v>17</v>
      </c>
      <c r="U21" s="774">
        <f>H21</f>
        <v>100</v>
      </c>
      <c r="V21" s="773" t="s">
        <v>17</v>
      </c>
      <c r="W21" s="774">
        <f>J21</f>
        <v>100</v>
      </c>
      <c r="X21" s="1802"/>
      <c r="Y21" s="3216"/>
      <c r="Z21" s="1803" t="str">
        <f>Q21</f>
        <v>基础设施水平</v>
      </c>
      <c r="AA21" s="1800">
        <f t="shared" ref="AA21" si="8">D21/F21</f>
        <v>1</v>
      </c>
      <c r="AB21" s="1800">
        <f t="shared" ref="AB21" si="9">D21/H21</f>
        <v>1</v>
      </c>
      <c r="AC21" s="2659">
        <f t="shared" ref="AC21" si="10">D21/J21</f>
        <v>1</v>
      </c>
    </row>
    <row r="22" spans="1:29" ht="15">
      <c r="A22" s="427"/>
      <c r="B22" s="632"/>
      <c r="C22" s="2661"/>
      <c r="D22" s="447"/>
      <c r="E22" s="446"/>
      <c r="F22" s="447"/>
      <c r="G22" s="2598"/>
      <c r="H22" s="447"/>
      <c r="I22" s="2598"/>
      <c r="J22" s="447"/>
      <c r="K22" s="1380"/>
      <c r="L22" s="1139"/>
      <c r="M22" s="1130"/>
      <c r="N22" s="1130"/>
      <c r="O22" s="1130"/>
      <c r="P22" s="3214"/>
      <c r="Q22" s="1799"/>
      <c r="R22" s="773"/>
      <c r="S22" s="774"/>
      <c r="T22" s="773"/>
      <c r="U22" s="774"/>
      <c r="V22" s="773"/>
      <c r="W22" s="774"/>
      <c r="X22" s="1802"/>
      <c r="Y22" s="3216"/>
      <c r="Z22" s="1803"/>
      <c r="AA22" s="1800">
        <v>1</v>
      </c>
      <c r="AB22" s="1800">
        <v>1</v>
      </c>
      <c r="AC22" s="2659">
        <v>1</v>
      </c>
    </row>
    <row r="23" spans="1:29" ht="42.75">
      <c r="A23" s="427"/>
      <c r="B23" s="630" t="s">
        <v>2685</v>
      </c>
      <c r="C23" s="2660"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14"/>
      <c r="Q23" s="1799" t="str">
        <f>B23</f>
        <v>环境质量</v>
      </c>
      <c r="R23" s="773" t="s">
        <v>17</v>
      </c>
      <c r="S23" s="774">
        <f>F23</f>
        <v>100</v>
      </c>
      <c r="T23" s="773" t="s">
        <v>17</v>
      </c>
      <c r="U23" s="774">
        <f>H23</f>
        <v>100</v>
      </c>
      <c r="V23" s="773" t="s">
        <v>17</v>
      </c>
      <c r="W23" s="774">
        <f>J23</f>
        <v>100</v>
      </c>
      <c r="X23" s="1802"/>
      <c r="Y23" s="3216"/>
      <c r="Z23" s="1803" t="str">
        <f>Q23</f>
        <v>环境质量</v>
      </c>
      <c r="AA23" s="1800">
        <f t="shared" si="3"/>
        <v>1</v>
      </c>
      <c r="AB23" s="1800">
        <f t="shared" si="4"/>
        <v>1</v>
      </c>
      <c r="AC23" s="2659">
        <f t="shared" si="5"/>
        <v>1</v>
      </c>
    </row>
    <row r="24" spans="1:29" ht="15">
      <c r="A24" s="427"/>
      <c r="B24" s="632"/>
      <c r="C24" s="2598"/>
      <c r="D24" s="447"/>
      <c r="E24" s="2591"/>
      <c r="F24" s="447"/>
      <c r="G24" s="2592"/>
      <c r="H24" s="447"/>
      <c r="I24" s="2592"/>
      <c r="J24" s="447"/>
      <c r="K24" s="614"/>
      <c r="L24" s="1139"/>
      <c r="M24" s="1130"/>
      <c r="N24" s="1130"/>
      <c r="O24" s="1130"/>
      <c r="P24" s="3214"/>
      <c r="Q24" s="1799"/>
      <c r="R24" s="773"/>
      <c r="S24" s="774"/>
      <c r="T24" s="773"/>
      <c r="U24" s="774"/>
      <c r="V24" s="773"/>
      <c r="W24" s="774"/>
      <c r="X24" s="1802"/>
      <c r="Y24" s="3216"/>
      <c r="Z24" s="1803"/>
      <c r="AA24" s="1800">
        <v>1</v>
      </c>
      <c r="AB24" s="1800">
        <v>1</v>
      </c>
      <c r="AC24" s="2659">
        <v>1</v>
      </c>
    </row>
    <row r="25" spans="1:29" ht="27">
      <c r="A25" s="403"/>
      <c r="B25" s="630" t="s">
        <v>2686</v>
      </c>
      <c r="C25" s="2602"/>
      <c r="D25" s="434">
        <v>100</v>
      </c>
      <c r="E25" s="433"/>
      <c r="F25" s="434">
        <f>SUMIF(87:87,E26,88:88)-SUMIF(87:87,C26,88:88)+100</f>
        <v>100</v>
      </c>
      <c r="G25" s="2602"/>
      <c r="H25" s="434">
        <f>SUMIF(87:87,G26,88:88)-SUMIF(87:87,C26,88:88)+100</f>
        <v>100</v>
      </c>
      <c r="I25" s="433"/>
      <c r="J25" s="434">
        <f>SUMIF(87:87,I26,88:88)-SUMIF(87:87,C26,88:88)+100</f>
        <v>100</v>
      </c>
      <c r="K25" s="613"/>
      <c r="L25" s="1139"/>
      <c r="M25" s="1130"/>
      <c r="N25" s="1130"/>
      <c r="O25" s="1130"/>
      <c r="P25" s="3214"/>
      <c r="Q25" s="1799" t="str">
        <f>B25</f>
        <v>毗邻道路的类型与等级</v>
      </c>
      <c r="R25" s="773" t="s">
        <v>17</v>
      </c>
      <c r="S25" s="774">
        <f>F25</f>
        <v>100</v>
      </c>
      <c r="T25" s="773" t="s">
        <v>17</v>
      </c>
      <c r="U25" s="774">
        <f>H25</f>
        <v>100</v>
      </c>
      <c r="V25" s="773" t="s">
        <v>17</v>
      </c>
      <c r="W25" s="774">
        <f>J25</f>
        <v>100</v>
      </c>
      <c r="X25" s="1802"/>
      <c r="Y25" s="3216"/>
      <c r="Z25" s="1803" t="str">
        <f>Q25</f>
        <v>毗邻道路的类型与等级</v>
      </c>
      <c r="AA25" s="1800">
        <f t="shared" si="3"/>
        <v>1</v>
      </c>
      <c r="AB25" s="1800">
        <f t="shared" si="4"/>
        <v>1</v>
      </c>
      <c r="AC25" s="2659">
        <f t="shared" si="5"/>
        <v>1</v>
      </c>
    </row>
    <row r="26" spans="1:29" ht="15">
      <c r="A26" s="403"/>
      <c r="B26" s="631"/>
      <c r="C26" s="633"/>
      <c r="D26" s="434"/>
      <c r="E26" s="615"/>
      <c r="F26" s="434"/>
      <c r="G26" s="633"/>
      <c r="H26" s="434"/>
      <c r="I26" s="615"/>
      <c r="J26" s="434"/>
      <c r="K26" s="614"/>
      <c r="L26" s="1139"/>
      <c r="M26" s="1130"/>
      <c r="N26" s="1130"/>
      <c r="O26" s="1130"/>
      <c r="P26" s="3214"/>
      <c r="Q26" s="1799"/>
      <c r="R26" s="773"/>
      <c r="S26" s="774"/>
      <c r="T26" s="773"/>
      <c r="U26" s="774"/>
      <c r="V26" s="773"/>
      <c r="W26" s="774"/>
      <c r="X26" s="1802"/>
      <c r="Y26" s="3216"/>
      <c r="Z26" s="1803"/>
      <c r="AA26" s="1800">
        <v>1</v>
      </c>
      <c r="AB26" s="1800">
        <v>1</v>
      </c>
      <c r="AC26" s="2659">
        <v>1</v>
      </c>
    </row>
    <row r="27" spans="1:29" ht="15">
      <c r="A27" s="427"/>
      <c r="B27" s="631" t="s">
        <v>2654</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14"/>
      <c r="Q27" s="1799" t="str">
        <f t="shared" ref="Q27:Q47" si="11">B27</f>
        <v>楼层</v>
      </c>
      <c r="R27" s="773" t="s">
        <v>17</v>
      </c>
      <c r="S27" s="774">
        <f>F27</f>
        <v>100</v>
      </c>
      <c r="T27" s="773" t="s">
        <v>17</v>
      </c>
      <c r="U27" s="774">
        <f>H27</f>
        <v>100</v>
      </c>
      <c r="V27" s="773" t="s">
        <v>17</v>
      </c>
      <c r="W27" s="774">
        <f>J27</f>
        <v>100</v>
      </c>
      <c r="X27" s="1802"/>
      <c r="Y27" s="3216"/>
      <c r="Z27" s="1803" t="str">
        <f>Q27</f>
        <v>楼层</v>
      </c>
      <c r="AA27" s="1800">
        <f t="shared" si="3"/>
        <v>1</v>
      </c>
      <c r="AB27" s="1800">
        <f t="shared" si="4"/>
        <v>1</v>
      </c>
      <c r="AC27" s="2659">
        <f t="shared" si="5"/>
        <v>1</v>
      </c>
    </row>
    <row r="28" spans="1:29" s="117" customFormat="1" ht="15">
      <c r="A28" s="430"/>
      <c r="B28" s="630" t="s">
        <v>2687</v>
      </c>
      <c r="C28" s="2662"/>
      <c r="D28" s="461">
        <v>100</v>
      </c>
      <c r="E28" s="2650"/>
      <c r="F28" s="461">
        <f>SUMIF(91:91,E28,92:92)-SUMIF(91:91,C28,92:92)+100</f>
        <v>100</v>
      </c>
      <c r="G28" s="2662"/>
      <c r="H28" s="461">
        <f>SUMIF(91:91,G28,92:92)-SUMIF(91:91,C28,92:92)+100</f>
        <v>100</v>
      </c>
      <c r="I28" s="2650"/>
      <c r="J28" s="461">
        <f>SUMIF(91:91,I28,92:92)-SUMIF(91:91,C28,92:92)+100</f>
        <v>100</v>
      </c>
      <c r="K28" s="611"/>
      <c r="L28" s="1131"/>
      <c r="M28" s="1132"/>
      <c r="N28" s="1132"/>
      <c r="O28" s="1132"/>
      <c r="P28" s="3214"/>
      <c r="Q28" s="1784" t="str">
        <f t="shared" si="11"/>
        <v>朝向</v>
      </c>
      <c r="R28" s="769" t="s">
        <v>17</v>
      </c>
      <c r="S28" s="770">
        <f>F28</f>
        <v>100</v>
      </c>
      <c r="T28" s="769" t="s">
        <v>17</v>
      </c>
      <c r="U28" s="770">
        <f>H28</f>
        <v>100</v>
      </c>
      <c r="V28" s="769" t="s">
        <v>17</v>
      </c>
      <c r="W28" s="770">
        <f>J28</f>
        <v>100</v>
      </c>
      <c r="X28" s="771"/>
      <c r="Y28" s="3216"/>
      <c r="Z28" s="55" t="str">
        <f>Q28</f>
        <v>朝向</v>
      </c>
      <c r="AA28" s="1800">
        <f>D28/F28</f>
        <v>1</v>
      </c>
      <c r="AB28" s="1800">
        <f>D28/H28</f>
        <v>1</v>
      </c>
      <c r="AC28" s="2659">
        <f>D28/J28</f>
        <v>1</v>
      </c>
    </row>
    <row r="29" spans="1:29" ht="15">
      <c r="A29" s="427"/>
      <c r="B29" s="2663">
        <v>111</v>
      </c>
      <c r="C29" s="2602"/>
      <c r="D29" s="434">
        <v>100</v>
      </c>
      <c r="E29" s="431"/>
      <c r="F29" s="434">
        <f>SUMIF(93:93,E29,94:94)-SUMIF(93:93,C29,94:94)+100</f>
        <v>100</v>
      </c>
      <c r="G29" s="2657"/>
      <c r="H29" s="434">
        <f>SUMIF(93:93,G29,94:94)-SUMIF(93:93,C29,94:94)+100</f>
        <v>100</v>
      </c>
      <c r="I29" s="431"/>
      <c r="J29" s="434">
        <f>SUMIF(93:93,I29,94:94)-SUMIF(93:93,C29,94:94)+100</f>
        <v>100</v>
      </c>
      <c r="K29" s="612"/>
      <c r="L29" s="1139"/>
      <c r="M29" s="1130"/>
      <c r="N29" s="1130"/>
      <c r="O29" s="1130"/>
      <c r="P29" s="3214"/>
      <c r="Q29" s="1799">
        <f t="shared" si="11"/>
        <v>111</v>
      </c>
      <c r="R29" s="773" t="s">
        <v>17</v>
      </c>
      <c r="S29" s="774">
        <f t="shared" ref="S29:S47" si="12">F29</f>
        <v>100</v>
      </c>
      <c r="T29" s="773" t="s">
        <v>17</v>
      </c>
      <c r="U29" s="774">
        <f t="shared" ref="U29:U47" si="13">H29</f>
        <v>100</v>
      </c>
      <c r="V29" s="773" t="s">
        <v>17</v>
      </c>
      <c r="W29" s="774">
        <f t="shared" ref="W29:W47" si="14">J29</f>
        <v>100</v>
      </c>
      <c r="X29" s="1802"/>
      <c r="Y29" s="3216"/>
      <c r="Z29" s="1803">
        <f t="shared" ref="Z29:Z47" si="15">Q29</f>
        <v>111</v>
      </c>
      <c r="AA29" s="1800">
        <f t="shared" si="3"/>
        <v>1</v>
      </c>
      <c r="AB29" s="1800">
        <f t="shared" si="4"/>
        <v>1</v>
      </c>
      <c r="AC29" s="2659">
        <f t="shared" si="5"/>
        <v>1</v>
      </c>
    </row>
    <row r="30" spans="1:29" ht="15">
      <c r="A30" s="427"/>
      <c r="B30" s="2663">
        <v>111</v>
      </c>
      <c r="C30" s="2602"/>
      <c r="D30" s="434">
        <v>100</v>
      </c>
      <c r="E30" s="431"/>
      <c r="F30" s="434">
        <f>SUMIF(95:95,E30,96:96)-SUMIF(95:95,C30,96:96)+100</f>
        <v>100</v>
      </c>
      <c r="G30" s="2657"/>
      <c r="H30" s="434">
        <f>SUMIF(95:95,G30,96:96)-SUMIF(95:95,C30,96:96)+100</f>
        <v>100</v>
      </c>
      <c r="I30" s="431"/>
      <c r="J30" s="434">
        <f>SUMIF(95:95,I30,96:96)-SUMIF(95:95,C30,96:96)+100</f>
        <v>100</v>
      </c>
      <c r="K30" s="612"/>
      <c r="L30" s="1139"/>
      <c r="M30" s="1130"/>
      <c r="N30" s="1130"/>
      <c r="O30" s="1130"/>
      <c r="P30" s="3214"/>
      <c r="Q30" s="1799">
        <f t="shared" si="11"/>
        <v>111</v>
      </c>
      <c r="R30" s="773" t="s">
        <v>17</v>
      </c>
      <c r="S30" s="774">
        <f t="shared" si="12"/>
        <v>100</v>
      </c>
      <c r="T30" s="773" t="s">
        <v>17</v>
      </c>
      <c r="U30" s="774">
        <f t="shared" si="13"/>
        <v>100</v>
      </c>
      <c r="V30" s="773" t="s">
        <v>17</v>
      </c>
      <c r="W30" s="774">
        <f t="shared" si="14"/>
        <v>100</v>
      </c>
      <c r="X30" s="1802"/>
      <c r="Y30" s="3216"/>
      <c r="Z30" s="1803">
        <f t="shared" si="15"/>
        <v>111</v>
      </c>
      <c r="AA30" s="1800">
        <f t="shared" si="3"/>
        <v>1</v>
      </c>
      <c r="AB30" s="1800">
        <f t="shared" si="4"/>
        <v>1</v>
      </c>
      <c r="AC30" s="2659">
        <f t="shared" si="5"/>
        <v>1</v>
      </c>
    </row>
    <row r="31" spans="1:29" ht="15">
      <c r="A31" s="427"/>
      <c r="B31" s="2663">
        <v>111</v>
      </c>
      <c r="C31" s="2602"/>
      <c r="D31" s="434">
        <v>100</v>
      </c>
      <c r="E31" s="431"/>
      <c r="F31" s="434">
        <f>SUMIF(97:97,E31,98:98)-SUMIF(97:97,C31,98:98)+100</f>
        <v>100</v>
      </c>
      <c r="G31" s="2657"/>
      <c r="H31" s="434">
        <f>SUMIF(97:97,G31,98:98)-SUMIF(97:97,C31,98:98)+100</f>
        <v>100</v>
      </c>
      <c r="I31" s="431"/>
      <c r="J31" s="434">
        <f>SUMIF(97:97,I31,98:98)-SUMIF(97:97,C31,98:98)+100</f>
        <v>100</v>
      </c>
      <c r="K31" s="612"/>
      <c r="L31" s="1139"/>
      <c r="M31" s="1130"/>
      <c r="N31" s="1130"/>
      <c r="O31" s="1130"/>
      <c r="P31" s="3214"/>
      <c r="Q31" s="1799">
        <f t="shared" si="11"/>
        <v>111</v>
      </c>
      <c r="R31" s="773" t="s">
        <v>17</v>
      </c>
      <c r="S31" s="774">
        <f t="shared" si="12"/>
        <v>100</v>
      </c>
      <c r="T31" s="773" t="s">
        <v>17</v>
      </c>
      <c r="U31" s="774">
        <f t="shared" si="13"/>
        <v>100</v>
      </c>
      <c r="V31" s="773" t="s">
        <v>17</v>
      </c>
      <c r="W31" s="774">
        <f t="shared" si="14"/>
        <v>100</v>
      </c>
      <c r="X31" s="1802"/>
      <c r="Y31" s="3216"/>
      <c r="Z31" s="1803">
        <f t="shared" si="15"/>
        <v>111</v>
      </c>
      <c r="AA31" s="1800">
        <f t="shared" si="3"/>
        <v>1</v>
      </c>
      <c r="AB31" s="1800">
        <f t="shared" si="4"/>
        <v>1</v>
      </c>
      <c r="AC31" s="2659">
        <f t="shared" si="5"/>
        <v>1</v>
      </c>
    </row>
    <row r="32" spans="1:29" ht="15.75" thickBot="1">
      <c r="A32" s="435"/>
      <c r="B32" s="634">
        <v>111</v>
      </c>
      <c r="C32" s="2603"/>
      <c r="D32" s="437">
        <v>100</v>
      </c>
      <c r="E32" s="627"/>
      <c r="F32" s="437">
        <f>SUMIF(99:99,E32,100:100)-SUMIF(99:99,C32,100:100)+100</f>
        <v>100</v>
      </c>
      <c r="G32" s="2657"/>
      <c r="H32" s="437">
        <f>SUMIF(99:99,G32,100:100)-SUMIF(99:99,C32,100:100)+100</f>
        <v>100</v>
      </c>
      <c r="I32" s="431"/>
      <c r="J32" s="437">
        <f>SUMIF(99:99,I32,100:100)-SUMIF(99:99,C32,100:100)+100</f>
        <v>100</v>
      </c>
      <c r="K32" s="612"/>
      <c r="L32" s="1139"/>
      <c r="M32" s="1130"/>
      <c r="N32" s="1130"/>
      <c r="O32" s="1130"/>
      <c r="P32" s="3214"/>
      <c r="Q32" s="1799">
        <f t="shared" si="11"/>
        <v>111</v>
      </c>
      <c r="R32" s="773" t="s">
        <v>17</v>
      </c>
      <c r="S32" s="774">
        <f t="shared" si="12"/>
        <v>100</v>
      </c>
      <c r="T32" s="773" t="s">
        <v>17</v>
      </c>
      <c r="U32" s="774">
        <f t="shared" si="13"/>
        <v>100</v>
      </c>
      <c r="V32" s="773" t="s">
        <v>17</v>
      </c>
      <c r="W32" s="774">
        <f t="shared" si="14"/>
        <v>100</v>
      </c>
      <c r="X32" s="1802"/>
      <c r="Y32" s="3216"/>
      <c r="Z32" s="1803">
        <f t="shared" si="15"/>
        <v>111</v>
      </c>
      <c r="AA32" s="1800">
        <f t="shared" si="3"/>
        <v>1</v>
      </c>
      <c r="AB32" s="1800">
        <f t="shared" si="4"/>
        <v>1</v>
      </c>
      <c r="AC32" s="2659">
        <f t="shared" si="5"/>
        <v>1</v>
      </c>
    </row>
    <row r="33" spans="1:29" ht="15">
      <c r="A33" s="439" t="s">
        <v>2558</v>
      </c>
      <c r="B33" s="71" t="s">
        <v>2688</v>
      </c>
      <c r="C33" s="2664"/>
      <c r="D33" s="466">
        <v>100</v>
      </c>
      <c r="E33" s="2664"/>
      <c r="F33" s="460">
        <f>SUMIF(101:101,E33,102:102)-SUMIF(101:101,C33,102:102)+100</f>
        <v>100</v>
      </c>
      <c r="G33" s="2664"/>
      <c r="H33" s="434">
        <f>SUMIF(101:101,G33,102:102)-SUMIF(101:101,C33,102:102)+100</f>
        <v>100</v>
      </c>
      <c r="I33" s="2664"/>
      <c r="J33" s="466">
        <f>SUMIF(101:101,I33,102:102)-SUMIF(101:101,C33,102:102)+100</f>
        <v>100</v>
      </c>
      <c r="K33" s="611"/>
      <c r="L33" s="1139"/>
      <c r="M33" s="1130"/>
      <c r="N33" s="1130"/>
      <c r="O33" s="1130"/>
      <c r="P33" s="3217" t="s">
        <v>2560</v>
      </c>
      <c r="Q33" s="1799" t="str">
        <f t="shared" si="11"/>
        <v>建筑类型</v>
      </c>
      <c r="R33" s="773" t="s">
        <v>17</v>
      </c>
      <c r="S33" s="774">
        <f t="shared" si="12"/>
        <v>100</v>
      </c>
      <c r="T33" s="773" t="s">
        <v>17</v>
      </c>
      <c r="U33" s="774">
        <f t="shared" si="13"/>
        <v>100</v>
      </c>
      <c r="V33" s="773" t="s">
        <v>17</v>
      </c>
      <c r="W33" s="774">
        <f t="shared" si="14"/>
        <v>100</v>
      </c>
      <c r="X33" s="1802"/>
      <c r="Y33" s="3220" t="s">
        <v>2560</v>
      </c>
      <c r="Z33" s="1803" t="str">
        <f t="shared" si="15"/>
        <v>建筑类型</v>
      </c>
      <c r="AA33" s="1800">
        <f t="shared" si="3"/>
        <v>1</v>
      </c>
      <c r="AB33" s="1800">
        <f t="shared" si="4"/>
        <v>1</v>
      </c>
      <c r="AC33" s="2659">
        <f t="shared" si="5"/>
        <v>1</v>
      </c>
    </row>
    <row r="34" spans="1:29" s="470" customFormat="1" ht="15">
      <c r="A34" s="467"/>
      <c r="B34" s="421" t="s">
        <v>2561</v>
      </c>
      <c r="C34" s="468"/>
      <c r="D34" s="136">
        <v>100</v>
      </c>
      <c r="E34" s="429"/>
      <c r="F34" s="424" t="e">
        <f>LOOKUP(E34,104:104,105:105)-LOOKUP(C34,104:104,105:105)+100</f>
        <v>#N/A</v>
      </c>
      <c r="G34" s="428"/>
      <c r="H34" s="136" t="e">
        <f>LOOKUP(G34,104:104,105:105)-LOOKUP(C34,104:104,105:105)+100</f>
        <v>#N/A</v>
      </c>
      <c r="I34" s="428"/>
      <c r="J34" s="136" t="e">
        <f>LOOKUP(I34,104:104,105:105)-LOOKUP(C34,104:104,105:105)+100</f>
        <v>#N/A</v>
      </c>
      <c r="K34" s="612"/>
      <c r="L34" s="1137"/>
      <c r="M34" s="1140"/>
      <c r="N34" s="1140"/>
      <c r="O34" s="1140"/>
      <c r="P34" s="3218"/>
      <c r="Q34" s="775" t="str">
        <f t="shared" si="11"/>
        <v>项目建筑规模</v>
      </c>
      <c r="R34" s="776" t="s">
        <v>17</v>
      </c>
      <c r="S34" s="777" t="e">
        <f t="shared" si="12"/>
        <v>#N/A</v>
      </c>
      <c r="T34" s="776" t="s">
        <v>17</v>
      </c>
      <c r="U34" s="777" t="e">
        <f t="shared" si="13"/>
        <v>#N/A</v>
      </c>
      <c r="V34" s="776" t="s">
        <v>17</v>
      </c>
      <c r="W34" s="777" t="e">
        <f t="shared" si="14"/>
        <v>#N/A</v>
      </c>
      <c r="X34" s="778"/>
      <c r="Y34" s="3220"/>
      <c r="Z34" s="779" t="str">
        <f t="shared" si="15"/>
        <v>项目建筑规模</v>
      </c>
      <c r="AA34" s="1800" t="e">
        <f t="shared" si="3"/>
        <v>#N/A</v>
      </c>
      <c r="AB34" s="1800" t="e">
        <f t="shared" si="4"/>
        <v>#N/A</v>
      </c>
      <c r="AC34" s="2659" t="e">
        <f t="shared" si="5"/>
        <v>#N/A</v>
      </c>
    </row>
    <row r="35" spans="1:29" ht="15">
      <c r="A35" s="471"/>
      <c r="B35" s="421" t="s">
        <v>2562</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18"/>
      <c r="Q35" s="1799" t="str">
        <f t="shared" si="11"/>
        <v>建筑结构</v>
      </c>
      <c r="R35" s="773" t="s">
        <v>17</v>
      </c>
      <c r="S35" s="774">
        <f t="shared" si="12"/>
        <v>100</v>
      </c>
      <c r="T35" s="773" t="s">
        <v>17</v>
      </c>
      <c r="U35" s="774">
        <f t="shared" si="13"/>
        <v>100</v>
      </c>
      <c r="V35" s="773" t="s">
        <v>17</v>
      </c>
      <c r="W35" s="774">
        <f t="shared" si="14"/>
        <v>100</v>
      </c>
      <c r="X35" s="1802"/>
      <c r="Y35" s="3220"/>
      <c r="Z35" s="1803" t="str">
        <f t="shared" si="15"/>
        <v>建筑结构</v>
      </c>
      <c r="AA35" s="1800">
        <f t="shared" si="3"/>
        <v>1</v>
      </c>
      <c r="AB35" s="1800">
        <f t="shared" si="4"/>
        <v>1</v>
      </c>
      <c r="AC35" s="2659">
        <f t="shared" si="5"/>
        <v>1</v>
      </c>
    </row>
    <row r="36" spans="1:29" ht="15">
      <c r="A36" s="471"/>
      <c r="B36" s="421" t="s">
        <v>2656</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18"/>
      <c r="Q36" s="1799" t="str">
        <f t="shared" si="11"/>
        <v>公共部分装修</v>
      </c>
      <c r="R36" s="773" t="s">
        <v>17</v>
      </c>
      <c r="S36" s="774">
        <f t="shared" si="12"/>
        <v>100</v>
      </c>
      <c r="T36" s="773" t="s">
        <v>17</v>
      </c>
      <c r="U36" s="774">
        <f t="shared" si="13"/>
        <v>100</v>
      </c>
      <c r="V36" s="773" t="s">
        <v>17</v>
      </c>
      <c r="W36" s="774">
        <f t="shared" si="14"/>
        <v>100</v>
      </c>
      <c r="X36" s="1802"/>
      <c r="Y36" s="3220"/>
      <c r="Z36" s="1803" t="str">
        <f t="shared" si="15"/>
        <v>公共部分装修</v>
      </c>
      <c r="AA36" s="1800">
        <f t="shared" si="3"/>
        <v>1</v>
      </c>
      <c r="AB36" s="1800">
        <f t="shared" si="4"/>
        <v>1</v>
      </c>
      <c r="AC36" s="2659">
        <f t="shared" si="5"/>
        <v>1</v>
      </c>
    </row>
    <row r="37" spans="1:29" ht="15">
      <c r="A37" s="471"/>
      <c r="B37" s="421" t="s">
        <v>2657</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18"/>
      <c r="Q37" s="1799" t="str">
        <f t="shared" si="11"/>
        <v>成新度</v>
      </c>
      <c r="R37" s="773" t="s">
        <v>17</v>
      </c>
      <c r="S37" s="774" t="e">
        <f t="shared" si="12"/>
        <v>#N/A</v>
      </c>
      <c r="T37" s="773" t="s">
        <v>17</v>
      </c>
      <c r="U37" s="774" t="e">
        <f t="shared" si="13"/>
        <v>#N/A</v>
      </c>
      <c r="V37" s="773" t="s">
        <v>17</v>
      </c>
      <c r="W37" s="774" t="e">
        <f t="shared" si="14"/>
        <v>#N/A</v>
      </c>
      <c r="X37" s="1802"/>
      <c r="Y37" s="3220"/>
      <c r="Z37" s="1803" t="str">
        <f t="shared" si="15"/>
        <v>成新度</v>
      </c>
      <c r="AA37" s="1800" t="e">
        <f t="shared" si="3"/>
        <v>#N/A</v>
      </c>
      <c r="AB37" s="1800" t="e">
        <f t="shared" si="4"/>
        <v>#N/A</v>
      </c>
      <c r="AC37" s="2659" t="e">
        <f t="shared" si="5"/>
        <v>#N/A</v>
      </c>
    </row>
    <row r="38" spans="1:29" s="117" customFormat="1" ht="15">
      <c r="A38" s="472"/>
      <c r="B38" s="421" t="s">
        <v>2689</v>
      </c>
      <c r="C38" s="459"/>
      <c r="D38" s="136">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18"/>
      <c r="Q38" s="1784" t="str">
        <f t="shared" si="11"/>
        <v>写字楼等级</v>
      </c>
      <c r="R38" s="769" t="s">
        <v>17</v>
      </c>
      <c r="S38" s="770">
        <f t="shared" si="12"/>
        <v>100</v>
      </c>
      <c r="T38" s="769" t="s">
        <v>17</v>
      </c>
      <c r="U38" s="770">
        <f t="shared" si="13"/>
        <v>100</v>
      </c>
      <c r="V38" s="769" t="s">
        <v>17</v>
      </c>
      <c r="W38" s="770">
        <f t="shared" si="14"/>
        <v>100</v>
      </c>
      <c r="X38" s="771"/>
      <c r="Y38" s="3220"/>
      <c r="Z38" s="55" t="str">
        <f t="shared" si="15"/>
        <v>写字楼等级</v>
      </c>
      <c r="AA38" s="772">
        <f t="shared" si="3"/>
        <v>1</v>
      </c>
      <c r="AB38" s="772">
        <f t="shared" si="4"/>
        <v>1</v>
      </c>
      <c r="AC38" s="2656">
        <f t="shared" si="5"/>
        <v>1</v>
      </c>
    </row>
    <row r="39" spans="1:29" ht="15">
      <c r="A39" s="471"/>
      <c r="B39" s="421" t="s">
        <v>2690</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18" t="s">
        <v>2560</v>
      </c>
      <c r="Q39" s="1799" t="str">
        <f t="shared" si="11"/>
        <v>物业管理</v>
      </c>
      <c r="R39" s="773" t="s">
        <v>17</v>
      </c>
      <c r="S39" s="774">
        <f t="shared" si="12"/>
        <v>100</v>
      </c>
      <c r="T39" s="773" t="s">
        <v>17</v>
      </c>
      <c r="U39" s="774">
        <f t="shared" si="13"/>
        <v>100</v>
      </c>
      <c r="V39" s="773" t="s">
        <v>17</v>
      </c>
      <c r="W39" s="774">
        <f t="shared" si="14"/>
        <v>100</v>
      </c>
      <c r="X39" s="1802"/>
      <c r="Y39" s="3220" t="s">
        <v>2560</v>
      </c>
      <c r="Z39" s="1803" t="str">
        <f t="shared" si="15"/>
        <v>物业管理</v>
      </c>
      <c r="AA39" s="1800">
        <f t="shared" si="3"/>
        <v>1</v>
      </c>
      <c r="AB39" s="1800">
        <f t="shared" si="4"/>
        <v>1</v>
      </c>
      <c r="AC39" s="2659">
        <f t="shared" si="5"/>
        <v>1</v>
      </c>
    </row>
    <row r="40" spans="1:29" ht="15">
      <c r="A40" s="471"/>
      <c r="B40" s="421" t="s">
        <v>2658</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18"/>
      <c r="Q40" s="1799" t="str">
        <f t="shared" si="11"/>
        <v>市政基础设施</v>
      </c>
      <c r="R40" s="773" t="s">
        <v>17</v>
      </c>
      <c r="S40" s="774">
        <f t="shared" si="12"/>
        <v>100</v>
      </c>
      <c r="T40" s="773" t="s">
        <v>17</v>
      </c>
      <c r="U40" s="774">
        <f t="shared" si="13"/>
        <v>100</v>
      </c>
      <c r="V40" s="773" t="s">
        <v>17</v>
      </c>
      <c r="W40" s="774">
        <f t="shared" si="14"/>
        <v>100</v>
      </c>
      <c r="X40" s="1802"/>
      <c r="Y40" s="3220"/>
      <c r="Z40" s="1803" t="str">
        <f t="shared" si="15"/>
        <v>市政基础设施</v>
      </c>
      <c r="AA40" s="1800">
        <f t="shared" si="3"/>
        <v>1</v>
      </c>
      <c r="AB40" s="1800">
        <f t="shared" si="4"/>
        <v>1</v>
      </c>
      <c r="AC40" s="2659">
        <f t="shared" si="5"/>
        <v>1</v>
      </c>
    </row>
    <row r="41" spans="1:29" ht="15">
      <c r="A41" s="471"/>
      <c r="B41" s="421" t="s">
        <v>2660</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18"/>
      <c r="Q41" s="1799" t="str">
        <f t="shared" si="11"/>
        <v>层高</v>
      </c>
      <c r="R41" s="773" t="s">
        <v>17</v>
      </c>
      <c r="S41" s="774">
        <f t="shared" si="12"/>
        <v>100</v>
      </c>
      <c r="T41" s="773" t="s">
        <v>17</v>
      </c>
      <c r="U41" s="774">
        <f t="shared" si="13"/>
        <v>100</v>
      </c>
      <c r="V41" s="773" t="s">
        <v>17</v>
      </c>
      <c r="W41" s="774">
        <f t="shared" si="14"/>
        <v>100</v>
      </c>
      <c r="X41" s="1802"/>
      <c r="Y41" s="3220"/>
      <c r="Z41" s="1803" t="str">
        <f t="shared" si="15"/>
        <v>层高</v>
      </c>
      <c r="AA41" s="1800">
        <f t="shared" si="3"/>
        <v>1</v>
      </c>
      <c r="AB41" s="1800">
        <f t="shared" si="4"/>
        <v>1</v>
      </c>
      <c r="AC41" s="2659">
        <f t="shared" si="5"/>
        <v>1</v>
      </c>
    </row>
    <row r="42" spans="1:29" s="470" customFormat="1" ht="15">
      <c r="A42" s="467"/>
      <c r="B42" s="1801" t="s">
        <v>2691</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18"/>
      <c r="Q42" s="775" t="str">
        <f t="shared" si="11"/>
        <v>单套建筑面积</v>
      </c>
      <c r="R42" s="776" t="s">
        <v>17</v>
      </c>
      <c r="S42" s="777">
        <f t="shared" si="12"/>
        <v>100</v>
      </c>
      <c r="T42" s="776" t="s">
        <v>17</v>
      </c>
      <c r="U42" s="777">
        <f t="shared" si="13"/>
        <v>100</v>
      </c>
      <c r="V42" s="776" t="s">
        <v>17</v>
      </c>
      <c r="W42" s="777">
        <f t="shared" si="14"/>
        <v>100</v>
      </c>
      <c r="X42" s="778"/>
      <c r="Y42" s="3220"/>
      <c r="Z42" s="779" t="str">
        <f t="shared" si="15"/>
        <v>单套建筑面积</v>
      </c>
      <c r="AA42" s="1800">
        <f t="shared" si="3"/>
        <v>1</v>
      </c>
      <c r="AB42" s="1800">
        <f t="shared" si="4"/>
        <v>1</v>
      </c>
      <c r="AC42" s="2659">
        <f t="shared" si="5"/>
        <v>1</v>
      </c>
    </row>
    <row r="43" spans="1:29" ht="15">
      <c r="A43" s="471"/>
      <c r="B43" s="421" t="s">
        <v>2663</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18"/>
      <c r="Q43" s="1799" t="str">
        <f t="shared" si="11"/>
        <v>内部装修</v>
      </c>
      <c r="R43" s="773" t="s">
        <v>17</v>
      </c>
      <c r="S43" s="774">
        <f t="shared" si="12"/>
        <v>100</v>
      </c>
      <c r="T43" s="773" t="s">
        <v>17</v>
      </c>
      <c r="U43" s="774">
        <f t="shared" si="13"/>
        <v>100</v>
      </c>
      <c r="V43" s="773" t="s">
        <v>17</v>
      </c>
      <c r="W43" s="774">
        <f t="shared" si="14"/>
        <v>100</v>
      </c>
      <c r="X43" s="1802"/>
      <c r="Y43" s="3220"/>
      <c r="Z43" s="1803" t="str">
        <f t="shared" si="15"/>
        <v>内部装修</v>
      </c>
      <c r="AA43" s="1800">
        <f t="shared" si="3"/>
        <v>1</v>
      </c>
      <c r="AB43" s="1800">
        <f t="shared" si="4"/>
        <v>1</v>
      </c>
      <c r="AC43" s="2659">
        <f t="shared" si="5"/>
        <v>1</v>
      </c>
    </row>
    <row r="44" spans="1:29" ht="15">
      <c r="A44" s="471"/>
      <c r="B44" s="421" t="s">
        <v>2571</v>
      </c>
      <c r="C44" s="459"/>
      <c r="D44" s="434">
        <v>100</v>
      </c>
      <c r="E44" s="2600"/>
      <c r="F44" s="460">
        <f>SUMIF(125:125,E44,126:126)-SUMIF(125:125,C44,126:126)+100</f>
        <v>100</v>
      </c>
      <c r="G44" s="2600"/>
      <c r="H44" s="434">
        <f>SUMIF(125:125,G44,126:126)-SUMIF(125:125,C44,126:126)+100</f>
        <v>100</v>
      </c>
      <c r="I44" s="2600"/>
      <c r="J44" s="434">
        <f>SUMIF(125:125,I44,126:126)-SUMIF(125:125,C44,126:126)+100</f>
        <v>100</v>
      </c>
      <c r="K44" s="611"/>
      <c r="L44" s="1139"/>
      <c r="M44" s="1130"/>
      <c r="N44" s="1130"/>
      <c r="O44" s="1130"/>
      <c r="P44" s="3218"/>
      <c r="Q44" s="1799" t="str">
        <f t="shared" si="11"/>
        <v>内部装修维护情况</v>
      </c>
      <c r="R44" s="773" t="s">
        <v>17</v>
      </c>
      <c r="S44" s="774">
        <f t="shared" si="12"/>
        <v>100</v>
      </c>
      <c r="T44" s="773" t="s">
        <v>17</v>
      </c>
      <c r="U44" s="774">
        <f t="shared" si="13"/>
        <v>100</v>
      </c>
      <c r="V44" s="773" t="s">
        <v>17</v>
      </c>
      <c r="W44" s="774">
        <f t="shared" si="14"/>
        <v>100</v>
      </c>
      <c r="X44" s="1802"/>
      <c r="Y44" s="3220"/>
      <c r="Z44" s="1803" t="str">
        <f t="shared" si="15"/>
        <v>内部装修维护情况</v>
      </c>
      <c r="AA44" s="1800">
        <f t="shared" si="3"/>
        <v>1</v>
      </c>
      <c r="AB44" s="1800">
        <f t="shared" si="4"/>
        <v>1</v>
      </c>
      <c r="AC44" s="2659">
        <f t="shared" si="5"/>
        <v>1</v>
      </c>
    </row>
    <row r="45" spans="1:29" s="117" customFormat="1" ht="15">
      <c r="A45" s="472"/>
      <c r="B45" s="1383">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31"/>
      <c r="M45" s="1132"/>
      <c r="N45" s="1132"/>
      <c r="O45" s="1132"/>
      <c r="P45" s="3218"/>
      <c r="Q45" s="1784">
        <f t="shared" si="11"/>
        <v>111</v>
      </c>
      <c r="R45" s="769" t="s">
        <v>17</v>
      </c>
      <c r="S45" s="770">
        <f t="shared" si="12"/>
        <v>100</v>
      </c>
      <c r="T45" s="769" t="s">
        <v>17</v>
      </c>
      <c r="U45" s="770">
        <f t="shared" si="13"/>
        <v>100</v>
      </c>
      <c r="V45" s="769" t="s">
        <v>17</v>
      </c>
      <c r="W45" s="770">
        <f t="shared" si="14"/>
        <v>100</v>
      </c>
      <c r="X45" s="771"/>
      <c r="Y45" s="3220"/>
      <c r="Z45" s="55">
        <f t="shared" si="15"/>
        <v>111</v>
      </c>
      <c r="AA45" s="772">
        <f t="shared" si="3"/>
        <v>1</v>
      </c>
      <c r="AB45" s="772">
        <f t="shared" si="4"/>
        <v>1</v>
      </c>
      <c r="AC45" s="2656">
        <f t="shared" si="5"/>
        <v>1</v>
      </c>
    </row>
    <row r="46" spans="1:29" ht="15">
      <c r="A46" s="471"/>
      <c r="B46" s="1383">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18"/>
      <c r="Q46" s="1799">
        <f t="shared" si="11"/>
        <v>111</v>
      </c>
      <c r="R46" s="773" t="s">
        <v>17</v>
      </c>
      <c r="S46" s="774">
        <f t="shared" si="12"/>
        <v>100</v>
      </c>
      <c r="T46" s="773" t="s">
        <v>17</v>
      </c>
      <c r="U46" s="774">
        <f t="shared" si="13"/>
        <v>100</v>
      </c>
      <c r="V46" s="773" t="s">
        <v>17</v>
      </c>
      <c r="W46" s="774">
        <f t="shared" si="14"/>
        <v>100</v>
      </c>
      <c r="X46" s="1802"/>
      <c r="Y46" s="3220"/>
      <c r="Z46" s="1803">
        <f t="shared" si="15"/>
        <v>111</v>
      </c>
      <c r="AA46" s="1800">
        <f t="shared" si="3"/>
        <v>1</v>
      </c>
      <c r="AB46" s="1800">
        <f t="shared" si="4"/>
        <v>1</v>
      </c>
      <c r="AC46" s="2659">
        <f t="shared" si="5"/>
        <v>1</v>
      </c>
    </row>
    <row r="47" spans="1:29" ht="15.75" thickBot="1">
      <c r="A47" s="477"/>
      <c r="B47" s="2589">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19"/>
      <c r="Q47" s="1799">
        <f t="shared" si="11"/>
        <v>111</v>
      </c>
      <c r="R47" s="773" t="s">
        <v>17</v>
      </c>
      <c r="S47" s="774">
        <f t="shared" si="12"/>
        <v>100</v>
      </c>
      <c r="T47" s="773" t="s">
        <v>17</v>
      </c>
      <c r="U47" s="774">
        <f t="shared" si="13"/>
        <v>100</v>
      </c>
      <c r="V47" s="773" t="s">
        <v>17</v>
      </c>
      <c r="W47" s="774">
        <f t="shared" si="14"/>
        <v>100</v>
      </c>
      <c r="X47" s="1802"/>
      <c r="Y47" s="3221"/>
      <c r="Z47" s="1803">
        <f t="shared" si="15"/>
        <v>111</v>
      </c>
      <c r="AA47" s="1800">
        <f t="shared" si="3"/>
        <v>1</v>
      </c>
      <c r="AB47" s="1800">
        <f t="shared" si="4"/>
        <v>1</v>
      </c>
      <c r="AC47" s="2659">
        <f t="shared" si="5"/>
        <v>1</v>
      </c>
    </row>
    <row r="48" spans="1:29" ht="15">
      <c r="A48" s="478" t="s">
        <v>2572</v>
      </c>
      <c r="B48" s="479"/>
      <c r="C48" s="1404" t="s">
        <v>1</v>
      </c>
      <c r="D48" s="1405"/>
      <c r="E48" s="1406"/>
      <c r="F48" s="1407"/>
      <c r="G48" s="1408"/>
      <c r="H48" s="1409"/>
      <c r="I48" s="1406"/>
      <c r="J48" s="484"/>
      <c r="K48" s="782"/>
      <c r="L48" s="1142"/>
      <c r="M48" s="1130"/>
      <c r="N48" s="1130"/>
      <c r="O48" s="1130"/>
      <c r="P48" s="3224" t="str">
        <f>A48</f>
        <v>成交单价（元/平方米）</v>
      </c>
      <c r="Q48" s="3208"/>
      <c r="R48" s="3209">
        <f>E48</f>
        <v>0</v>
      </c>
      <c r="S48" s="3209"/>
      <c r="T48" s="3209">
        <f>G48</f>
        <v>0</v>
      </c>
      <c r="U48" s="3209"/>
      <c r="V48" s="3209">
        <f>I48</f>
        <v>0</v>
      </c>
      <c r="W48" s="3209"/>
      <c r="X48" s="445"/>
      <c r="Y48" s="780"/>
      <c r="Z48" s="445"/>
      <c r="AA48" s="445"/>
      <c r="AB48" s="445"/>
      <c r="AC48" s="629"/>
    </row>
    <row r="49" spans="1:29" ht="15.75" thickBot="1">
      <c r="A49" s="485" t="s">
        <v>2664</v>
      </c>
      <c r="B49" s="486"/>
      <c r="C49" s="1410" t="e">
        <f>R50</f>
        <v>#DIV/0!</v>
      </c>
      <c r="D49" s="1411"/>
      <c r="E49" s="1412" t="e">
        <f>R49</f>
        <v>#DIV/0!</v>
      </c>
      <c r="F49" s="1412"/>
      <c r="G49" s="1410" t="e">
        <f>T49</f>
        <v>#DIV/0!</v>
      </c>
      <c r="H49" s="1411"/>
      <c r="I49" s="1412" t="e">
        <f>V49</f>
        <v>#DIV/0!</v>
      </c>
      <c r="J49" s="488"/>
      <c r="K49" s="783"/>
      <c r="L49" s="1142"/>
      <c r="M49" s="1130"/>
      <c r="N49" s="1130"/>
      <c r="O49" s="1130"/>
      <c r="P49" s="3224" t="str">
        <f>A49</f>
        <v>比较价值（元/平方米）</v>
      </c>
      <c r="Q49" s="3208"/>
      <c r="R49" s="3209" t="e">
        <f>IF(F1="售价",ROUND(PRODUCT(R48,AA7:AA47),0),ROUND(PRODUCT(R48,AA7:AA47),1))</f>
        <v>#DIV/0!</v>
      </c>
      <c r="S49" s="3209"/>
      <c r="T49" s="3209" t="e">
        <f>IF(F1="售价",ROUND(PRODUCT(T48,AB7:AB47),0),ROUND(PRODUCT(T48,AB7:AB47),1))</f>
        <v>#DIV/0!</v>
      </c>
      <c r="U49" s="3209"/>
      <c r="V49" s="3209" t="e">
        <f>IF(F1="售价",ROUND(PRODUCT(V48,AC7:AC47),0),ROUND(PRODUCT(V48,AC7:AC47),1))</f>
        <v>#DIV/0!</v>
      </c>
      <c r="W49" s="3209"/>
      <c r="X49" s="445"/>
      <c r="Y49" s="445"/>
      <c r="Z49" s="445"/>
      <c r="AA49" s="445"/>
      <c r="AB49" s="445"/>
      <c r="AC49" s="629"/>
    </row>
    <row r="50" spans="1:29" ht="15.75" thickBot="1">
      <c r="A50" s="491" t="s">
        <v>2665</v>
      </c>
      <c r="B50" s="492"/>
      <c r="C50" s="1414" t="e">
        <f>R50</f>
        <v>#DIV/0!</v>
      </c>
      <c r="D50" s="1414"/>
      <c r="E50" s="1414"/>
      <c r="F50" s="1414"/>
      <c r="G50" s="1414"/>
      <c r="H50" s="1414"/>
      <c r="I50" s="1414"/>
      <c r="J50" s="493"/>
      <c r="K50" s="784"/>
      <c r="L50" s="1142"/>
      <c r="M50" s="1130"/>
      <c r="N50" s="1130"/>
      <c r="O50" s="1130"/>
      <c r="P50" s="3270" t="str">
        <f>A50</f>
        <v>估价对象XX用房的比较价值（楼面单价，元/平方米）</v>
      </c>
      <c r="Q50" s="3271"/>
      <c r="R50" s="3272" t="e">
        <f>IF(F1="售价",ROUND(AVERAGE(R49:V49),0),ROUND(AVERAGE(R49:V49),1))</f>
        <v>#DIV/0!</v>
      </c>
      <c r="S50" s="3272"/>
      <c r="T50" s="3272"/>
      <c r="U50" s="3272"/>
      <c r="V50" s="3272"/>
      <c r="W50" s="3272"/>
      <c r="X50" s="2639"/>
      <c r="Y50" s="2639"/>
      <c r="Z50" s="2639"/>
      <c r="AA50" s="2639"/>
      <c r="AB50" s="2639"/>
      <c r="AC50" s="2640"/>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2666</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2667</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2668</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65"/>
    </row>
    <row r="56" spans="1:29" s="501" customFormat="1">
      <c r="A56" s="1144"/>
      <c r="B56" s="1145"/>
      <c r="C56" s="1149"/>
      <c r="D56" s="1144"/>
      <c r="E56" s="1144"/>
      <c r="F56" s="1144"/>
      <c r="G56" s="1144"/>
      <c r="H56" s="1144"/>
      <c r="I56" s="1144"/>
      <c r="J56" s="1144"/>
      <c r="K56" s="1147"/>
      <c r="L56" s="1148"/>
      <c r="M56" s="1144"/>
      <c r="N56" s="1144"/>
      <c r="O56" s="1144"/>
      <c r="P56" s="2665"/>
    </row>
    <row r="57" spans="1:29">
      <c r="A57" s="1143"/>
      <c r="B57" s="1145"/>
      <c r="C57" s="1149"/>
      <c r="D57" s="1143"/>
      <c r="E57" s="1143"/>
      <c r="F57" s="1143"/>
      <c r="G57" s="1143"/>
      <c r="H57" s="1143"/>
      <c r="I57" s="1143"/>
      <c r="J57" s="1143"/>
      <c r="K57" s="1104"/>
      <c r="L57" s="1105"/>
      <c r="M57" s="1143"/>
      <c r="N57" s="1143"/>
      <c r="O57" s="1143"/>
    </row>
    <row r="58" spans="1:29" ht="21.75" thickBot="1">
      <c r="A58" s="762" t="s">
        <v>2669</v>
      </c>
      <c r="B58" s="758"/>
      <c r="C58" s="763"/>
      <c r="D58" s="763"/>
      <c r="E58" s="763"/>
      <c r="F58" s="764"/>
      <c r="G58" s="764"/>
      <c r="H58" s="763"/>
      <c r="I58" s="763"/>
      <c r="J58" s="763"/>
      <c r="K58" s="765"/>
      <c r="L58" s="1160"/>
      <c r="M58" s="1158"/>
      <c r="N58" s="1158"/>
      <c r="O58" s="1158"/>
      <c r="P58" s="2666"/>
      <c r="Q58" s="503"/>
    </row>
    <row r="59" spans="1:29" s="507" customFormat="1" ht="15">
      <c r="A59" s="504" t="s">
        <v>2543</v>
      </c>
      <c r="B59" s="505"/>
      <c r="C59" s="1571" t="str">
        <f>YEAR(C7)&amp;"-"&amp;MONTH(C7)</f>
        <v>2020-5</v>
      </c>
      <c r="D59" s="1572">
        <f>EDATE(C59,-1)</f>
        <v>43922</v>
      </c>
      <c r="E59" s="1572">
        <f>EDATE(D59,-1)</f>
        <v>43891</v>
      </c>
      <c r="F59" s="1572">
        <f t="shared" ref="F59:O59" si="16">EDATE(E59,-1)</f>
        <v>43862</v>
      </c>
      <c r="G59" s="1572">
        <f t="shared" si="16"/>
        <v>43831</v>
      </c>
      <c r="H59" s="1572">
        <f t="shared" si="16"/>
        <v>43800</v>
      </c>
      <c r="I59" s="1572">
        <f t="shared" si="16"/>
        <v>43770</v>
      </c>
      <c r="J59" s="1572">
        <f t="shared" si="16"/>
        <v>43739</v>
      </c>
      <c r="K59" s="1572">
        <f t="shared" si="16"/>
        <v>43709</v>
      </c>
      <c r="L59" s="1572">
        <f t="shared" si="16"/>
        <v>43678</v>
      </c>
      <c r="M59" s="1572">
        <f t="shared" si="16"/>
        <v>43647</v>
      </c>
      <c r="N59" s="1572">
        <f t="shared" si="16"/>
        <v>43617</v>
      </c>
      <c r="O59" s="1572">
        <f t="shared" si="16"/>
        <v>43586</v>
      </c>
      <c r="P59" s="1568"/>
    </row>
    <row r="60" spans="1:29" s="117" customFormat="1" ht="15">
      <c r="A60" s="508"/>
      <c r="B60" s="509"/>
      <c r="C60" s="1570">
        <v>100</v>
      </c>
      <c r="D60" s="511"/>
      <c r="E60" s="511"/>
      <c r="F60" s="511"/>
      <c r="G60" s="511"/>
      <c r="H60" s="511"/>
      <c r="I60" s="511"/>
      <c r="J60" s="511"/>
      <c r="K60" s="511"/>
      <c r="L60" s="511"/>
      <c r="M60" s="512"/>
      <c r="N60" s="511"/>
      <c r="O60" s="512"/>
      <c r="P60" s="2667"/>
    </row>
    <row r="61" spans="1:29" s="117" customFormat="1" ht="15.75" thickBot="1">
      <c r="A61" s="514" t="s">
        <v>2580</v>
      </c>
      <c r="B61" s="515"/>
      <c r="C61" s="516"/>
      <c r="D61" s="517"/>
      <c r="E61" s="517"/>
      <c r="F61" s="517"/>
      <c r="G61" s="517"/>
      <c r="H61" s="517"/>
      <c r="I61" s="517"/>
      <c r="J61" s="517"/>
      <c r="K61" s="517"/>
      <c r="L61" s="517"/>
      <c r="M61" s="518"/>
      <c r="N61" s="517"/>
      <c r="O61" s="518"/>
      <c r="P61" s="2667"/>
      <c r="Q61" s="503"/>
    </row>
    <row r="62" spans="1:29" s="117" customFormat="1" ht="15">
      <c r="A62" s="520" t="s">
        <v>2545</v>
      </c>
      <c r="B62" s="509"/>
      <c r="C62" s="521" t="s">
        <v>2647</v>
      </c>
      <c r="D62" s="522"/>
      <c r="E62" s="522"/>
      <c r="F62" s="522"/>
      <c r="G62" s="522"/>
      <c r="H62" s="522"/>
      <c r="I62" s="522"/>
      <c r="J62" s="522"/>
      <c r="K62" s="522"/>
      <c r="L62" s="523"/>
      <c r="M62" s="524"/>
      <c r="N62" s="1150"/>
      <c r="O62" s="1150"/>
      <c r="P62" s="2668"/>
      <c r="Q62" s="503"/>
    </row>
    <row r="63" spans="1:29" s="117" customFormat="1" ht="15.75" thickBot="1">
      <c r="A63" s="520"/>
      <c r="B63" s="509"/>
      <c r="C63" s="510">
        <v>100</v>
      </c>
      <c r="D63" s="511"/>
      <c r="E63" s="511"/>
      <c r="F63" s="511"/>
      <c r="G63" s="511"/>
      <c r="H63" s="511"/>
      <c r="I63" s="511"/>
      <c r="J63" s="511"/>
      <c r="K63" s="511"/>
      <c r="L63" s="511"/>
      <c r="M63" s="513"/>
      <c r="N63" s="1150"/>
      <c r="O63" s="1150"/>
      <c r="P63" s="2667"/>
      <c r="Q63" s="503"/>
    </row>
    <row r="64" spans="1:29">
      <c r="A64" s="526" t="s">
        <v>2583</v>
      </c>
      <c r="B64" s="527" t="s">
        <v>2549</v>
      </c>
      <c r="C64" s="528">
        <f>C9</f>
        <v>0</v>
      </c>
      <c r="D64" s="529"/>
      <c r="E64" s="529"/>
      <c r="F64" s="529"/>
      <c r="G64" s="529"/>
      <c r="H64" s="529"/>
      <c r="I64" s="529"/>
      <c r="J64" s="529"/>
      <c r="K64" s="530"/>
      <c r="L64" s="531"/>
      <c r="M64" s="532"/>
      <c r="N64" s="1151"/>
      <c r="O64" s="1151"/>
      <c r="P64" s="2669"/>
      <c r="Q64" s="503"/>
    </row>
    <row r="65" spans="1:17" ht="15.75" thickBot="1">
      <c r="A65" s="533"/>
      <c r="B65" s="534"/>
      <c r="C65" s="535">
        <v>100</v>
      </c>
      <c r="D65" s="535"/>
      <c r="E65" s="535"/>
      <c r="F65" s="535"/>
      <c r="G65" s="535"/>
      <c r="H65" s="535"/>
      <c r="I65" s="535"/>
      <c r="J65" s="535"/>
      <c r="K65" s="535"/>
      <c r="L65" s="535"/>
      <c r="M65" s="536"/>
      <c r="N65" s="1152"/>
      <c r="O65" s="1152"/>
      <c r="P65" s="2669"/>
      <c r="Q65" s="503"/>
    </row>
    <row r="66" spans="1:17" ht="27.75" thickTop="1">
      <c r="A66" s="533"/>
      <c r="B66" s="537" t="s">
        <v>2552</v>
      </c>
      <c r="C66" s="538" t="s">
        <v>2584</v>
      </c>
      <c r="D66" s="538" t="s">
        <v>2585</v>
      </c>
      <c r="E66" s="538" t="s">
        <v>2586</v>
      </c>
      <c r="F66" s="538" t="s">
        <v>2587</v>
      </c>
      <c r="G66" s="538" t="s">
        <v>2588</v>
      </c>
      <c r="H66" s="538" t="s">
        <v>2589</v>
      </c>
      <c r="I66" s="538" t="s">
        <v>2590</v>
      </c>
      <c r="J66" s="538"/>
      <c r="K66" s="539"/>
      <c r="L66" s="540"/>
      <c r="M66" s="541"/>
      <c r="N66" s="1151"/>
      <c r="O66" s="1151"/>
      <c r="P66" s="2669"/>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69"/>
      <c r="Q67" s="503"/>
    </row>
    <row r="68" spans="1:17" ht="15.75" thickTop="1">
      <c r="A68" s="533"/>
      <c r="B68" s="545" t="s">
        <v>2553</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69"/>
      <c r="Q68" s="503"/>
    </row>
    <row r="69" spans="1:17" ht="15">
      <c r="A69" s="533"/>
      <c r="B69" s="547"/>
      <c r="C69" s="548"/>
      <c r="D69" s="548"/>
      <c r="E69" s="548"/>
      <c r="F69" s="548"/>
      <c r="G69" s="548"/>
      <c r="H69" s="548"/>
      <c r="I69" s="548"/>
      <c r="J69" s="548"/>
      <c r="K69" s="549"/>
      <c r="L69" s="550"/>
      <c r="M69" s="551"/>
      <c r="N69" s="1151"/>
      <c r="O69" s="1151"/>
      <c r="P69" s="2669"/>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69"/>
      <c r="Q70" s="503"/>
    </row>
    <row r="71" spans="1:17" s="470" customFormat="1" ht="15.75" thickTop="1">
      <c r="A71" s="552"/>
      <c r="B71" s="537">
        <f>B12</f>
        <v>111</v>
      </c>
      <c r="C71" s="553"/>
      <c r="D71" s="553"/>
      <c r="E71" s="553"/>
      <c r="F71" s="553"/>
      <c r="G71" s="553"/>
      <c r="H71" s="554"/>
      <c r="I71" s="554"/>
      <c r="J71" s="554"/>
      <c r="K71" s="554"/>
      <c r="L71" s="555"/>
      <c r="M71" s="556"/>
      <c r="N71" s="1153"/>
      <c r="O71" s="1153"/>
      <c r="P71" s="2670"/>
      <c r="Q71" s="558"/>
    </row>
    <row r="72" spans="1:17" s="470" customFormat="1" ht="15.75" thickBot="1">
      <c r="A72" s="552"/>
      <c r="B72" s="542"/>
      <c r="C72" s="559"/>
      <c r="D72" s="535"/>
      <c r="E72" s="535"/>
      <c r="F72" s="535"/>
      <c r="G72" s="535"/>
      <c r="H72" s="535"/>
      <c r="I72" s="535"/>
      <c r="J72" s="535"/>
      <c r="K72" s="535"/>
      <c r="L72" s="535"/>
      <c r="M72" s="536"/>
      <c r="N72" s="1152"/>
      <c r="O72" s="1152"/>
      <c r="P72" s="2670"/>
      <c r="Q72" s="558"/>
    </row>
    <row r="73" spans="1:17" s="470" customFormat="1" ht="15.75" thickTop="1">
      <c r="A73" s="552"/>
      <c r="B73" s="537">
        <f>B13</f>
        <v>111</v>
      </c>
      <c r="C73" s="553"/>
      <c r="D73" s="553"/>
      <c r="E73" s="553"/>
      <c r="F73" s="553"/>
      <c r="G73" s="553"/>
      <c r="H73" s="554"/>
      <c r="I73" s="554"/>
      <c r="J73" s="554"/>
      <c r="K73" s="554"/>
      <c r="L73" s="555"/>
      <c r="M73" s="556"/>
      <c r="N73" s="1153"/>
      <c r="O73" s="1153"/>
      <c r="P73" s="2671"/>
      <c r="Q73" s="560"/>
    </row>
    <row r="74" spans="1:17" s="470" customFormat="1" ht="15.75" thickBot="1">
      <c r="A74" s="552"/>
      <c r="B74" s="542"/>
      <c r="C74" s="559"/>
      <c r="D74" s="559"/>
      <c r="E74" s="559"/>
      <c r="F74" s="559"/>
      <c r="G74" s="559"/>
      <c r="H74" s="561"/>
      <c r="I74" s="561"/>
      <c r="J74" s="561"/>
      <c r="K74" s="561"/>
      <c r="L74" s="561"/>
      <c r="M74" s="562"/>
      <c r="N74" s="1153"/>
      <c r="O74" s="1153"/>
      <c r="P74" s="2670"/>
      <c r="Q74" s="558"/>
    </row>
    <row r="75" spans="1:17" s="470" customFormat="1" ht="15.75" thickTop="1">
      <c r="A75" s="552"/>
      <c r="B75" s="545">
        <f>B14</f>
        <v>111</v>
      </c>
      <c r="C75" s="522"/>
      <c r="D75" s="522"/>
      <c r="E75" s="522"/>
      <c r="F75" s="522"/>
      <c r="G75" s="522"/>
      <c r="H75" s="563"/>
      <c r="I75" s="563"/>
      <c r="J75" s="563"/>
      <c r="K75" s="563"/>
      <c r="L75" s="564"/>
      <c r="M75" s="565"/>
      <c r="N75" s="1153"/>
      <c r="O75" s="1153"/>
      <c r="P75" s="2672"/>
      <c r="Q75" s="558"/>
    </row>
    <row r="76" spans="1:17" s="470" customFormat="1" ht="15.75" thickBot="1">
      <c r="A76" s="567"/>
      <c r="B76" s="568"/>
      <c r="C76" s="569"/>
      <c r="D76" s="569"/>
      <c r="E76" s="569"/>
      <c r="F76" s="569"/>
      <c r="G76" s="569"/>
      <c r="H76" s="570"/>
      <c r="I76" s="570"/>
      <c r="J76" s="570"/>
      <c r="K76" s="570"/>
      <c r="L76" s="570"/>
      <c r="M76" s="571"/>
      <c r="N76" s="1153"/>
      <c r="O76" s="1153"/>
      <c r="P76" s="2670"/>
      <c r="Q76" s="558"/>
    </row>
    <row r="77" spans="1:17">
      <c r="A77" s="526" t="s">
        <v>2554</v>
      </c>
      <c r="B77" s="527" t="s">
        <v>2692</v>
      </c>
      <c r="C77" s="572" t="s">
        <v>2592</v>
      </c>
      <c r="D77" s="572" t="s">
        <v>2593</v>
      </c>
      <c r="E77" s="572" t="s">
        <v>2594</v>
      </c>
      <c r="F77" s="572" t="s">
        <v>2595</v>
      </c>
      <c r="G77" s="572" t="s">
        <v>2596</v>
      </c>
      <c r="H77" s="528"/>
      <c r="I77" s="528"/>
      <c r="J77" s="528"/>
      <c r="K77" s="573"/>
      <c r="L77" s="574"/>
      <c r="M77" s="575"/>
      <c r="N77" s="1151"/>
      <c r="O77" s="1151"/>
      <c r="P77" s="2673"/>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69"/>
      <c r="Q78" s="503"/>
    </row>
    <row r="79" spans="1:17" ht="15.75" thickTop="1">
      <c r="A79" s="533"/>
      <c r="B79" s="537" t="s">
        <v>2597</v>
      </c>
      <c r="C79" s="577" t="s">
        <v>2592</v>
      </c>
      <c r="D79" s="577" t="s">
        <v>2593</v>
      </c>
      <c r="E79" s="577" t="s">
        <v>2594</v>
      </c>
      <c r="F79" s="577" t="s">
        <v>2595</v>
      </c>
      <c r="G79" s="577" t="s">
        <v>2596</v>
      </c>
      <c r="H79" s="538"/>
      <c r="I79" s="538"/>
      <c r="J79" s="538"/>
      <c r="K79" s="539"/>
      <c r="L79" s="540"/>
      <c r="M79" s="541"/>
      <c r="N79" s="1151"/>
      <c r="O79" s="1151"/>
      <c r="P79" s="2669"/>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69"/>
      <c r="Q80" s="503"/>
    </row>
    <row r="81" spans="1:17" ht="15.75" thickTop="1">
      <c r="A81" s="533"/>
      <c r="B81" s="537" t="s">
        <v>2598</v>
      </c>
      <c r="C81" s="577" t="s">
        <v>2592</v>
      </c>
      <c r="D81" s="577" t="s">
        <v>2593</v>
      </c>
      <c r="E81" s="577" t="s">
        <v>2594</v>
      </c>
      <c r="F81" s="577" t="s">
        <v>2595</v>
      </c>
      <c r="G81" s="577" t="s">
        <v>2596</v>
      </c>
      <c r="H81" s="538"/>
      <c r="I81" s="538"/>
      <c r="J81" s="538"/>
      <c r="K81" s="539"/>
      <c r="L81" s="540"/>
      <c r="M81" s="541"/>
      <c r="N81" s="1151"/>
      <c r="O81" s="1151"/>
      <c r="P81" s="2669"/>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69"/>
      <c r="Q82" s="503"/>
    </row>
    <row r="83" spans="1:17" ht="15.75" thickTop="1">
      <c r="A83" s="533"/>
      <c r="B83" s="545" t="s">
        <v>2684</v>
      </c>
      <c r="C83" s="659" t="s">
        <v>2670</v>
      </c>
      <c r="D83" s="659" t="s">
        <v>2671</v>
      </c>
      <c r="E83" s="659" t="s">
        <v>2672</v>
      </c>
      <c r="F83" s="659" t="s">
        <v>2673</v>
      </c>
      <c r="G83" s="659" t="s">
        <v>2674</v>
      </c>
      <c r="H83" s="538"/>
      <c r="I83" s="538"/>
      <c r="J83" s="538"/>
      <c r="K83" s="538"/>
      <c r="L83" s="538"/>
      <c r="M83" s="1379"/>
      <c r="N83" s="1152"/>
      <c r="O83" s="1152"/>
      <c r="P83" s="2669"/>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69"/>
      <c r="Q84" s="503"/>
    </row>
    <row r="85" spans="1:17" ht="15.75" thickTop="1">
      <c r="A85" s="533"/>
      <c r="B85" s="537" t="s">
        <v>2693</v>
      </c>
      <c r="C85" s="577" t="s">
        <v>2592</v>
      </c>
      <c r="D85" s="577" t="s">
        <v>2593</v>
      </c>
      <c r="E85" s="577" t="s">
        <v>2594</v>
      </c>
      <c r="F85" s="577" t="s">
        <v>2595</v>
      </c>
      <c r="G85" s="577" t="s">
        <v>2596</v>
      </c>
      <c r="H85" s="538"/>
      <c r="I85" s="538"/>
      <c r="J85" s="538"/>
      <c r="K85" s="539"/>
      <c r="L85" s="540"/>
      <c r="M85" s="541"/>
      <c r="N85" s="1151"/>
      <c r="O85" s="1151"/>
      <c r="P85" s="2669"/>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69"/>
      <c r="Q86" s="503"/>
    </row>
    <row r="87" spans="1:17" s="117" customFormat="1" ht="27.75" thickTop="1">
      <c r="A87" s="578"/>
      <c r="B87" s="537" t="s">
        <v>2694</v>
      </c>
      <c r="C87" s="553"/>
      <c r="D87" s="553"/>
      <c r="E87" s="553"/>
      <c r="F87" s="553"/>
      <c r="G87" s="553"/>
      <c r="H87" s="553"/>
      <c r="I87" s="553"/>
      <c r="J87" s="553"/>
      <c r="K87" s="553"/>
      <c r="L87" s="579"/>
      <c r="M87" s="580"/>
      <c r="N87" s="1150"/>
      <c r="O87" s="1150"/>
      <c r="P87" s="2669"/>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69"/>
      <c r="Q88" s="503"/>
    </row>
    <row r="89" spans="1:17" s="117" customFormat="1" ht="15.75" thickTop="1">
      <c r="A89" s="578"/>
      <c r="B89" s="537" t="str">
        <f>B27</f>
        <v>楼层</v>
      </c>
      <c r="C89" s="553"/>
      <c r="D89" s="553"/>
      <c r="E89" s="553"/>
      <c r="F89" s="2620"/>
      <c r="G89" s="553"/>
      <c r="H89" s="553"/>
      <c r="I89" s="553"/>
      <c r="J89" s="553"/>
      <c r="K89" s="553"/>
      <c r="L89" s="553"/>
      <c r="M89" s="580"/>
      <c r="N89" s="1150"/>
      <c r="O89" s="1150"/>
      <c r="P89" s="2669"/>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69"/>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70"/>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70"/>
      <c r="Q92" s="558"/>
    </row>
    <row r="93" spans="1:17" ht="15.75" thickTop="1">
      <c r="A93" s="533"/>
      <c r="B93" s="537">
        <f>B29</f>
        <v>111</v>
      </c>
      <c r="C93" s="553"/>
      <c r="D93" s="553"/>
      <c r="E93" s="553"/>
      <c r="F93" s="553"/>
      <c r="G93" s="553"/>
      <c r="H93" s="553"/>
      <c r="I93" s="553"/>
      <c r="J93" s="553"/>
      <c r="K93" s="553"/>
      <c r="L93" s="579"/>
      <c r="M93" s="580"/>
      <c r="N93" s="1151"/>
      <c r="O93" s="1151"/>
      <c r="P93" s="2669"/>
      <c r="Q93" s="503"/>
    </row>
    <row r="94" spans="1:17" ht="15.75" thickBot="1">
      <c r="A94" s="533"/>
      <c r="B94" s="542"/>
      <c r="C94" s="559"/>
      <c r="D94" s="535"/>
      <c r="E94" s="535"/>
      <c r="F94" s="535"/>
      <c r="G94" s="535"/>
      <c r="H94" s="535"/>
      <c r="I94" s="535"/>
      <c r="J94" s="535"/>
      <c r="K94" s="535"/>
      <c r="L94" s="535"/>
      <c r="M94" s="536"/>
      <c r="N94" s="1152"/>
      <c r="O94" s="1152"/>
      <c r="P94" s="2669"/>
      <c r="Q94" s="503"/>
    </row>
    <row r="95" spans="1:17" ht="15.75" thickTop="1">
      <c r="A95" s="533"/>
      <c r="B95" s="537">
        <f>B30</f>
        <v>111</v>
      </c>
      <c r="C95" s="553"/>
      <c r="D95" s="553"/>
      <c r="E95" s="553"/>
      <c r="F95" s="553"/>
      <c r="G95" s="582"/>
      <c r="H95" s="582"/>
      <c r="I95" s="582"/>
      <c r="J95" s="582"/>
      <c r="K95" s="583"/>
      <c r="L95" s="584"/>
      <c r="M95" s="585"/>
      <c r="N95" s="1151"/>
      <c r="O95" s="1151"/>
      <c r="P95" s="2669"/>
      <c r="Q95" s="503"/>
    </row>
    <row r="96" spans="1:17" ht="15.75" thickBot="1">
      <c r="A96" s="533"/>
      <c r="B96" s="542"/>
      <c r="C96" s="559"/>
      <c r="D96" s="559"/>
      <c r="E96" s="559"/>
      <c r="F96" s="559"/>
      <c r="G96" s="535"/>
      <c r="H96" s="535"/>
      <c r="I96" s="535"/>
      <c r="J96" s="535"/>
      <c r="K96" s="535"/>
      <c r="L96" s="535"/>
      <c r="M96" s="536"/>
      <c r="N96" s="1152"/>
      <c r="O96" s="1152"/>
      <c r="P96" s="2669"/>
      <c r="Q96" s="503"/>
    </row>
    <row r="97" spans="1:17" ht="15.75" thickTop="1">
      <c r="A97" s="533"/>
      <c r="B97" s="537">
        <f>B31</f>
        <v>111</v>
      </c>
      <c r="C97" s="553"/>
      <c r="D97" s="553"/>
      <c r="E97" s="553"/>
      <c r="F97" s="553"/>
      <c r="G97" s="582"/>
      <c r="H97" s="582"/>
      <c r="I97" s="582"/>
      <c r="J97" s="582"/>
      <c r="K97" s="583"/>
      <c r="L97" s="584"/>
      <c r="M97" s="585"/>
      <c r="N97" s="1151"/>
      <c r="O97" s="1151"/>
      <c r="P97" s="2669"/>
      <c r="Q97" s="503"/>
    </row>
    <row r="98" spans="1:17" ht="15.75" thickBot="1">
      <c r="A98" s="533"/>
      <c r="B98" s="542"/>
      <c r="C98" s="559"/>
      <c r="D98" s="535"/>
      <c r="E98" s="535"/>
      <c r="F98" s="535"/>
      <c r="G98" s="535"/>
      <c r="H98" s="535"/>
      <c r="I98" s="535"/>
      <c r="J98" s="535"/>
      <c r="K98" s="535"/>
      <c r="L98" s="535"/>
      <c r="M98" s="536"/>
      <c r="N98" s="1152"/>
      <c r="O98" s="1152"/>
      <c r="P98" s="2669"/>
      <c r="Q98" s="503"/>
    </row>
    <row r="99" spans="1:17" ht="15.75" thickTop="1">
      <c r="A99" s="533"/>
      <c r="B99" s="545">
        <f>B32</f>
        <v>111</v>
      </c>
      <c r="C99" s="522"/>
      <c r="D99" s="522"/>
      <c r="E99" s="522"/>
      <c r="F99" s="522"/>
      <c r="G99" s="586"/>
      <c r="H99" s="586"/>
      <c r="I99" s="586"/>
      <c r="J99" s="586"/>
      <c r="K99" s="587"/>
      <c r="L99" s="588"/>
      <c r="M99" s="589"/>
      <c r="N99" s="1151"/>
      <c r="O99" s="1151"/>
      <c r="P99" s="2669"/>
      <c r="Q99" s="503"/>
    </row>
    <row r="100" spans="1:17" ht="15.75" thickBot="1">
      <c r="A100" s="2621"/>
      <c r="B100" s="568"/>
      <c r="C100" s="569"/>
      <c r="D100" s="569"/>
      <c r="E100" s="569"/>
      <c r="F100" s="569"/>
      <c r="G100" s="590"/>
      <c r="H100" s="590"/>
      <c r="I100" s="590"/>
      <c r="J100" s="590"/>
      <c r="K100" s="590"/>
      <c r="L100" s="590"/>
      <c r="M100" s="591"/>
      <c r="N100" s="1152"/>
      <c r="O100" s="1152"/>
      <c r="P100" s="2669"/>
      <c r="Q100" s="503"/>
    </row>
    <row r="101" spans="1:17">
      <c r="A101" s="526" t="s">
        <v>2558</v>
      </c>
      <c r="B101" s="527" t="s">
        <v>2607</v>
      </c>
      <c r="C101" s="529"/>
      <c r="D101" s="529"/>
      <c r="E101" s="529"/>
      <c r="F101" s="529"/>
      <c r="G101" s="529"/>
      <c r="H101" s="529"/>
      <c r="I101" s="529"/>
      <c r="J101" s="529"/>
      <c r="K101" s="530"/>
      <c r="L101" s="531"/>
      <c r="M101" s="532"/>
      <c r="N101" s="1151"/>
      <c r="O101" s="1151"/>
      <c r="P101" s="2669"/>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69"/>
      <c r="Q102" s="503"/>
    </row>
    <row r="103" spans="1:17" ht="15.75" thickTop="1">
      <c r="A103" s="533"/>
      <c r="B103" s="537" t="s">
        <v>2608</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69"/>
      <c r="Q103" s="503"/>
    </row>
    <row r="104" spans="1:17" s="470" customFormat="1">
      <c r="A104" s="592"/>
      <c r="B104" s="593"/>
      <c r="C104" s="594"/>
      <c r="D104" s="594"/>
      <c r="E104" s="594"/>
      <c r="F104" s="594"/>
      <c r="G104" s="594"/>
      <c r="H104" s="594"/>
      <c r="I104" s="594"/>
      <c r="J104" s="595"/>
      <c r="K104" s="595"/>
      <c r="L104" s="596"/>
      <c r="M104" s="597"/>
      <c r="N104" s="1153"/>
      <c r="O104" s="1153"/>
      <c r="P104" s="2670"/>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70"/>
      <c r="Q105" s="558"/>
    </row>
    <row r="106" spans="1:17" ht="15" thickTop="1">
      <c r="A106" s="598"/>
      <c r="B106" s="537" t="s">
        <v>2609</v>
      </c>
      <c r="C106" s="553"/>
      <c r="D106" s="553"/>
      <c r="E106" s="582"/>
      <c r="F106" s="582"/>
      <c r="G106" s="582"/>
      <c r="H106" s="582"/>
      <c r="I106" s="582"/>
      <c r="J106" s="582"/>
      <c r="K106" s="583"/>
      <c r="L106" s="584"/>
      <c r="M106" s="585"/>
      <c r="N106" s="1151"/>
      <c r="O106" s="1151"/>
      <c r="P106" s="2669"/>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69"/>
      <c r="Q107" s="503"/>
    </row>
    <row r="108" spans="1:17" ht="15" thickTop="1">
      <c r="A108" s="598"/>
      <c r="B108" s="537" t="s">
        <v>2611</v>
      </c>
      <c r="C108" s="553"/>
      <c r="D108" s="553"/>
      <c r="E108" s="553"/>
      <c r="F108" s="582"/>
      <c r="G108" s="582"/>
      <c r="H108" s="582"/>
      <c r="I108" s="582"/>
      <c r="J108" s="582"/>
      <c r="K108" s="583"/>
      <c r="L108" s="584"/>
      <c r="M108" s="585"/>
      <c r="N108" s="1151"/>
      <c r="O108" s="1151"/>
      <c r="P108" s="2669"/>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69"/>
      <c r="Q109" s="503"/>
    </row>
    <row r="110" spans="1:17" ht="15" thickTop="1">
      <c r="A110" s="598"/>
      <c r="B110" s="537" t="s">
        <v>1991</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69"/>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69"/>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69"/>
      <c r="Q112" s="503"/>
    </row>
    <row r="113" spans="1:17" s="470" customFormat="1" ht="15" thickTop="1">
      <c r="A113" s="592"/>
      <c r="B113" s="537" t="s">
        <v>2695</v>
      </c>
      <c r="C113" s="553"/>
      <c r="D113" s="553"/>
      <c r="E113" s="553"/>
      <c r="F113" s="553"/>
      <c r="G113" s="553"/>
      <c r="H113" s="582"/>
      <c r="I113" s="582"/>
      <c r="J113" s="582"/>
      <c r="K113" s="583"/>
      <c r="L113" s="584"/>
      <c r="M113" s="585"/>
      <c r="N113" s="1153"/>
      <c r="O113" s="1153"/>
      <c r="P113" s="2670"/>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70"/>
      <c r="Q114" s="558"/>
    </row>
    <row r="115" spans="1:17" ht="15" thickTop="1">
      <c r="A115" s="598"/>
      <c r="B115" s="537" t="s">
        <v>2612</v>
      </c>
      <c r="C115" s="553"/>
      <c r="D115" s="553"/>
      <c r="E115" s="582"/>
      <c r="F115" s="582"/>
      <c r="G115" s="582"/>
      <c r="H115" s="582"/>
      <c r="I115" s="582"/>
      <c r="J115" s="582"/>
      <c r="K115" s="583"/>
      <c r="L115" s="584"/>
      <c r="M115" s="585"/>
      <c r="N115" s="1151"/>
      <c r="O115" s="1151"/>
      <c r="P115" s="2669"/>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69"/>
      <c r="Q116" s="503"/>
    </row>
    <row r="117" spans="1:17" ht="15" thickTop="1">
      <c r="A117" s="598"/>
      <c r="B117" s="537" t="s">
        <v>2613</v>
      </c>
      <c r="C117" s="553"/>
      <c r="D117" s="553"/>
      <c r="E117" s="553"/>
      <c r="F117" s="553"/>
      <c r="G117" s="553"/>
      <c r="H117" s="582"/>
      <c r="I117" s="582"/>
      <c r="J117" s="582"/>
      <c r="K117" s="583"/>
      <c r="L117" s="584"/>
      <c r="M117" s="585"/>
      <c r="N117" s="1151"/>
      <c r="O117" s="1151"/>
      <c r="P117" s="2669"/>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69"/>
      <c r="Q118" s="503"/>
    </row>
    <row r="119" spans="1:17" ht="15" thickTop="1">
      <c r="A119" s="598"/>
      <c r="B119" s="635" t="s">
        <v>2696</v>
      </c>
      <c r="C119" s="582"/>
      <c r="D119" s="582"/>
      <c r="E119" s="582"/>
      <c r="F119" s="582"/>
      <c r="G119" s="582"/>
      <c r="H119" s="582"/>
      <c r="I119" s="582"/>
      <c r="J119" s="582"/>
      <c r="K119" s="582"/>
      <c r="L119" s="2674"/>
      <c r="M119" s="2675"/>
      <c r="N119" s="1152"/>
      <c r="O119" s="1152"/>
      <c r="P119" s="2676"/>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69"/>
      <c r="Q120" s="503"/>
    </row>
    <row r="121" spans="1:17" s="470" customFormat="1" ht="15" thickTop="1">
      <c r="A121" s="592"/>
      <c r="B121" s="537" t="s">
        <v>2679</v>
      </c>
      <c r="C121" s="553"/>
      <c r="D121" s="553"/>
      <c r="E121" s="553"/>
      <c r="F121" s="582"/>
      <c r="G121" s="554"/>
      <c r="H121" s="554"/>
      <c r="I121" s="554"/>
      <c r="J121" s="554"/>
      <c r="K121" s="554"/>
      <c r="L121" s="555"/>
      <c r="M121" s="556"/>
      <c r="N121" s="1153"/>
      <c r="O121" s="1153"/>
      <c r="P121" s="2670"/>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70"/>
      <c r="Q122" s="558"/>
    </row>
    <row r="123" spans="1:17" ht="15" thickTop="1">
      <c r="A123" s="598"/>
      <c r="B123" s="537" t="s">
        <v>2615</v>
      </c>
      <c r="C123" s="553"/>
      <c r="D123" s="553"/>
      <c r="E123" s="553"/>
      <c r="F123" s="582"/>
      <c r="G123" s="582"/>
      <c r="H123" s="582"/>
      <c r="I123" s="582"/>
      <c r="J123" s="582"/>
      <c r="K123" s="583"/>
      <c r="L123" s="584"/>
      <c r="M123" s="585"/>
      <c r="N123" s="1151"/>
      <c r="O123" s="1151"/>
      <c r="P123" s="2669"/>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69"/>
      <c r="Q124" s="503"/>
    </row>
    <row r="125" spans="1:17" ht="15" thickTop="1">
      <c r="A125" s="598"/>
      <c r="B125" s="537" t="s">
        <v>2616</v>
      </c>
      <c r="C125" s="577" t="s">
        <v>2592</v>
      </c>
      <c r="D125" s="577" t="s">
        <v>2593</v>
      </c>
      <c r="E125" s="577" t="s">
        <v>2594</v>
      </c>
      <c r="F125" s="577" t="s">
        <v>2595</v>
      </c>
      <c r="G125" s="577" t="s">
        <v>2596</v>
      </c>
      <c r="H125" s="538"/>
      <c r="I125" s="538"/>
      <c r="J125" s="538"/>
      <c r="K125" s="539"/>
      <c r="L125" s="540"/>
      <c r="M125" s="541"/>
      <c r="N125" s="1151"/>
      <c r="O125" s="1151"/>
      <c r="P125" s="2670"/>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69"/>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70"/>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70"/>
      <c r="Q128" s="558"/>
    </row>
    <row r="129" spans="1:17" ht="15" thickTop="1">
      <c r="A129" s="598"/>
      <c r="B129" s="537">
        <f>B46</f>
        <v>111</v>
      </c>
      <c r="C129" s="553"/>
      <c r="D129" s="553"/>
      <c r="E129" s="553"/>
      <c r="F129" s="553"/>
      <c r="G129" s="582"/>
      <c r="H129" s="582"/>
      <c r="I129" s="582"/>
      <c r="J129" s="582"/>
      <c r="K129" s="583"/>
      <c r="L129" s="584"/>
      <c r="M129" s="585"/>
      <c r="N129" s="1151"/>
      <c r="O129" s="1151"/>
      <c r="P129" s="2669"/>
      <c r="Q129" s="503"/>
    </row>
    <row r="130" spans="1:17" ht="15.75" thickBot="1">
      <c r="A130" s="533"/>
      <c r="B130" s="542"/>
      <c r="C130" s="559"/>
      <c r="D130" s="559"/>
      <c r="E130" s="559"/>
      <c r="F130" s="559"/>
      <c r="G130" s="535"/>
      <c r="H130" s="535"/>
      <c r="I130" s="535"/>
      <c r="J130" s="535"/>
      <c r="K130" s="535"/>
      <c r="L130" s="535"/>
      <c r="M130" s="536"/>
      <c r="N130" s="1152"/>
      <c r="O130" s="1152"/>
      <c r="P130" s="2669"/>
      <c r="Q130" s="503"/>
    </row>
    <row r="131" spans="1:17" ht="15" thickTop="1">
      <c r="A131" s="598"/>
      <c r="B131" s="545">
        <f>B47</f>
        <v>111</v>
      </c>
      <c r="C131" s="522"/>
      <c r="D131" s="522"/>
      <c r="E131" s="522"/>
      <c r="F131" s="522"/>
      <c r="G131" s="586"/>
      <c r="H131" s="586"/>
      <c r="I131" s="586"/>
      <c r="J131" s="586"/>
      <c r="K131" s="522"/>
      <c r="L131" s="523"/>
      <c r="M131" s="589"/>
      <c r="N131" s="1151"/>
      <c r="O131" s="1151"/>
      <c r="P131" s="2669"/>
      <c r="Q131" s="503"/>
    </row>
    <row r="132" spans="1:17" ht="15.75" thickBot="1">
      <c r="A132" s="2621"/>
      <c r="B132" s="568"/>
      <c r="C132" s="569"/>
      <c r="D132" s="569"/>
      <c r="E132" s="569"/>
      <c r="F132" s="569"/>
      <c r="G132" s="590"/>
      <c r="H132" s="590"/>
      <c r="I132" s="590"/>
      <c r="J132" s="590"/>
      <c r="K132" s="590"/>
      <c r="L132" s="590"/>
      <c r="M132" s="591"/>
      <c r="N132" s="1152"/>
      <c r="O132" s="1152"/>
      <c r="P132" s="2669"/>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26" sqref="G2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654" t="s">
        <v>2697</v>
      </c>
      <c r="C1" s="1617" t="s">
        <v>2525</v>
      </c>
      <c r="D1" s="1618"/>
      <c r="E1" s="1627"/>
      <c r="F1" s="2571"/>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2325</v>
      </c>
      <c r="B2" s="1415" t="e">
        <f ca="1">IF(C2="——",ROUND(C43*D3/10000,0),ROUND(C43*D3/10000,0)-D2)</f>
        <v>#DIV/0!</v>
      </c>
      <c r="C2" s="2573"/>
      <c r="D2" s="1123" t="e">
        <f ca="1">SUMIF(INDIRECT("'"&amp;F2&amp;"'"&amp;"!A:A"),"承租人权益价值",INDIRECT("'"&amp;F2&amp;"'"&amp;"!c:c"))</f>
        <v>#REF!</v>
      </c>
      <c r="E2" s="2574" t="s">
        <v>2326</v>
      </c>
      <c r="F2" s="2575"/>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7" t="s">
        <v>2327</v>
      </c>
      <c r="B3" s="608" t="e">
        <f ca="1">IF(C2="——",C43,ROUND(B2*10000/D3,0))</f>
        <v>#DIV/0!</v>
      </c>
      <c r="C3" s="399" t="s">
        <v>2639</v>
      </c>
      <c r="D3" s="398">
        <f>IF(D1="",'数据-汇总表'!E3,SUMIF('数据-汇总表'!$C19:$C33,D1,'数据-汇总表'!$E19:$E33))</f>
        <v>43490.38</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2640</v>
      </c>
      <c r="B4" s="401"/>
      <c r="C4" s="3236" t="s">
        <v>2641</v>
      </c>
      <c r="D4" s="3237"/>
      <c r="E4" s="3238" t="s">
        <v>2642</v>
      </c>
      <c r="F4" s="3239"/>
      <c r="G4" s="3236" t="s">
        <v>2643</v>
      </c>
      <c r="H4" s="3237"/>
      <c r="I4" s="3236" t="s">
        <v>2644</v>
      </c>
      <c r="J4" s="3237"/>
      <c r="K4" s="609" t="s">
        <v>2645</v>
      </c>
      <c r="L4" s="1129"/>
      <c r="M4" s="1130"/>
      <c r="N4" s="1130"/>
      <c r="O4" s="1130"/>
      <c r="P4" s="3240" t="s">
        <v>2646</v>
      </c>
      <c r="Q4" s="3241"/>
      <c r="R4" s="3226" t="s">
        <v>2642</v>
      </c>
      <c r="S4" s="3227"/>
      <c r="T4" s="3226" t="s">
        <v>2643</v>
      </c>
      <c r="U4" s="3227"/>
      <c r="V4" s="3225" t="s">
        <v>2644</v>
      </c>
      <c r="W4" s="3225"/>
      <c r="X4" s="1802"/>
      <c r="Y4" s="3226" t="s">
        <v>2646</v>
      </c>
      <c r="Z4" s="3227"/>
      <c r="AA4" s="3232" t="s">
        <v>2642</v>
      </c>
      <c r="AB4" s="3233" t="s">
        <v>2643</v>
      </c>
      <c r="AC4" s="3232" t="s">
        <v>2644</v>
      </c>
    </row>
    <row r="5" spans="1:29" ht="15">
      <c r="A5" s="403"/>
      <c r="B5" s="404"/>
      <c r="C5" s="3256" t="s">
        <v>2537</v>
      </c>
      <c r="D5" s="3247"/>
      <c r="E5" s="3255" t="s">
        <v>2538</v>
      </c>
      <c r="F5" s="3249"/>
      <c r="G5" s="3256" t="s">
        <v>2539</v>
      </c>
      <c r="H5" s="3247"/>
      <c r="I5" s="3256" t="s">
        <v>2540</v>
      </c>
      <c r="J5" s="3247"/>
      <c r="K5" s="609"/>
      <c r="L5" s="1129"/>
      <c r="M5" s="1130"/>
      <c r="N5" s="1130"/>
      <c r="O5" s="1130"/>
      <c r="P5" s="3242"/>
      <c r="Q5" s="3243"/>
      <c r="R5" s="3228"/>
      <c r="S5" s="3229"/>
      <c r="T5" s="3228"/>
      <c r="U5" s="3229"/>
      <c r="V5" s="3225"/>
      <c r="W5" s="3225"/>
      <c r="X5" s="1802"/>
      <c r="Y5" s="3228"/>
      <c r="Z5" s="3229"/>
      <c r="AA5" s="3233"/>
      <c r="AB5" s="3233"/>
      <c r="AC5" s="3233"/>
    </row>
    <row r="6" spans="1:29" ht="15.75" thickBot="1">
      <c r="A6" s="405"/>
      <c r="B6" s="406"/>
      <c r="C6" s="3254" t="s">
        <v>2541</v>
      </c>
      <c r="D6" s="3251"/>
      <c r="E6" s="3257" t="s">
        <v>2541</v>
      </c>
      <c r="F6" s="3253"/>
      <c r="G6" s="3254" t="s">
        <v>2541</v>
      </c>
      <c r="H6" s="3251"/>
      <c r="I6" s="3254" t="s">
        <v>2541</v>
      </c>
      <c r="J6" s="3251"/>
      <c r="K6" s="609" t="s">
        <v>2542</v>
      </c>
      <c r="L6" s="1129"/>
      <c r="M6" s="1130"/>
      <c r="N6" s="1130"/>
      <c r="O6" s="1130"/>
      <c r="P6" s="3244"/>
      <c r="Q6" s="3245"/>
      <c r="R6" s="3228"/>
      <c r="S6" s="3229"/>
      <c r="T6" s="3230"/>
      <c r="U6" s="3231"/>
      <c r="V6" s="3225"/>
      <c r="W6" s="3225"/>
      <c r="X6" s="1802"/>
      <c r="Y6" s="3230"/>
      <c r="Z6" s="3231"/>
      <c r="AA6" s="3234"/>
      <c r="AB6" s="3234"/>
      <c r="AC6" s="3234"/>
    </row>
    <row r="7" spans="1:29" s="117" customFormat="1" ht="15.75" thickBot="1">
      <c r="A7" s="407" t="s">
        <v>2543</v>
      </c>
      <c r="B7" s="408"/>
      <c r="C7" s="409">
        <f>'数据-取费表'!B2</f>
        <v>43962</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22" t="s">
        <v>2544</v>
      </c>
      <c r="Q7" s="3235"/>
      <c r="R7" s="769" t="s">
        <v>17</v>
      </c>
      <c r="S7" s="770">
        <f t="shared" ref="S7:S15" si="0">F7</f>
        <v>0</v>
      </c>
      <c r="T7" s="769" t="s">
        <v>17</v>
      </c>
      <c r="U7" s="770">
        <f t="shared" ref="U7:U15" si="1">H7</f>
        <v>0</v>
      </c>
      <c r="V7" s="769" t="s">
        <v>17</v>
      </c>
      <c r="W7" s="770">
        <f t="shared" ref="W7:W15" si="2">J7</f>
        <v>0</v>
      </c>
      <c r="X7" s="771"/>
      <c r="Y7" s="3222" t="s">
        <v>2544</v>
      </c>
      <c r="Z7" s="3223"/>
      <c r="AA7" s="772" t="e">
        <f>D7/F7</f>
        <v>#DIV/0!</v>
      </c>
      <c r="AB7" s="772" t="e">
        <f>D7/H7</f>
        <v>#DIV/0!</v>
      </c>
      <c r="AC7" s="772" t="e">
        <f>D7/J7</f>
        <v>#DIV/0!</v>
      </c>
    </row>
    <row r="8" spans="1:29" s="117" customFormat="1" ht="15.75" thickBot="1">
      <c r="A8" s="407" t="s">
        <v>2545</v>
      </c>
      <c r="B8" s="408"/>
      <c r="C8" s="413" t="s">
        <v>2546</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22" t="s">
        <v>2547</v>
      </c>
      <c r="Q8" s="3223"/>
      <c r="R8" s="769" t="s">
        <v>17</v>
      </c>
      <c r="S8" s="770">
        <f t="shared" si="0"/>
        <v>0</v>
      </c>
      <c r="T8" s="769" t="s">
        <v>17</v>
      </c>
      <c r="U8" s="770">
        <f t="shared" si="1"/>
        <v>0</v>
      </c>
      <c r="V8" s="769" t="s">
        <v>17</v>
      </c>
      <c r="W8" s="770">
        <f t="shared" si="2"/>
        <v>0</v>
      </c>
      <c r="X8" s="771"/>
      <c r="Y8" s="3222" t="s">
        <v>2547</v>
      </c>
      <c r="Z8" s="3223"/>
      <c r="AA8" s="772" t="e">
        <f t="shared" ref="AA8:AA40" si="3">D8/F8</f>
        <v>#DIV/0!</v>
      </c>
      <c r="AB8" s="772" t="e">
        <f t="shared" ref="AB8:AB40" si="4">D8/H8</f>
        <v>#DIV/0!</v>
      </c>
      <c r="AC8" s="772" t="e">
        <f t="shared" ref="AC8:AC40" si="5">D8/J8</f>
        <v>#DIV/0!</v>
      </c>
    </row>
    <row r="9" spans="1:29" s="117" customFormat="1">
      <c r="A9" s="414" t="s">
        <v>2548</v>
      </c>
      <c r="B9" s="71" t="s">
        <v>2549</v>
      </c>
      <c r="C9" s="415"/>
      <c r="D9" s="135">
        <v>100</v>
      </c>
      <c r="E9" s="418"/>
      <c r="F9" s="135">
        <f>SUMIF(57:57,E9,58:58)-SUMIF(57:57,C9,58:58)+100</f>
        <v>100</v>
      </c>
      <c r="G9" s="416"/>
      <c r="H9" s="135">
        <f>SUMIF(57:57,G9,58:58)-SUMIF(57:57,C9,58:58)+100</f>
        <v>100</v>
      </c>
      <c r="I9" s="416"/>
      <c r="J9" s="135">
        <f>SUMIF(57:57,I9,58:58)-SUMIF(57:57,C9,58:58)+100</f>
        <v>100</v>
      </c>
      <c r="K9" s="610"/>
      <c r="L9" s="1131"/>
      <c r="M9" s="1132"/>
      <c r="N9" s="1132"/>
      <c r="O9" s="1133"/>
      <c r="P9" s="3208" t="s">
        <v>2550</v>
      </c>
      <c r="Q9" s="1784" t="str">
        <f t="shared" ref="Q9:Q15" si="6">B9</f>
        <v>用途</v>
      </c>
      <c r="R9" s="769" t="s">
        <v>17</v>
      </c>
      <c r="S9" s="770">
        <f t="shared" si="0"/>
        <v>100</v>
      </c>
      <c r="T9" s="769" t="s">
        <v>17</v>
      </c>
      <c r="U9" s="770">
        <f t="shared" si="1"/>
        <v>100</v>
      </c>
      <c r="V9" s="769" t="s">
        <v>17</v>
      </c>
      <c r="W9" s="770">
        <f t="shared" si="2"/>
        <v>100</v>
      </c>
      <c r="X9" s="771"/>
      <c r="Y9" s="3055" t="s">
        <v>2551</v>
      </c>
      <c r="Z9" s="55" t="str">
        <f t="shared" ref="Z9:Z15" si="7">Q9</f>
        <v>用途</v>
      </c>
      <c r="AA9" s="772">
        <f t="shared" si="3"/>
        <v>1</v>
      </c>
      <c r="AB9" s="772">
        <f t="shared" si="4"/>
        <v>1</v>
      </c>
      <c r="AC9" s="772">
        <f t="shared" si="5"/>
        <v>1</v>
      </c>
    </row>
    <row r="10" spans="1:29" s="426" customFormat="1" ht="27">
      <c r="A10" s="420"/>
      <c r="B10" s="421" t="s">
        <v>2552</v>
      </c>
      <c r="C10" s="422"/>
      <c r="D10" s="136">
        <v>100</v>
      </c>
      <c r="E10" s="422"/>
      <c r="F10" s="136">
        <f>SUMIF(59:59,E10,60:60)-SUMIF(59:59,C10,60:60)+100</f>
        <v>100</v>
      </c>
      <c r="G10" s="423"/>
      <c r="H10" s="136">
        <f>SUMIF(59:59,G10,60:60)-SUMIF(59:59,C10,60:60)+100</f>
        <v>100</v>
      </c>
      <c r="I10" s="422"/>
      <c r="J10" s="136">
        <f>SUMIF(59:59,I10,60:60)-SUMIF(59:59,C10,60:60)+100</f>
        <v>100</v>
      </c>
      <c r="K10" s="611"/>
      <c r="L10" s="1134"/>
      <c r="M10" s="1135"/>
      <c r="N10" s="1135"/>
      <c r="O10" s="1136"/>
      <c r="P10" s="3208"/>
      <c r="Q10" s="1784"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
      <c r="A11" s="427"/>
      <c r="B11" s="421" t="s">
        <v>2553</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37"/>
      <c r="M11" s="1130"/>
      <c r="N11" s="1130"/>
      <c r="O11" s="1138"/>
      <c r="P11" s="3208"/>
      <c r="Q11" s="1784" t="str">
        <f t="shared" si="6"/>
        <v>容积率</v>
      </c>
      <c r="R11" s="769" t="s">
        <v>17</v>
      </c>
      <c r="S11" s="770" t="e">
        <f t="shared" si="0"/>
        <v>#N/A</v>
      </c>
      <c r="T11" s="769" t="s">
        <v>17</v>
      </c>
      <c r="U11" s="770" t="e">
        <f t="shared" si="1"/>
        <v>#N/A</v>
      </c>
      <c r="V11" s="769" t="s">
        <v>17</v>
      </c>
      <c r="W11" s="770" t="e">
        <f t="shared" si="2"/>
        <v>#N/A</v>
      </c>
      <c r="X11" s="771"/>
      <c r="Y11" s="3055"/>
      <c r="Z11" s="55" t="str">
        <f t="shared" si="7"/>
        <v>容积率</v>
      </c>
      <c r="AA11" s="772" t="e">
        <f t="shared" si="3"/>
        <v>#N/A</v>
      </c>
      <c r="AB11" s="772" t="e">
        <f t="shared" si="4"/>
        <v>#N/A</v>
      </c>
      <c r="AC11" s="772" t="e">
        <f t="shared" si="5"/>
        <v>#N/A</v>
      </c>
    </row>
    <row r="12" spans="1:29" s="117" customFormat="1" ht="15">
      <c r="A12" s="430"/>
      <c r="B12" s="2587">
        <v>111</v>
      </c>
      <c r="C12" s="431"/>
      <c r="D12" s="432">
        <v>100</v>
      </c>
      <c r="E12" s="433"/>
      <c r="F12" s="136">
        <f>SUMIF(64:64,E12,65:65)-SUMIF(64:64,C12,65:65)+100</f>
        <v>100</v>
      </c>
      <c r="G12" s="2677"/>
      <c r="H12" s="136">
        <f>SUMIF(64:64,G12,65:65)-SUMIF(64:64,C12,65:65)+100</f>
        <v>100</v>
      </c>
      <c r="I12" s="468"/>
      <c r="J12" s="136">
        <f>SUMIF(64:64,I12,65:65)-SUMIF(64:64,C12,65:65)+100</f>
        <v>100</v>
      </c>
      <c r="K12" s="612"/>
      <c r="L12" s="1131"/>
      <c r="M12" s="1132"/>
      <c r="N12" s="1132"/>
      <c r="O12" s="1133"/>
      <c r="P12" s="3208"/>
      <c r="Q12" s="1784">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
      <c r="A13" s="427"/>
      <c r="B13" s="2587">
        <v>111</v>
      </c>
      <c r="C13" s="433"/>
      <c r="D13" s="434">
        <v>100</v>
      </c>
      <c r="E13" s="433"/>
      <c r="F13" s="136">
        <f>SUMIF(66:66,E13,67:67)-SUMIF(66:66,C13,67:67)+100</f>
        <v>100</v>
      </c>
      <c r="G13" s="2677"/>
      <c r="H13" s="434">
        <f>SUMIF(66:66,G13,67:67)-SUMIF(66:66,C13,67:67)+100</f>
        <v>100</v>
      </c>
      <c r="I13" s="468"/>
      <c r="J13" s="434">
        <f>SUMIF(66:66,I13,67:67)-SUMIF(66:66,C13,67:67)+100</f>
        <v>100</v>
      </c>
      <c r="K13" s="612"/>
      <c r="L13" s="1139"/>
      <c r="M13" s="1130"/>
      <c r="N13" s="1130"/>
      <c r="O13" s="1138"/>
      <c r="P13" s="3208"/>
      <c r="Q13" s="1784">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15.75" thickBot="1">
      <c r="A14" s="435"/>
      <c r="B14" s="2589">
        <v>111</v>
      </c>
      <c r="C14" s="436"/>
      <c r="D14" s="437">
        <v>100</v>
      </c>
      <c r="E14" s="436"/>
      <c r="F14" s="437">
        <f>SUMIF(68:68,E14,69:69)-SUMIF(68:68,C14,69:69)+100</f>
        <v>100</v>
      </c>
      <c r="G14" s="2677"/>
      <c r="H14" s="437">
        <f>SUMIF(68:68,G14,69:69)-SUMIF(68:68,C14,69:69)+100</f>
        <v>100</v>
      </c>
      <c r="I14" s="468"/>
      <c r="J14" s="437">
        <f>SUMIF(68:68,I14,69:69)-SUMIF(68:68,C14,69:69)+100</f>
        <v>100</v>
      </c>
      <c r="K14" s="612"/>
      <c r="L14" s="1139"/>
      <c r="M14" s="1130"/>
      <c r="N14" s="1130"/>
      <c r="O14" s="1138"/>
      <c r="P14" s="3208"/>
      <c r="Q14" s="1784">
        <f t="shared" si="6"/>
        <v>111</v>
      </c>
      <c r="R14" s="769" t="s">
        <v>17</v>
      </c>
      <c r="S14" s="770">
        <f t="shared" si="0"/>
        <v>100</v>
      </c>
      <c r="T14" s="769" t="s">
        <v>17</v>
      </c>
      <c r="U14" s="770">
        <f t="shared" si="1"/>
        <v>100</v>
      </c>
      <c r="V14" s="769" t="s">
        <v>17</v>
      </c>
      <c r="W14" s="770">
        <f t="shared" si="2"/>
        <v>100</v>
      </c>
      <c r="X14" s="771"/>
      <c r="Y14" s="3055"/>
      <c r="Z14" s="55">
        <f t="shared" si="7"/>
        <v>111</v>
      </c>
      <c r="AA14" s="772">
        <f t="shared" si="3"/>
        <v>1</v>
      </c>
      <c r="AB14" s="772">
        <f t="shared" si="4"/>
        <v>1</v>
      </c>
      <c r="AC14" s="772">
        <f t="shared" si="5"/>
        <v>1</v>
      </c>
    </row>
    <row r="15" spans="1:29" ht="57">
      <c r="A15" s="439" t="s">
        <v>2554</v>
      </c>
      <c r="B15" s="69" t="s">
        <v>2698</v>
      </c>
      <c r="C15" s="2678"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15" t="s">
        <v>2555</v>
      </c>
      <c r="Q15" s="1799" t="str">
        <f t="shared" si="6"/>
        <v>产业集聚程度</v>
      </c>
      <c r="R15" s="773" t="s">
        <v>17</v>
      </c>
      <c r="S15" s="774">
        <f t="shared" si="0"/>
        <v>100</v>
      </c>
      <c r="T15" s="773" t="s">
        <v>17</v>
      </c>
      <c r="U15" s="774">
        <f t="shared" si="1"/>
        <v>100</v>
      </c>
      <c r="V15" s="773" t="s">
        <v>17</v>
      </c>
      <c r="W15" s="774">
        <f t="shared" si="2"/>
        <v>100</v>
      </c>
      <c r="X15" s="1802"/>
      <c r="Y15" s="3215" t="s">
        <v>2555</v>
      </c>
      <c r="Z15" s="1803" t="str">
        <f t="shared" si="7"/>
        <v>产业集聚程度</v>
      </c>
      <c r="AA15" s="1800">
        <f t="shared" si="3"/>
        <v>1</v>
      </c>
      <c r="AB15" s="1800">
        <f t="shared" si="4"/>
        <v>1</v>
      </c>
      <c r="AC15" s="1800">
        <f t="shared" si="5"/>
        <v>1</v>
      </c>
    </row>
    <row r="16" spans="1:29" ht="15">
      <c r="A16" s="427"/>
      <c r="B16" s="445"/>
      <c r="C16" s="446"/>
      <c r="D16" s="447"/>
      <c r="E16" s="446"/>
      <c r="F16" s="448"/>
      <c r="G16" s="446"/>
      <c r="H16" s="449"/>
      <c r="I16" s="446"/>
      <c r="J16" s="447"/>
      <c r="K16" s="614"/>
      <c r="L16" s="1139"/>
      <c r="M16" s="1130"/>
      <c r="N16" s="1130"/>
      <c r="O16" s="1138"/>
      <c r="P16" s="3216"/>
      <c r="Q16" s="1799"/>
      <c r="R16" s="773"/>
      <c r="S16" s="774"/>
      <c r="T16" s="773"/>
      <c r="U16" s="774"/>
      <c r="V16" s="773"/>
      <c r="W16" s="774"/>
      <c r="X16" s="1802"/>
      <c r="Y16" s="3216"/>
      <c r="Z16" s="1803"/>
      <c r="AA16" s="1800">
        <v>1</v>
      </c>
      <c r="AB16" s="1800">
        <v>1</v>
      </c>
      <c r="AC16" s="1800">
        <v>1</v>
      </c>
    </row>
    <row r="17" spans="1:29" ht="85.5">
      <c r="A17" s="427"/>
      <c r="B17" s="450" t="s">
        <v>2093</v>
      </c>
      <c r="C17" s="2594"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16"/>
      <c r="Q17" s="1799" t="str">
        <f>B17</f>
        <v>交通便捷度</v>
      </c>
      <c r="R17" s="773" t="s">
        <v>17</v>
      </c>
      <c r="S17" s="774">
        <f>F17</f>
        <v>100</v>
      </c>
      <c r="T17" s="773" t="s">
        <v>17</v>
      </c>
      <c r="U17" s="774">
        <f>H17</f>
        <v>100</v>
      </c>
      <c r="V17" s="773" t="s">
        <v>17</v>
      </c>
      <c r="W17" s="774">
        <f>J17</f>
        <v>100</v>
      </c>
      <c r="X17" s="1802"/>
      <c r="Y17" s="3216"/>
      <c r="Z17" s="1803" t="str">
        <f>Q17</f>
        <v>交通便捷度</v>
      </c>
      <c r="AA17" s="1800">
        <f t="shared" si="3"/>
        <v>1</v>
      </c>
      <c r="AB17" s="1800">
        <f t="shared" si="4"/>
        <v>1</v>
      </c>
      <c r="AC17" s="1800">
        <f t="shared" si="5"/>
        <v>1</v>
      </c>
    </row>
    <row r="18" spans="1:29" ht="15">
      <c r="A18" s="427"/>
      <c r="B18" s="455"/>
      <c r="C18" s="2595"/>
      <c r="D18" s="449"/>
      <c r="E18" s="2597"/>
      <c r="F18" s="452"/>
      <c r="G18" s="2596"/>
      <c r="H18" s="447"/>
      <c r="I18" s="2597"/>
      <c r="J18" s="447"/>
      <c r="K18" s="614"/>
      <c r="L18" s="1139"/>
      <c r="M18" s="1130"/>
      <c r="N18" s="1130"/>
      <c r="O18" s="1138"/>
      <c r="P18" s="3216"/>
      <c r="Q18" s="1799"/>
      <c r="R18" s="773"/>
      <c r="S18" s="774"/>
      <c r="T18" s="773"/>
      <c r="U18" s="774"/>
      <c r="V18" s="773"/>
      <c r="W18" s="774"/>
      <c r="X18" s="1802"/>
      <c r="Y18" s="3216"/>
      <c r="Z18" s="1803"/>
      <c r="AA18" s="1800">
        <v>1</v>
      </c>
      <c r="AB18" s="1800">
        <v>1</v>
      </c>
      <c r="AC18" s="1800">
        <v>1</v>
      </c>
    </row>
    <row r="19" spans="1:29" ht="42.75">
      <c r="A19" s="427"/>
      <c r="B19" s="450" t="s">
        <v>2683</v>
      </c>
      <c r="C19" s="2594"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16"/>
      <c r="Q19" s="1799" t="str">
        <f>B19</f>
        <v>公共配套设施</v>
      </c>
      <c r="R19" s="773" t="s">
        <v>17</v>
      </c>
      <c r="S19" s="774">
        <f>F19</f>
        <v>100</v>
      </c>
      <c r="T19" s="773" t="s">
        <v>17</v>
      </c>
      <c r="U19" s="774">
        <f>H19</f>
        <v>100</v>
      </c>
      <c r="V19" s="773" t="s">
        <v>17</v>
      </c>
      <c r="W19" s="774">
        <f>J19</f>
        <v>100</v>
      </c>
      <c r="X19" s="1802"/>
      <c r="Y19" s="3216"/>
      <c r="Z19" s="1803" t="str">
        <f>Q19</f>
        <v>公共配套设施</v>
      </c>
      <c r="AA19" s="1800">
        <f t="shared" si="3"/>
        <v>1</v>
      </c>
      <c r="AB19" s="1800">
        <f t="shared" si="4"/>
        <v>1</v>
      </c>
      <c r="AC19" s="1800">
        <f t="shared" si="5"/>
        <v>1</v>
      </c>
    </row>
    <row r="20" spans="1:29" ht="15">
      <c r="A20" s="427"/>
      <c r="B20" s="455"/>
      <c r="C20" s="446"/>
      <c r="D20" s="447"/>
      <c r="E20" s="2592"/>
      <c r="F20" s="448"/>
      <c r="G20" s="2591"/>
      <c r="H20" s="447"/>
      <c r="I20" s="2592"/>
      <c r="J20" s="447"/>
      <c r="K20" s="614"/>
      <c r="L20" s="1139"/>
      <c r="M20" s="1130"/>
      <c r="N20" s="1130"/>
      <c r="O20" s="1138"/>
      <c r="P20" s="3216"/>
      <c r="Q20" s="1799"/>
      <c r="R20" s="773"/>
      <c r="S20" s="774"/>
      <c r="T20" s="773"/>
      <c r="U20" s="774"/>
      <c r="V20" s="773"/>
      <c r="W20" s="774"/>
      <c r="X20" s="1802"/>
      <c r="Y20" s="3216"/>
      <c r="Z20" s="1803"/>
      <c r="AA20" s="1800">
        <v>1</v>
      </c>
      <c r="AB20" s="1800">
        <v>1</v>
      </c>
      <c r="AC20" s="1800">
        <v>1</v>
      </c>
    </row>
    <row r="21" spans="1:29" ht="28.5">
      <c r="A21" s="427"/>
      <c r="B21" s="1381" t="s">
        <v>2684</v>
      </c>
      <c r="C21" s="2594"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16"/>
      <c r="Q21" s="1799" t="str">
        <f>B21</f>
        <v>基础设施水平</v>
      </c>
      <c r="R21" s="773" t="s">
        <v>17</v>
      </c>
      <c r="S21" s="774">
        <f>F21</f>
        <v>100</v>
      </c>
      <c r="T21" s="773" t="s">
        <v>17</v>
      </c>
      <c r="U21" s="774">
        <f>H21</f>
        <v>100</v>
      </c>
      <c r="V21" s="773" t="s">
        <v>17</v>
      </c>
      <c r="W21" s="774">
        <f>J21</f>
        <v>100</v>
      </c>
      <c r="X21" s="1802"/>
      <c r="Y21" s="3216"/>
      <c r="Z21" s="1803" t="str">
        <f>Q21</f>
        <v>基础设施水平</v>
      </c>
      <c r="AA21" s="1800">
        <f t="shared" ref="AA21" si="8">D21/F21</f>
        <v>1</v>
      </c>
      <c r="AB21" s="1800">
        <f t="shared" ref="AB21" si="9">D21/H21</f>
        <v>1</v>
      </c>
      <c r="AC21" s="1800">
        <f t="shared" ref="AC21" si="10">D21/J21</f>
        <v>1</v>
      </c>
    </row>
    <row r="22" spans="1:29" ht="15">
      <c r="A22" s="427"/>
      <c r="B22" s="1381"/>
      <c r="C22" s="2595"/>
      <c r="D22" s="447"/>
      <c r="E22" s="446"/>
      <c r="F22" s="448"/>
      <c r="G22" s="446"/>
      <c r="H22" s="447"/>
      <c r="I22" s="446"/>
      <c r="J22" s="447"/>
      <c r="K22" s="1380"/>
      <c r="L22" s="1139"/>
      <c r="M22" s="1130"/>
      <c r="N22" s="1130"/>
      <c r="O22" s="1138"/>
      <c r="P22" s="3216"/>
      <c r="Q22" s="1799"/>
      <c r="R22" s="773"/>
      <c r="S22" s="774"/>
      <c r="T22" s="773"/>
      <c r="U22" s="774"/>
      <c r="V22" s="773"/>
      <c r="W22" s="774"/>
      <c r="X22" s="1802"/>
      <c r="Y22" s="3216"/>
      <c r="Z22" s="1803"/>
      <c r="AA22" s="1800">
        <v>1</v>
      </c>
      <c r="AB22" s="1800">
        <v>1</v>
      </c>
      <c r="AC22" s="1800">
        <v>1</v>
      </c>
    </row>
    <row r="23" spans="1:29" ht="71.25">
      <c r="A23" s="427"/>
      <c r="B23" s="450" t="s">
        <v>2685</v>
      </c>
      <c r="C23" s="2594"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16"/>
      <c r="Q23" s="1799" t="str">
        <f>B23</f>
        <v>环境质量</v>
      </c>
      <c r="R23" s="773" t="s">
        <v>17</v>
      </c>
      <c r="S23" s="774">
        <f>F23</f>
        <v>100</v>
      </c>
      <c r="T23" s="773" t="s">
        <v>17</v>
      </c>
      <c r="U23" s="774">
        <f>H23</f>
        <v>100</v>
      </c>
      <c r="V23" s="773" t="s">
        <v>17</v>
      </c>
      <c r="W23" s="774">
        <f>J23</f>
        <v>100</v>
      </c>
      <c r="X23" s="1802"/>
      <c r="Y23" s="3216"/>
      <c r="Z23" s="1803" t="str">
        <f>Q23</f>
        <v>环境质量</v>
      </c>
      <c r="AA23" s="1800">
        <f t="shared" si="3"/>
        <v>1</v>
      </c>
      <c r="AB23" s="1800">
        <f t="shared" si="4"/>
        <v>1</v>
      </c>
      <c r="AC23" s="1800">
        <f t="shared" si="5"/>
        <v>1</v>
      </c>
    </row>
    <row r="24" spans="1:29" ht="15">
      <c r="A24" s="427"/>
      <c r="B24" s="1381"/>
      <c r="C24" s="446"/>
      <c r="D24" s="447"/>
      <c r="E24" s="2592"/>
      <c r="F24" s="448"/>
      <c r="G24" s="2591"/>
      <c r="H24" s="447"/>
      <c r="I24" s="2592"/>
      <c r="J24" s="447"/>
      <c r="K24" s="614"/>
      <c r="L24" s="1139"/>
      <c r="M24" s="1130"/>
      <c r="N24" s="1130"/>
      <c r="O24" s="1138"/>
      <c r="P24" s="3216"/>
      <c r="Q24" s="1799"/>
      <c r="R24" s="773"/>
      <c r="S24" s="774"/>
      <c r="T24" s="773"/>
      <c r="U24" s="774"/>
      <c r="V24" s="773"/>
      <c r="W24" s="774"/>
      <c r="X24" s="1802"/>
      <c r="Y24" s="3216"/>
      <c r="Z24" s="1803"/>
      <c r="AA24" s="1800">
        <v>1</v>
      </c>
      <c r="AB24" s="1800">
        <v>1</v>
      </c>
      <c r="AC24" s="1800">
        <v>1</v>
      </c>
    </row>
    <row r="25" spans="1:29" ht="15">
      <c r="A25" s="403"/>
      <c r="B25" s="1383">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16"/>
      <c r="Q25" s="1799">
        <f>B25</f>
        <v>111</v>
      </c>
      <c r="R25" s="773" t="s">
        <v>17</v>
      </c>
      <c r="S25" s="774">
        <f>F25</f>
        <v>100</v>
      </c>
      <c r="T25" s="773" t="s">
        <v>17</v>
      </c>
      <c r="U25" s="774">
        <f>H25</f>
        <v>100</v>
      </c>
      <c r="V25" s="773" t="s">
        <v>17</v>
      </c>
      <c r="W25" s="774">
        <f>J25</f>
        <v>100</v>
      </c>
      <c r="X25" s="1802"/>
      <c r="Y25" s="3216"/>
      <c r="Z25" s="1803">
        <f>Q25</f>
        <v>111</v>
      </c>
      <c r="AA25" s="1800">
        <f t="shared" si="3"/>
        <v>1</v>
      </c>
      <c r="AB25" s="1800">
        <f t="shared" si="4"/>
        <v>1</v>
      </c>
      <c r="AC25" s="1800">
        <f t="shared" si="5"/>
        <v>1</v>
      </c>
    </row>
    <row r="26" spans="1:29" ht="15">
      <c r="A26" s="427"/>
      <c r="B26" s="1383">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16"/>
      <c r="Q26" s="1799">
        <f t="shared" ref="Q26:Q40" si="11">B26</f>
        <v>111</v>
      </c>
      <c r="R26" s="773" t="s">
        <v>17</v>
      </c>
      <c r="S26" s="774">
        <f>F26</f>
        <v>100</v>
      </c>
      <c r="T26" s="773" t="s">
        <v>17</v>
      </c>
      <c r="U26" s="774">
        <f>H26</f>
        <v>100</v>
      </c>
      <c r="V26" s="773" t="s">
        <v>17</v>
      </c>
      <c r="W26" s="774">
        <f>J26</f>
        <v>100</v>
      </c>
      <c r="X26" s="1802"/>
      <c r="Y26" s="3216"/>
      <c r="Z26" s="1803">
        <f>Q26</f>
        <v>111</v>
      </c>
      <c r="AA26" s="1800">
        <f t="shared" si="3"/>
        <v>1</v>
      </c>
      <c r="AB26" s="1800">
        <f t="shared" si="4"/>
        <v>1</v>
      </c>
      <c r="AC26" s="1800">
        <f t="shared" si="5"/>
        <v>1</v>
      </c>
    </row>
    <row r="27" spans="1:29" s="117" customFormat="1" ht="15">
      <c r="A27" s="430"/>
      <c r="B27" s="1383">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16"/>
      <c r="Q27" s="1784">
        <f t="shared" si="11"/>
        <v>111</v>
      </c>
      <c r="R27" s="769" t="s">
        <v>17</v>
      </c>
      <c r="S27" s="770">
        <f>F27</f>
        <v>100</v>
      </c>
      <c r="T27" s="769" t="s">
        <v>17</v>
      </c>
      <c r="U27" s="770">
        <f>H27</f>
        <v>100</v>
      </c>
      <c r="V27" s="769" t="s">
        <v>17</v>
      </c>
      <c r="W27" s="770">
        <f>J27</f>
        <v>100</v>
      </c>
      <c r="X27" s="771"/>
      <c r="Y27" s="3216"/>
      <c r="Z27" s="55">
        <f>Q27</f>
        <v>111</v>
      </c>
      <c r="AA27" s="1800">
        <f>D27/F27</f>
        <v>1</v>
      </c>
      <c r="AB27" s="1800">
        <f>D27/H27</f>
        <v>1</v>
      </c>
      <c r="AC27" s="1800">
        <f>D27/J27</f>
        <v>1</v>
      </c>
    </row>
    <row r="28" spans="1:29" ht="15.75" thickBot="1">
      <c r="A28" s="435"/>
      <c r="B28" s="1383">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16"/>
      <c r="Q28" s="1799">
        <f t="shared" si="11"/>
        <v>111</v>
      </c>
      <c r="R28" s="773" t="s">
        <v>17</v>
      </c>
      <c r="S28" s="774">
        <f t="shared" ref="S28:S40" si="12">F28</f>
        <v>100</v>
      </c>
      <c r="T28" s="773" t="s">
        <v>17</v>
      </c>
      <c r="U28" s="774">
        <f t="shared" ref="U28:U40" si="13">H28</f>
        <v>100</v>
      </c>
      <c r="V28" s="773" t="s">
        <v>17</v>
      </c>
      <c r="W28" s="774">
        <f t="shared" ref="W28:W40" si="14">J28</f>
        <v>100</v>
      </c>
      <c r="X28" s="1802"/>
      <c r="Y28" s="3216"/>
      <c r="Z28" s="1803">
        <f t="shared" ref="Z28:Z40" si="15">Q28</f>
        <v>111</v>
      </c>
      <c r="AA28" s="1800">
        <f t="shared" si="3"/>
        <v>1</v>
      </c>
      <c r="AB28" s="1800">
        <f t="shared" si="4"/>
        <v>1</v>
      </c>
      <c r="AC28" s="1800">
        <f t="shared" si="5"/>
        <v>1</v>
      </c>
    </row>
    <row r="29" spans="1:29" ht="28.5">
      <c r="A29" s="465" t="s">
        <v>2558</v>
      </c>
      <c r="B29" s="71" t="s">
        <v>2688</v>
      </c>
      <c r="C29" s="2664"/>
      <c r="D29" s="466">
        <v>100</v>
      </c>
      <c r="E29" s="2664"/>
      <c r="F29" s="460">
        <f>SUMIF(88:88,E29,89:89)-SUMIF(88:88,C29,89:89)+100</f>
        <v>100</v>
      </c>
      <c r="G29" s="2664"/>
      <c r="H29" s="434">
        <f>SUMIF(88:88,G29,89:89)-SUMIF(88:88,C29,89:89)+100</f>
        <v>100</v>
      </c>
      <c r="I29" s="2664"/>
      <c r="J29" s="466">
        <f>SUMIF(88:88,I29,89:89)-SUMIF(88:88,C29,89:89)+100</f>
        <v>100</v>
      </c>
      <c r="K29" s="611"/>
      <c r="L29" s="1139"/>
      <c r="M29" s="1130"/>
      <c r="N29" s="1130"/>
      <c r="O29" s="1138"/>
      <c r="P29" s="3273" t="s">
        <v>2560</v>
      </c>
      <c r="Q29" s="1799" t="str">
        <f t="shared" si="11"/>
        <v>建筑类型</v>
      </c>
      <c r="R29" s="773" t="s">
        <v>17</v>
      </c>
      <c r="S29" s="774">
        <f t="shared" si="12"/>
        <v>100</v>
      </c>
      <c r="T29" s="773" t="s">
        <v>17</v>
      </c>
      <c r="U29" s="774">
        <f t="shared" si="13"/>
        <v>100</v>
      </c>
      <c r="V29" s="773" t="s">
        <v>17</v>
      </c>
      <c r="W29" s="774">
        <f t="shared" si="14"/>
        <v>100</v>
      </c>
      <c r="X29" s="1802"/>
      <c r="Y29" s="3220" t="s">
        <v>2560</v>
      </c>
      <c r="Z29" s="1803" t="str">
        <f t="shared" si="15"/>
        <v>建筑类型</v>
      </c>
      <c r="AA29" s="1800">
        <f t="shared" si="3"/>
        <v>1</v>
      </c>
      <c r="AB29" s="1800">
        <f t="shared" si="4"/>
        <v>1</v>
      </c>
      <c r="AC29" s="1800">
        <f t="shared" si="5"/>
        <v>1</v>
      </c>
    </row>
    <row r="30" spans="1:29" s="470" customFormat="1" ht="15">
      <c r="A30" s="467"/>
      <c r="B30" s="421" t="s">
        <v>2561</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37"/>
      <c r="M30" s="1140"/>
      <c r="N30" s="1140"/>
      <c r="O30" s="1141"/>
      <c r="P30" s="3220"/>
      <c r="Q30" s="775" t="str">
        <f t="shared" si="11"/>
        <v>项目建筑规模</v>
      </c>
      <c r="R30" s="776" t="s">
        <v>17</v>
      </c>
      <c r="S30" s="777" t="e">
        <f t="shared" si="12"/>
        <v>#N/A</v>
      </c>
      <c r="T30" s="776" t="s">
        <v>17</v>
      </c>
      <c r="U30" s="777" t="e">
        <f t="shared" si="13"/>
        <v>#N/A</v>
      </c>
      <c r="V30" s="776" t="s">
        <v>17</v>
      </c>
      <c r="W30" s="777" t="e">
        <f t="shared" si="14"/>
        <v>#N/A</v>
      </c>
      <c r="X30" s="778"/>
      <c r="Y30" s="3220"/>
      <c r="Z30" s="779" t="str">
        <f t="shared" si="15"/>
        <v>项目建筑规模</v>
      </c>
      <c r="AA30" s="1800" t="e">
        <f t="shared" si="3"/>
        <v>#N/A</v>
      </c>
      <c r="AB30" s="1800" t="e">
        <f t="shared" si="4"/>
        <v>#N/A</v>
      </c>
      <c r="AC30" s="1800" t="e">
        <f t="shared" si="5"/>
        <v>#N/A</v>
      </c>
    </row>
    <row r="31" spans="1:29" ht="15">
      <c r="A31" s="471"/>
      <c r="B31" s="421" t="s">
        <v>2562</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20"/>
      <c r="Q31" s="1799" t="str">
        <f t="shared" si="11"/>
        <v>建筑结构</v>
      </c>
      <c r="R31" s="773" t="s">
        <v>17</v>
      </c>
      <c r="S31" s="774">
        <f t="shared" si="12"/>
        <v>100</v>
      </c>
      <c r="T31" s="773" t="s">
        <v>17</v>
      </c>
      <c r="U31" s="774">
        <f t="shared" si="13"/>
        <v>100</v>
      </c>
      <c r="V31" s="773" t="s">
        <v>17</v>
      </c>
      <c r="W31" s="774">
        <f t="shared" si="14"/>
        <v>100</v>
      </c>
      <c r="X31" s="1802"/>
      <c r="Y31" s="3220"/>
      <c r="Z31" s="1803" t="str">
        <f t="shared" si="15"/>
        <v>建筑结构</v>
      </c>
      <c r="AA31" s="1800">
        <f t="shared" si="3"/>
        <v>1</v>
      </c>
      <c r="AB31" s="1800">
        <f t="shared" si="4"/>
        <v>1</v>
      </c>
      <c r="AC31" s="1800">
        <f t="shared" si="5"/>
        <v>1</v>
      </c>
    </row>
    <row r="32" spans="1:29" ht="15">
      <c r="A32" s="471"/>
      <c r="B32" s="421" t="s">
        <v>2656</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20"/>
      <c r="Q32" s="1799" t="str">
        <f t="shared" si="11"/>
        <v>公共部分装修</v>
      </c>
      <c r="R32" s="773" t="s">
        <v>17</v>
      </c>
      <c r="S32" s="774">
        <f t="shared" si="12"/>
        <v>100</v>
      </c>
      <c r="T32" s="773" t="s">
        <v>17</v>
      </c>
      <c r="U32" s="774">
        <f t="shared" si="13"/>
        <v>100</v>
      </c>
      <c r="V32" s="773" t="s">
        <v>17</v>
      </c>
      <c r="W32" s="774">
        <f t="shared" si="14"/>
        <v>100</v>
      </c>
      <c r="X32" s="1802"/>
      <c r="Y32" s="3220"/>
      <c r="Z32" s="1803" t="str">
        <f t="shared" si="15"/>
        <v>公共部分装修</v>
      </c>
      <c r="AA32" s="1800">
        <f t="shared" si="3"/>
        <v>1</v>
      </c>
      <c r="AB32" s="1800">
        <f t="shared" si="4"/>
        <v>1</v>
      </c>
      <c r="AC32" s="1800">
        <f t="shared" si="5"/>
        <v>1</v>
      </c>
    </row>
    <row r="33" spans="1:29" ht="15">
      <c r="A33" s="471"/>
      <c r="B33" s="421" t="s">
        <v>2657</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20"/>
      <c r="Q33" s="1799" t="str">
        <f t="shared" si="11"/>
        <v>成新度</v>
      </c>
      <c r="R33" s="773" t="s">
        <v>17</v>
      </c>
      <c r="S33" s="774" t="e">
        <f t="shared" si="12"/>
        <v>#N/A</v>
      </c>
      <c r="T33" s="773" t="s">
        <v>17</v>
      </c>
      <c r="U33" s="774" t="e">
        <f t="shared" si="13"/>
        <v>#N/A</v>
      </c>
      <c r="V33" s="773" t="s">
        <v>17</v>
      </c>
      <c r="W33" s="774" t="e">
        <f t="shared" si="14"/>
        <v>#N/A</v>
      </c>
      <c r="X33" s="1802"/>
      <c r="Y33" s="3220"/>
      <c r="Z33" s="1803" t="str">
        <f t="shared" si="15"/>
        <v>成新度</v>
      </c>
      <c r="AA33" s="1800" t="e">
        <f t="shared" si="3"/>
        <v>#N/A</v>
      </c>
      <c r="AB33" s="1800" t="e">
        <f t="shared" si="4"/>
        <v>#N/A</v>
      </c>
      <c r="AC33" s="1800" t="e">
        <f t="shared" si="5"/>
        <v>#N/A</v>
      </c>
    </row>
    <row r="34" spans="1:29" s="117" customFormat="1" ht="15">
      <c r="A34" s="472"/>
      <c r="B34" s="421" t="s">
        <v>2690</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20"/>
      <c r="Q34" s="1784" t="str">
        <f t="shared" si="11"/>
        <v>物业管理</v>
      </c>
      <c r="R34" s="769" t="s">
        <v>17</v>
      </c>
      <c r="S34" s="770">
        <f t="shared" si="12"/>
        <v>100</v>
      </c>
      <c r="T34" s="769" t="s">
        <v>17</v>
      </c>
      <c r="U34" s="770">
        <f t="shared" si="13"/>
        <v>100</v>
      </c>
      <c r="V34" s="769" t="s">
        <v>17</v>
      </c>
      <c r="W34" s="770">
        <f t="shared" si="14"/>
        <v>100</v>
      </c>
      <c r="X34" s="771"/>
      <c r="Y34" s="3220"/>
      <c r="Z34" s="55" t="str">
        <f t="shared" si="15"/>
        <v>物业管理</v>
      </c>
      <c r="AA34" s="772">
        <f t="shared" si="3"/>
        <v>1</v>
      </c>
      <c r="AB34" s="772">
        <f t="shared" si="4"/>
        <v>1</v>
      </c>
      <c r="AC34" s="772">
        <f t="shared" si="5"/>
        <v>1</v>
      </c>
    </row>
    <row r="35" spans="1:29" ht="15">
      <c r="A35" s="471"/>
      <c r="B35" s="421" t="s">
        <v>2658</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20" t="s">
        <v>2560</v>
      </c>
      <c r="Q35" s="1799" t="str">
        <f t="shared" si="11"/>
        <v>市政基础设施</v>
      </c>
      <c r="R35" s="773" t="s">
        <v>17</v>
      </c>
      <c r="S35" s="774">
        <f t="shared" si="12"/>
        <v>100</v>
      </c>
      <c r="T35" s="773" t="s">
        <v>17</v>
      </c>
      <c r="U35" s="774">
        <f t="shared" si="13"/>
        <v>100</v>
      </c>
      <c r="V35" s="773" t="s">
        <v>17</v>
      </c>
      <c r="W35" s="774">
        <f t="shared" si="14"/>
        <v>100</v>
      </c>
      <c r="X35" s="1802"/>
      <c r="Y35" s="3220" t="s">
        <v>2560</v>
      </c>
      <c r="Z35" s="1803" t="str">
        <f t="shared" si="15"/>
        <v>市政基础设施</v>
      </c>
      <c r="AA35" s="1800">
        <f t="shared" si="3"/>
        <v>1</v>
      </c>
      <c r="AB35" s="1800">
        <f t="shared" si="4"/>
        <v>1</v>
      </c>
      <c r="AC35" s="1800">
        <f t="shared" si="5"/>
        <v>1</v>
      </c>
    </row>
    <row r="36" spans="1:29" ht="15">
      <c r="A36" s="471"/>
      <c r="B36" s="421" t="s">
        <v>2663</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20"/>
      <c r="Q36" s="1799" t="str">
        <f t="shared" si="11"/>
        <v>内部装修</v>
      </c>
      <c r="R36" s="773" t="s">
        <v>17</v>
      </c>
      <c r="S36" s="774">
        <f t="shared" si="12"/>
        <v>100</v>
      </c>
      <c r="T36" s="773" t="s">
        <v>17</v>
      </c>
      <c r="U36" s="774">
        <f t="shared" si="13"/>
        <v>100</v>
      </c>
      <c r="V36" s="773" t="s">
        <v>17</v>
      </c>
      <c r="W36" s="774">
        <f t="shared" si="14"/>
        <v>100</v>
      </c>
      <c r="X36" s="1802"/>
      <c r="Y36" s="3220"/>
      <c r="Z36" s="1803" t="str">
        <f t="shared" si="15"/>
        <v>内部装修</v>
      </c>
      <c r="AA36" s="1800">
        <f t="shared" si="3"/>
        <v>1</v>
      </c>
      <c r="AB36" s="1800">
        <f t="shared" si="4"/>
        <v>1</v>
      </c>
      <c r="AC36" s="1800">
        <f t="shared" si="5"/>
        <v>1</v>
      </c>
    </row>
    <row r="37" spans="1:29" ht="15">
      <c r="A37" s="471"/>
      <c r="B37" s="421" t="s">
        <v>2699</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20"/>
      <c r="Q37" s="1799" t="str">
        <f t="shared" si="11"/>
        <v>内部装修状况</v>
      </c>
      <c r="R37" s="773" t="s">
        <v>17</v>
      </c>
      <c r="S37" s="774">
        <f t="shared" si="12"/>
        <v>100</v>
      </c>
      <c r="T37" s="773" t="s">
        <v>17</v>
      </c>
      <c r="U37" s="774">
        <f t="shared" si="13"/>
        <v>100</v>
      </c>
      <c r="V37" s="773" t="s">
        <v>17</v>
      </c>
      <c r="W37" s="774">
        <f t="shared" si="14"/>
        <v>100</v>
      </c>
      <c r="X37" s="1802"/>
      <c r="Y37" s="3220"/>
      <c r="Z37" s="1803" t="str">
        <f t="shared" si="15"/>
        <v>内部装修状况</v>
      </c>
      <c r="AA37" s="1800">
        <f t="shared" si="3"/>
        <v>1</v>
      </c>
      <c r="AB37" s="1800">
        <f t="shared" si="4"/>
        <v>1</v>
      </c>
      <c r="AC37" s="1800">
        <f t="shared" si="5"/>
        <v>1</v>
      </c>
    </row>
    <row r="38" spans="1:29" s="470" customFormat="1" ht="15">
      <c r="A38" s="467"/>
      <c r="B38" s="1383">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20"/>
      <c r="Q38" s="775">
        <f t="shared" si="11"/>
        <v>111</v>
      </c>
      <c r="R38" s="776" t="s">
        <v>17</v>
      </c>
      <c r="S38" s="777">
        <f t="shared" si="12"/>
        <v>100</v>
      </c>
      <c r="T38" s="776" t="s">
        <v>17</v>
      </c>
      <c r="U38" s="777">
        <f t="shared" si="13"/>
        <v>100</v>
      </c>
      <c r="V38" s="776" t="s">
        <v>17</v>
      </c>
      <c r="W38" s="777">
        <f t="shared" si="14"/>
        <v>100</v>
      </c>
      <c r="X38" s="778"/>
      <c r="Y38" s="3220"/>
      <c r="Z38" s="779">
        <f t="shared" si="15"/>
        <v>111</v>
      </c>
      <c r="AA38" s="1800">
        <f t="shared" si="3"/>
        <v>1</v>
      </c>
      <c r="AB38" s="1800">
        <f t="shared" si="4"/>
        <v>1</v>
      </c>
      <c r="AC38" s="1800">
        <f t="shared" si="5"/>
        <v>1</v>
      </c>
    </row>
    <row r="39" spans="1:29" ht="15">
      <c r="A39" s="471"/>
      <c r="B39" s="1383">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20"/>
      <c r="Q39" s="1799">
        <f t="shared" si="11"/>
        <v>111</v>
      </c>
      <c r="R39" s="773" t="s">
        <v>17</v>
      </c>
      <c r="S39" s="774">
        <f t="shared" si="12"/>
        <v>100</v>
      </c>
      <c r="T39" s="773" t="s">
        <v>17</v>
      </c>
      <c r="U39" s="774">
        <f t="shared" si="13"/>
        <v>100</v>
      </c>
      <c r="V39" s="773" t="s">
        <v>17</v>
      </c>
      <c r="W39" s="774">
        <f t="shared" si="14"/>
        <v>100</v>
      </c>
      <c r="X39" s="1802"/>
      <c r="Y39" s="3220"/>
      <c r="Z39" s="1803">
        <f t="shared" si="15"/>
        <v>111</v>
      </c>
      <c r="AA39" s="1800">
        <f t="shared" si="3"/>
        <v>1</v>
      </c>
      <c r="AB39" s="1800">
        <f t="shared" si="4"/>
        <v>1</v>
      </c>
      <c r="AC39" s="1800">
        <f t="shared" si="5"/>
        <v>1</v>
      </c>
    </row>
    <row r="40" spans="1:29" ht="15.75" thickBot="1">
      <c r="A40" s="477"/>
      <c r="B40" s="2589">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21"/>
      <c r="Q40" s="1799">
        <f t="shared" si="11"/>
        <v>111</v>
      </c>
      <c r="R40" s="773" t="s">
        <v>17</v>
      </c>
      <c r="S40" s="774">
        <f t="shared" si="12"/>
        <v>100</v>
      </c>
      <c r="T40" s="773" t="s">
        <v>17</v>
      </c>
      <c r="U40" s="774">
        <f t="shared" si="13"/>
        <v>100</v>
      </c>
      <c r="V40" s="773" t="s">
        <v>17</v>
      </c>
      <c r="W40" s="774">
        <f t="shared" si="14"/>
        <v>100</v>
      </c>
      <c r="X40" s="1802"/>
      <c r="Y40" s="3221"/>
      <c r="Z40" s="1803">
        <f t="shared" si="15"/>
        <v>111</v>
      </c>
      <c r="AA40" s="1800">
        <f t="shared" si="3"/>
        <v>1</v>
      </c>
      <c r="AB40" s="1800">
        <f t="shared" si="4"/>
        <v>1</v>
      </c>
      <c r="AC40" s="1800">
        <f t="shared" si="5"/>
        <v>1</v>
      </c>
    </row>
    <row r="41" spans="1:29" ht="15">
      <c r="A41" s="478" t="s">
        <v>2572</v>
      </c>
      <c r="B41" s="479"/>
      <c r="C41" s="1404" t="s">
        <v>1</v>
      </c>
      <c r="D41" s="1405"/>
      <c r="E41" s="1406"/>
      <c r="F41" s="1407"/>
      <c r="G41" s="1408"/>
      <c r="H41" s="1409"/>
      <c r="I41" s="1406"/>
      <c r="J41" s="1409"/>
      <c r="K41" s="782"/>
      <c r="L41" s="1142"/>
      <c r="M41" s="1143"/>
      <c r="N41" s="1130"/>
      <c r="O41" s="1143"/>
      <c r="P41" s="3208" t="str">
        <f>A41</f>
        <v>成交单价（元/平方米）</v>
      </c>
      <c r="Q41" s="3208"/>
      <c r="R41" s="3209">
        <f>E41</f>
        <v>0</v>
      </c>
      <c r="S41" s="3209"/>
      <c r="T41" s="3209">
        <f>G41</f>
        <v>0</v>
      </c>
      <c r="U41" s="3209"/>
      <c r="V41" s="3209">
        <f>I41</f>
        <v>0</v>
      </c>
      <c r="W41" s="3209"/>
      <c r="X41" s="758"/>
      <c r="Y41" s="780"/>
      <c r="Z41" s="758"/>
      <c r="AA41" s="758"/>
      <c r="AB41" s="758"/>
      <c r="AC41" s="758"/>
    </row>
    <row r="42" spans="1:29" ht="15.75" thickBot="1">
      <c r="A42" s="485" t="s">
        <v>2664</v>
      </c>
      <c r="B42" s="486"/>
      <c r="C42" s="1410" t="e">
        <f>R43</f>
        <v>#DIV/0!</v>
      </c>
      <c r="D42" s="1411"/>
      <c r="E42" s="1412" t="e">
        <f>R42</f>
        <v>#DIV/0!</v>
      </c>
      <c r="F42" s="1412"/>
      <c r="G42" s="1410" t="e">
        <f>T42</f>
        <v>#DIV/0!</v>
      </c>
      <c r="H42" s="1411"/>
      <c r="I42" s="1412" t="e">
        <f>V42</f>
        <v>#DIV/0!</v>
      </c>
      <c r="J42" s="1411"/>
      <c r="K42" s="783"/>
      <c r="L42" s="1142"/>
      <c r="M42" s="1143"/>
      <c r="N42" s="1130"/>
      <c r="O42" s="1143"/>
      <c r="P42" s="3208" t="str">
        <f>A42</f>
        <v>比较价值（元/平方米）</v>
      </c>
      <c r="Q42" s="3208"/>
      <c r="R42" s="3209" t="e">
        <f>IF(F1="售价",ROUND(PRODUCT(R41,AA7:AA40),0),ROUND(PRODUCT(R41,AA7:AA40),1))</f>
        <v>#DIV/0!</v>
      </c>
      <c r="S42" s="3209"/>
      <c r="T42" s="3209" t="e">
        <f>IF(F1="售价",ROUND(PRODUCT(T41,AB7:AB40),0),ROUND(PRODUCT(T41,AB7:AB40),1))</f>
        <v>#DIV/0!</v>
      </c>
      <c r="U42" s="3209"/>
      <c r="V42" s="3209" t="e">
        <f>IF(F1="售价",ROUND(PRODUCT(V41,AC7:AC40),0),ROUND(PRODUCT(V41,AC7:AC40),1))</f>
        <v>#DIV/0!</v>
      </c>
      <c r="W42" s="3209"/>
      <c r="X42" s="758"/>
      <c r="Y42" s="758"/>
      <c r="Z42" s="758"/>
      <c r="AA42" s="758"/>
      <c r="AB42" s="758"/>
      <c r="AC42" s="758"/>
    </row>
    <row r="43" spans="1:29" ht="15.75" thickBot="1">
      <c r="A43" s="491" t="s">
        <v>2665</v>
      </c>
      <c r="B43" s="492"/>
      <c r="C43" s="1414" t="e">
        <f>R43</f>
        <v>#DIV/0!</v>
      </c>
      <c r="D43" s="1414"/>
      <c r="E43" s="1414"/>
      <c r="F43" s="1414"/>
      <c r="G43" s="1414"/>
      <c r="H43" s="1414"/>
      <c r="I43" s="1414"/>
      <c r="J43" s="1414"/>
      <c r="K43" s="784"/>
      <c r="L43" s="1142"/>
      <c r="M43" s="1143"/>
      <c r="N43" s="1143"/>
      <c r="O43" s="1143"/>
      <c r="P43" s="3210" t="str">
        <f>A43</f>
        <v>估价对象XX用房的比较价值（楼面单价，元/平方米）</v>
      </c>
      <c r="Q43" s="3211"/>
      <c r="R43" s="3212" t="e">
        <f>IF(F1="售价",ROUND(AVERAGE(R42:V42),0),ROUND(AVERAGE(R42:V42),1))</f>
        <v>#DIV/0!</v>
      </c>
      <c r="S43" s="3212"/>
      <c r="T43" s="3212"/>
      <c r="U43" s="3212"/>
      <c r="V43" s="3212"/>
      <c r="W43" s="3212"/>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2666</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2667</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2668</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2669</v>
      </c>
      <c r="B51" s="758"/>
      <c r="C51" s="763"/>
      <c r="D51" s="763"/>
      <c r="E51" s="763"/>
      <c r="F51" s="764"/>
      <c r="G51" s="764"/>
      <c r="H51" s="763"/>
      <c r="I51" s="763"/>
      <c r="J51" s="763"/>
      <c r="K51" s="1159"/>
      <c r="L51" s="1160"/>
      <c r="M51" s="1158"/>
      <c r="N51" s="1158"/>
      <c r="O51" s="1158"/>
      <c r="P51" s="502"/>
      <c r="Q51" s="503"/>
    </row>
    <row r="52" spans="1:17" s="507" customFormat="1" ht="15">
      <c r="A52" s="504" t="s">
        <v>2543</v>
      </c>
      <c r="B52" s="505"/>
      <c r="C52" s="1571" t="str">
        <f>YEAR(C7)&amp;"-"&amp;MONTH(C7)</f>
        <v>2020-5</v>
      </c>
      <c r="D52" s="1572">
        <f>EDATE(C52,-1)</f>
        <v>43922</v>
      </c>
      <c r="E52" s="1572">
        <f t="shared" ref="E52:O52" si="16">EDATE(D52,-1)</f>
        <v>43891</v>
      </c>
      <c r="F52" s="1572">
        <f t="shared" si="16"/>
        <v>43862</v>
      </c>
      <c r="G52" s="1572">
        <f t="shared" si="16"/>
        <v>43831</v>
      </c>
      <c r="H52" s="1572">
        <f t="shared" si="16"/>
        <v>43800</v>
      </c>
      <c r="I52" s="1572">
        <f t="shared" si="16"/>
        <v>43770</v>
      </c>
      <c r="J52" s="1572">
        <f t="shared" si="16"/>
        <v>43739</v>
      </c>
      <c r="K52" s="1572">
        <f t="shared" si="16"/>
        <v>43709</v>
      </c>
      <c r="L52" s="1572">
        <f t="shared" si="16"/>
        <v>43678</v>
      </c>
      <c r="M52" s="1572">
        <f t="shared" si="16"/>
        <v>43647</v>
      </c>
      <c r="N52" s="1572">
        <f t="shared" si="16"/>
        <v>43617</v>
      </c>
      <c r="O52" s="1572">
        <f t="shared" si="16"/>
        <v>43586</v>
      </c>
      <c r="P52" s="506"/>
    </row>
    <row r="53" spans="1:17" s="117" customFormat="1" ht="15">
      <c r="A53" s="508"/>
      <c r="B53" s="509"/>
      <c r="C53" s="1570">
        <v>100</v>
      </c>
      <c r="D53" s="511"/>
      <c r="E53" s="511"/>
      <c r="F53" s="511"/>
      <c r="G53" s="511"/>
      <c r="H53" s="511"/>
      <c r="I53" s="511"/>
      <c r="J53" s="511"/>
      <c r="K53" s="511"/>
      <c r="L53" s="511"/>
      <c r="M53" s="512"/>
      <c r="N53" s="511"/>
      <c r="O53" s="513"/>
      <c r="P53" s="503"/>
    </row>
    <row r="54" spans="1:17" s="117" customFormat="1" ht="15.75" thickBot="1">
      <c r="A54" s="514" t="s">
        <v>2580</v>
      </c>
      <c r="B54" s="515"/>
      <c r="C54" s="516"/>
      <c r="D54" s="517"/>
      <c r="E54" s="517"/>
      <c r="F54" s="517"/>
      <c r="G54" s="517"/>
      <c r="H54" s="517"/>
      <c r="I54" s="517"/>
      <c r="J54" s="517"/>
      <c r="K54" s="517"/>
      <c r="L54" s="517"/>
      <c r="M54" s="518"/>
      <c r="N54" s="517"/>
      <c r="O54" s="519"/>
      <c r="P54" s="503"/>
      <c r="Q54" s="503"/>
    </row>
    <row r="55" spans="1:17" s="117" customFormat="1" ht="15">
      <c r="A55" s="520" t="s">
        <v>2545</v>
      </c>
      <c r="B55" s="509"/>
      <c r="C55" s="521" t="s">
        <v>2647</v>
      </c>
      <c r="D55" s="522"/>
      <c r="E55" s="522"/>
      <c r="F55" s="522"/>
      <c r="G55" s="522"/>
      <c r="H55" s="522"/>
      <c r="I55" s="522"/>
      <c r="J55" s="522"/>
      <c r="K55" s="522"/>
      <c r="L55" s="523"/>
      <c r="M55" s="524"/>
      <c r="N55" s="1150"/>
      <c r="O55" s="1150"/>
      <c r="P55" s="525"/>
      <c r="Q55" s="503"/>
    </row>
    <row r="56" spans="1:17" s="117"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2583</v>
      </c>
      <c r="B57" s="527" t="s">
        <v>2549</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2552</v>
      </c>
      <c r="C59" s="538" t="s">
        <v>2584</v>
      </c>
      <c r="D59" s="538" t="s">
        <v>2585</v>
      </c>
      <c r="E59" s="538" t="s">
        <v>2586</v>
      </c>
      <c r="F59" s="538" t="s">
        <v>2587</v>
      </c>
      <c r="G59" s="538" t="s">
        <v>2588</v>
      </c>
      <c r="H59" s="538" t="s">
        <v>2589</v>
      </c>
      <c r="I59" s="538" t="s">
        <v>2590</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2553</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2554</v>
      </c>
      <c r="B70" s="527" t="s">
        <v>2700</v>
      </c>
      <c r="C70" s="572" t="s">
        <v>2592</v>
      </c>
      <c r="D70" s="572" t="s">
        <v>2593</v>
      </c>
      <c r="E70" s="572" t="s">
        <v>2594</v>
      </c>
      <c r="F70" s="572" t="s">
        <v>2595</v>
      </c>
      <c r="G70" s="572" t="s">
        <v>2596</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2597</v>
      </c>
      <c r="C72" s="577" t="s">
        <v>2592</v>
      </c>
      <c r="D72" s="577" t="s">
        <v>2593</v>
      </c>
      <c r="E72" s="577" t="s">
        <v>2594</v>
      </c>
      <c r="F72" s="577" t="s">
        <v>2595</v>
      </c>
      <c r="G72" s="577" t="s">
        <v>2596</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2598</v>
      </c>
      <c r="C74" s="577" t="s">
        <v>2592</v>
      </c>
      <c r="D74" s="577" t="s">
        <v>2593</v>
      </c>
      <c r="E74" s="577" t="s">
        <v>2594</v>
      </c>
      <c r="F74" s="577" t="s">
        <v>2595</v>
      </c>
      <c r="G74" s="577" t="s">
        <v>2596</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2684</v>
      </c>
      <c r="C76" s="659" t="s">
        <v>2670</v>
      </c>
      <c r="D76" s="659" t="s">
        <v>2671</v>
      </c>
      <c r="E76" s="659" t="s">
        <v>2672</v>
      </c>
      <c r="F76" s="659" t="s">
        <v>2673</v>
      </c>
      <c r="G76" s="659" t="s">
        <v>2674</v>
      </c>
      <c r="H76" s="538"/>
      <c r="I76" s="538"/>
      <c r="J76" s="538"/>
      <c r="K76" s="538"/>
      <c r="L76" s="538"/>
      <c r="M76" s="1379"/>
      <c r="N76" s="1152"/>
      <c r="O76" s="1152"/>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75" thickTop="1">
      <c r="A78" s="533"/>
      <c r="B78" s="537" t="s">
        <v>2693</v>
      </c>
      <c r="C78" s="577" t="s">
        <v>2592</v>
      </c>
      <c r="D78" s="577" t="s">
        <v>2593</v>
      </c>
      <c r="E78" s="577" t="s">
        <v>2594</v>
      </c>
      <c r="F78" s="577" t="s">
        <v>2595</v>
      </c>
      <c r="G78" s="577" t="s">
        <v>2596</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5.75" thickTop="1">
      <c r="A80" s="578"/>
      <c r="B80" s="537">
        <f>B25</f>
        <v>111</v>
      </c>
      <c r="C80" s="553"/>
      <c r="D80" s="553"/>
      <c r="E80" s="553"/>
      <c r="F80" s="553"/>
      <c r="G80" s="553"/>
      <c r="H80" s="553"/>
      <c r="I80" s="553"/>
      <c r="J80" s="553"/>
      <c r="K80" s="553"/>
      <c r="L80" s="579"/>
      <c r="M80" s="580"/>
      <c r="N80" s="1150"/>
      <c r="O80" s="1150"/>
      <c r="P80" s="45"/>
      <c r="Q80" s="503"/>
    </row>
    <row r="81" spans="1:17" s="117" customFormat="1" ht="15.75" thickBot="1">
      <c r="A81" s="578"/>
      <c r="B81" s="542"/>
      <c r="C81" s="559"/>
      <c r="D81" s="535"/>
      <c r="E81" s="535"/>
      <c r="F81" s="535"/>
      <c r="G81" s="535"/>
      <c r="H81" s="535"/>
      <c r="I81" s="535"/>
      <c r="J81" s="535"/>
      <c r="K81" s="535"/>
      <c r="L81" s="535"/>
      <c r="M81" s="536"/>
      <c r="N81" s="1152"/>
      <c r="O81" s="1152"/>
      <c r="P81" s="45"/>
      <c r="Q81" s="503"/>
    </row>
    <row r="82" spans="1:17" s="117" customFormat="1" ht="15.75" thickTop="1">
      <c r="A82" s="578"/>
      <c r="B82" s="537">
        <f>B26</f>
        <v>111</v>
      </c>
      <c r="C82" s="553"/>
      <c r="D82" s="553"/>
      <c r="E82" s="553"/>
      <c r="F82" s="553"/>
      <c r="G82" s="553"/>
      <c r="H82" s="553"/>
      <c r="I82" s="553"/>
      <c r="J82" s="553"/>
      <c r="K82" s="553"/>
      <c r="L82" s="579"/>
      <c r="M82" s="580"/>
      <c r="N82" s="1150"/>
      <c r="O82" s="1150"/>
      <c r="P82" s="45"/>
      <c r="Q82" s="503"/>
    </row>
    <row r="83" spans="1:17" s="117"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21"/>
      <c r="B87" s="568"/>
      <c r="C87" s="569"/>
      <c r="D87" s="569"/>
      <c r="E87" s="569"/>
      <c r="F87" s="569"/>
      <c r="G87" s="590"/>
      <c r="H87" s="590"/>
      <c r="I87" s="590"/>
      <c r="J87" s="590"/>
      <c r="K87" s="590"/>
      <c r="L87" s="590"/>
      <c r="M87" s="591"/>
      <c r="N87" s="1152"/>
      <c r="O87" s="1152"/>
      <c r="P87" s="45"/>
      <c r="Q87" s="503"/>
    </row>
    <row r="88" spans="1:17">
      <c r="A88" s="526" t="s">
        <v>2558</v>
      </c>
      <c r="B88" s="527" t="s">
        <v>2607</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2608</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2609</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2611</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1991</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2612</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2613</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2615</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5" t="s">
        <v>2701</v>
      </c>
      <c r="C106" s="577" t="s">
        <v>2592</v>
      </c>
      <c r="D106" s="577" t="s">
        <v>2593</v>
      </c>
      <c r="E106" s="577" t="s">
        <v>2594</v>
      </c>
      <c r="F106" s="577" t="s">
        <v>2595</v>
      </c>
      <c r="G106" s="577" t="s">
        <v>2596</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21"/>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26" sqref="G2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2702</v>
      </c>
      <c r="B1" s="1616"/>
      <c r="C1" s="1617" t="s">
        <v>2525</v>
      </c>
      <c r="D1" s="1618"/>
      <c r="E1" s="1619"/>
      <c r="F1" s="2571"/>
      <c r="G1" s="1620" t="s">
        <v>2638</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7" customFormat="1" ht="28.5" customHeight="1" thickTop="1">
      <c r="A2" s="1614" t="s">
        <v>2325</v>
      </c>
      <c r="B2" s="1415" t="e">
        <f ca="1">IF(C2="——",IF(B37="元/平方米",ROUND(C39*D3/10000,0),ROUND(F3*C39/10000,0)),IF(B37="元/平方米",ROUND(C39*D3/10000,0),ROUND(F3*C39/10000,0))-D2)</f>
        <v>#DIV/0!</v>
      </c>
      <c r="C2" s="2573"/>
      <c r="D2" s="1123" t="e">
        <f ca="1">SUMIF(INDIRECT("'"&amp;F2&amp;"'"&amp;"!A:A"),"承租人权益价值",INDIRECT("'"&amp;F2&amp;"'"&amp;"!c:c"))</f>
        <v>#REF!</v>
      </c>
      <c r="E2" s="2574" t="s">
        <v>2326</v>
      </c>
      <c r="F2" s="2575"/>
      <c r="G2" s="1124"/>
      <c r="H2" s="1124"/>
      <c r="I2" s="1124"/>
      <c r="J2" s="1124"/>
      <c r="K2" s="1126"/>
      <c r="L2" s="1127"/>
      <c r="M2" s="1128"/>
      <c r="N2" s="1128"/>
      <c r="O2" s="1128"/>
      <c r="P2" s="1416"/>
      <c r="Q2" s="767"/>
      <c r="R2" s="767"/>
      <c r="S2" s="767"/>
      <c r="T2" s="767"/>
      <c r="U2" s="767"/>
      <c r="V2" s="767"/>
      <c r="W2" s="767"/>
      <c r="X2" s="767"/>
      <c r="Y2" s="767"/>
      <c r="Z2" s="767"/>
      <c r="AA2" s="767"/>
      <c r="AB2" s="767"/>
      <c r="AC2" s="768"/>
    </row>
    <row r="3" spans="1:29" s="397" customFormat="1" ht="28.5" customHeight="1" thickBot="1">
      <c r="A3" s="247" t="s">
        <v>2327</v>
      </c>
      <c r="B3" s="608" t="e">
        <f ca="1">IF(AND(C2="——",B37="元/平方米"),C39,ROUND(B2*10000/D3,0))</f>
        <v>#DIV/0!</v>
      </c>
      <c r="C3" s="399" t="s">
        <v>2639</v>
      </c>
      <c r="D3" s="398">
        <f>SUMIF('数据-汇总表'!$C19:$C33,D1,'数据-汇总表'!$E19:$E33)</f>
        <v>0</v>
      </c>
      <c r="E3" s="399" t="s">
        <v>2703</v>
      </c>
      <c r="F3" s="398">
        <f>SUMIF('数据-取费表'!A5:A15,D1,'数据-取费表'!AH5:AH15)</f>
        <v>0</v>
      </c>
      <c r="G3" s="1124"/>
      <c r="H3" s="1124"/>
      <c r="I3" s="1124"/>
      <c r="J3" s="1124"/>
      <c r="K3" s="1126"/>
      <c r="L3" s="1127"/>
      <c r="M3" s="1128"/>
      <c r="N3" s="1128"/>
      <c r="O3" s="1128"/>
      <c r="P3" s="1416"/>
      <c r="Q3" s="767"/>
      <c r="R3" s="767"/>
      <c r="S3" s="767"/>
      <c r="T3" s="767"/>
      <c r="U3" s="767"/>
      <c r="V3" s="767"/>
      <c r="W3" s="767"/>
      <c r="X3" s="767"/>
      <c r="Y3" s="767"/>
      <c r="Z3" s="767"/>
      <c r="AA3" s="767"/>
      <c r="AB3" s="785"/>
      <c r="AC3" s="781"/>
    </row>
    <row r="4" spans="1:29" ht="15">
      <c r="A4" s="400" t="s">
        <v>2640</v>
      </c>
      <c r="B4" s="401"/>
      <c r="C4" s="3236" t="s">
        <v>2641</v>
      </c>
      <c r="D4" s="3237"/>
      <c r="E4" s="3238" t="s">
        <v>2642</v>
      </c>
      <c r="F4" s="3239"/>
      <c r="G4" s="3236" t="s">
        <v>2643</v>
      </c>
      <c r="H4" s="3237"/>
      <c r="I4" s="3236" t="s">
        <v>2644</v>
      </c>
      <c r="J4" s="3237"/>
      <c r="K4" s="609" t="s">
        <v>2645</v>
      </c>
      <c r="L4" s="1129"/>
      <c r="M4" s="1130"/>
      <c r="N4" s="1130"/>
      <c r="O4" s="1130"/>
      <c r="P4" s="3240" t="s">
        <v>2646</v>
      </c>
      <c r="Q4" s="3241"/>
      <c r="R4" s="3226" t="s">
        <v>2642</v>
      </c>
      <c r="S4" s="3227"/>
      <c r="T4" s="3226" t="s">
        <v>2643</v>
      </c>
      <c r="U4" s="3227"/>
      <c r="V4" s="3225" t="s">
        <v>2644</v>
      </c>
      <c r="W4" s="3225"/>
      <c r="X4" s="1802"/>
      <c r="Y4" s="3226" t="s">
        <v>2646</v>
      </c>
      <c r="Z4" s="3227"/>
      <c r="AA4" s="3232" t="s">
        <v>2642</v>
      </c>
      <c r="AB4" s="3233" t="s">
        <v>2643</v>
      </c>
      <c r="AC4" s="3232" t="s">
        <v>2644</v>
      </c>
    </row>
    <row r="5" spans="1:29" ht="15">
      <c r="A5" s="403"/>
      <c r="B5" s="404"/>
      <c r="C5" s="3256" t="s">
        <v>2537</v>
      </c>
      <c r="D5" s="3247"/>
      <c r="E5" s="3255" t="s">
        <v>2538</v>
      </c>
      <c r="F5" s="3249"/>
      <c r="G5" s="3256" t="s">
        <v>2539</v>
      </c>
      <c r="H5" s="3247"/>
      <c r="I5" s="3256" t="s">
        <v>2540</v>
      </c>
      <c r="J5" s="3247"/>
      <c r="K5" s="609"/>
      <c r="L5" s="1129"/>
      <c r="M5" s="1130"/>
      <c r="N5" s="1130"/>
      <c r="O5" s="1130"/>
      <c r="P5" s="3242"/>
      <c r="Q5" s="3243"/>
      <c r="R5" s="3228"/>
      <c r="S5" s="3229"/>
      <c r="T5" s="3228"/>
      <c r="U5" s="3229"/>
      <c r="V5" s="3225"/>
      <c r="W5" s="3225"/>
      <c r="X5" s="1802"/>
      <c r="Y5" s="3228"/>
      <c r="Z5" s="3229"/>
      <c r="AA5" s="3233"/>
      <c r="AB5" s="3233"/>
      <c r="AC5" s="3233"/>
    </row>
    <row r="6" spans="1:29" ht="15.75" thickBot="1">
      <c r="A6" s="405"/>
      <c r="B6" s="406"/>
      <c r="C6" s="3254" t="s">
        <v>2541</v>
      </c>
      <c r="D6" s="3251"/>
      <c r="E6" s="3257" t="s">
        <v>2541</v>
      </c>
      <c r="F6" s="3253"/>
      <c r="G6" s="3254" t="s">
        <v>2541</v>
      </c>
      <c r="H6" s="3251"/>
      <c r="I6" s="3254" t="s">
        <v>2541</v>
      </c>
      <c r="J6" s="3251"/>
      <c r="K6" s="609" t="s">
        <v>2542</v>
      </c>
      <c r="L6" s="1129"/>
      <c r="M6" s="1130"/>
      <c r="N6" s="1130"/>
      <c r="O6" s="1130"/>
      <c r="P6" s="3244"/>
      <c r="Q6" s="3245"/>
      <c r="R6" s="3228"/>
      <c r="S6" s="3229"/>
      <c r="T6" s="3230"/>
      <c r="U6" s="3231"/>
      <c r="V6" s="3225"/>
      <c r="W6" s="3225"/>
      <c r="X6" s="1802"/>
      <c r="Y6" s="3230"/>
      <c r="Z6" s="3231"/>
      <c r="AA6" s="3234"/>
      <c r="AB6" s="3234"/>
      <c r="AC6" s="3234"/>
    </row>
    <row r="7" spans="1:29" s="117" customFormat="1" ht="15.75" thickBot="1">
      <c r="A7" s="407" t="s">
        <v>2543</v>
      </c>
      <c r="B7" s="408"/>
      <c r="C7" s="409">
        <f>'数据-取费表'!B2</f>
        <v>43962</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22" t="s">
        <v>2544</v>
      </c>
      <c r="Q7" s="3235"/>
      <c r="R7" s="769" t="s">
        <v>17</v>
      </c>
      <c r="S7" s="770">
        <f t="shared" ref="S7:S14" si="0">F7</f>
        <v>0</v>
      </c>
      <c r="T7" s="769" t="s">
        <v>17</v>
      </c>
      <c r="U7" s="770">
        <f t="shared" ref="U7:U14" si="1">H7</f>
        <v>0</v>
      </c>
      <c r="V7" s="769" t="s">
        <v>17</v>
      </c>
      <c r="W7" s="770">
        <f t="shared" ref="W7:W14" si="2">J7</f>
        <v>0</v>
      </c>
      <c r="X7" s="771"/>
      <c r="Y7" s="3222" t="s">
        <v>2544</v>
      </c>
      <c r="Z7" s="3223"/>
      <c r="AA7" s="772" t="e">
        <f>D7/F7</f>
        <v>#DIV/0!</v>
      </c>
      <c r="AB7" s="772" t="e">
        <f>D7/H7</f>
        <v>#DIV/0!</v>
      </c>
      <c r="AC7" s="772" t="e">
        <f>D7/J7</f>
        <v>#DIV/0!</v>
      </c>
    </row>
    <row r="8" spans="1:29" s="117" customFormat="1" ht="15.75" thickBot="1">
      <c r="A8" s="407" t="s">
        <v>2545</v>
      </c>
      <c r="B8" s="408"/>
      <c r="C8" s="413" t="s">
        <v>2647</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22" t="s">
        <v>2547</v>
      </c>
      <c r="Q8" s="3223"/>
      <c r="R8" s="769" t="s">
        <v>17</v>
      </c>
      <c r="S8" s="770">
        <f t="shared" si="0"/>
        <v>0</v>
      </c>
      <c r="T8" s="769" t="s">
        <v>17</v>
      </c>
      <c r="U8" s="770">
        <f t="shared" si="1"/>
        <v>0</v>
      </c>
      <c r="V8" s="769" t="s">
        <v>17</v>
      </c>
      <c r="W8" s="770">
        <f t="shared" si="2"/>
        <v>0</v>
      </c>
      <c r="X8" s="771"/>
      <c r="Y8" s="3222" t="s">
        <v>2547</v>
      </c>
      <c r="Z8" s="3223"/>
      <c r="AA8" s="772" t="e">
        <f t="shared" ref="AA8:AA36" si="3">D8/F8</f>
        <v>#DIV/0!</v>
      </c>
      <c r="AB8" s="772" t="e">
        <f t="shared" ref="AB8:AB36" si="4">D8/H8</f>
        <v>#DIV/0!</v>
      </c>
      <c r="AC8" s="772" t="e">
        <f t="shared" ref="AC8:AC36" si="5">D8/J8</f>
        <v>#DIV/0!</v>
      </c>
    </row>
    <row r="9" spans="1:29" s="117" customFormat="1">
      <c r="A9" s="68" t="s">
        <v>2548</v>
      </c>
      <c r="B9" s="639" t="s">
        <v>2549</v>
      </c>
      <c r="C9" s="415"/>
      <c r="D9" s="135">
        <v>100</v>
      </c>
      <c r="E9" s="418"/>
      <c r="F9" s="135">
        <f>SUMIF(53:53,E9,54:54)-SUMIF(53:53,C9,54:54)+100</f>
        <v>100</v>
      </c>
      <c r="G9" s="416"/>
      <c r="H9" s="135">
        <f>SUMIF(53:53,G9,54:54)-SUMIF(53:53,C9,54:54)+100</f>
        <v>100</v>
      </c>
      <c r="I9" s="416"/>
      <c r="J9" s="135">
        <f>SUMIF(53:53,I9,54:54)-SUMIF(53:53,C9,54:54)+100</f>
        <v>100</v>
      </c>
      <c r="K9" s="610"/>
      <c r="L9" s="1131"/>
      <c r="M9" s="1132"/>
      <c r="N9" s="1132"/>
      <c r="O9" s="1132"/>
      <c r="P9" s="3208" t="s">
        <v>2550</v>
      </c>
      <c r="Q9" s="1784" t="str">
        <f t="shared" ref="Q9:Q14" si="6">B9</f>
        <v>用途</v>
      </c>
      <c r="R9" s="769" t="s">
        <v>17</v>
      </c>
      <c r="S9" s="770">
        <f t="shared" si="0"/>
        <v>100</v>
      </c>
      <c r="T9" s="769" t="s">
        <v>17</v>
      </c>
      <c r="U9" s="770">
        <f t="shared" si="1"/>
        <v>100</v>
      </c>
      <c r="V9" s="769" t="s">
        <v>17</v>
      </c>
      <c r="W9" s="770">
        <f t="shared" si="2"/>
        <v>100</v>
      </c>
      <c r="X9" s="771"/>
      <c r="Y9" s="3055" t="s">
        <v>2551</v>
      </c>
      <c r="Z9" s="55" t="str">
        <f t="shared" ref="Z9:Z14" si="7">Q9</f>
        <v>用途</v>
      </c>
      <c r="AA9" s="772">
        <f t="shared" si="3"/>
        <v>1</v>
      </c>
      <c r="AB9" s="772">
        <f t="shared" si="4"/>
        <v>1</v>
      </c>
      <c r="AC9" s="772">
        <f t="shared" si="5"/>
        <v>1</v>
      </c>
    </row>
    <row r="10" spans="1:29" s="426" customFormat="1" ht="27">
      <c r="A10" s="640"/>
      <c r="B10" s="641" t="s">
        <v>2552</v>
      </c>
      <c r="C10" s="422"/>
      <c r="D10" s="136">
        <v>100</v>
      </c>
      <c r="E10" s="422"/>
      <c r="F10" s="136">
        <f>SUMIF(55:55,E10,56:56)-SUMIF(55:55,C10,56:56)+100</f>
        <v>100</v>
      </c>
      <c r="G10" s="423"/>
      <c r="H10" s="136">
        <f>SUMIF(55:55,G10,56:56)-SUMIF(55:55,C10,56:56)+100</f>
        <v>100</v>
      </c>
      <c r="I10" s="422"/>
      <c r="J10" s="136">
        <f>SUMIF(55:55,I10,56:56)-SUMIF(55:55,C10,56:56)+100</f>
        <v>100</v>
      </c>
      <c r="K10" s="611"/>
      <c r="L10" s="1134"/>
      <c r="M10" s="1135"/>
      <c r="N10" s="1135"/>
      <c r="O10" s="1135"/>
      <c r="P10" s="3208"/>
      <c r="Q10" s="1784"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37"/>
      <c r="M11" s="1130"/>
      <c r="N11" s="1130"/>
      <c r="O11" s="1130"/>
      <c r="P11" s="3208"/>
      <c r="Q11" s="1784">
        <f t="shared" si="6"/>
        <v>111</v>
      </c>
      <c r="R11" s="769" t="s">
        <v>17</v>
      </c>
      <c r="S11" s="770">
        <f t="shared" si="0"/>
        <v>100</v>
      </c>
      <c r="T11" s="769" t="s">
        <v>17</v>
      </c>
      <c r="U11" s="770">
        <f t="shared" si="1"/>
        <v>100</v>
      </c>
      <c r="V11" s="769" t="s">
        <v>17</v>
      </c>
      <c r="W11" s="770">
        <f t="shared" si="2"/>
        <v>100</v>
      </c>
      <c r="X11" s="771"/>
      <c r="Y11" s="3055"/>
      <c r="Z11" s="55">
        <f t="shared" si="7"/>
        <v>111</v>
      </c>
      <c r="AA11" s="772">
        <f t="shared" si="3"/>
        <v>1</v>
      </c>
      <c r="AB11" s="772">
        <f t="shared" si="4"/>
        <v>1</v>
      </c>
      <c r="AC11" s="772">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31"/>
      <c r="M12" s="1132"/>
      <c r="N12" s="1132"/>
      <c r="O12" s="1132"/>
      <c r="P12" s="3208"/>
      <c r="Q12" s="1784">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39"/>
      <c r="M13" s="1130"/>
      <c r="N13" s="1130"/>
      <c r="O13" s="1130"/>
      <c r="P13" s="3208"/>
      <c r="Q13" s="1784">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85.5">
      <c r="A14" s="400" t="s">
        <v>2554</v>
      </c>
      <c r="B14" s="628" t="s">
        <v>2704</v>
      </c>
      <c r="C14" s="2678"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15" t="s">
        <v>2555</v>
      </c>
      <c r="Q14" s="1799" t="str">
        <f t="shared" si="6"/>
        <v>交通便捷度</v>
      </c>
      <c r="R14" s="773" t="s">
        <v>17</v>
      </c>
      <c r="S14" s="774">
        <f t="shared" si="0"/>
        <v>100</v>
      </c>
      <c r="T14" s="773" t="s">
        <v>17</v>
      </c>
      <c r="U14" s="774">
        <f t="shared" si="1"/>
        <v>100</v>
      </c>
      <c r="V14" s="773" t="s">
        <v>17</v>
      </c>
      <c r="W14" s="774">
        <f t="shared" si="2"/>
        <v>100</v>
      </c>
      <c r="X14" s="1802"/>
      <c r="Y14" s="3215" t="s">
        <v>2555</v>
      </c>
      <c r="Z14" s="1803" t="str">
        <f t="shared" si="7"/>
        <v>交通便捷度</v>
      </c>
      <c r="AA14" s="1800">
        <f t="shared" si="3"/>
        <v>1</v>
      </c>
      <c r="AB14" s="1800">
        <f t="shared" si="4"/>
        <v>1</v>
      </c>
      <c r="AC14" s="1800">
        <f t="shared" si="5"/>
        <v>1</v>
      </c>
    </row>
    <row r="15" spans="1:29" ht="15">
      <c r="A15" s="403"/>
      <c r="B15" s="646"/>
      <c r="C15" s="446"/>
      <c r="D15" s="447"/>
      <c r="E15" s="446"/>
      <c r="F15" s="448"/>
      <c r="G15" s="446"/>
      <c r="H15" s="449"/>
      <c r="I15" s="446"/>
      <c r="J15" s="447"/>
      <c r="K15" s="614"/>
      <c r="L15" s="1139"/>
      <c r="M15" s="1130"/>
      <c r="N15" s="1130"/>
      <c r="O15" s="1130"/>
      <c r="P15" s="3216"/>
      <c r="Q15" s="1799"/>
      <c r="R15" s="773"/>
      <c r="S15" s="774"/>
      <c r="T15" s="773"/>
      <c r="U15" s="774"/>
      <c r="V15" s="773"/>
      <c r="W15" s="774"/>
      <c r="X15" s="1802"/>
      <c r="Y15" s="3216"/>
      <c r="Z15" s="1803"/>
      <c r="AA15" s="1800">
        <v>1</v>
      </c>
      <c r="AB15" s="1800">
        <v>1</v>
      </c>
      <c r="AC15" s="1800">
        <v>1</v>
      </c>
    </row>
    <row r="16" spans="1:29" ht="42.75">
      <c r="A16" s="403"/>
      <c r="B16" s="630" t="s">
        <v>2683</v>
      </c>
      <c r="C16" s="2594"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16"/>
      <c r="Q16" s="1799" t="str">
        <f>B16</f>
        <v>公共配套设施</v>
      </c>
      <c r="R16" s="773" t="s">
        <v>17</v>
      </c>
      <c r="S16" s="774">
        <f>F16</f>
        <v>100</v>
      </c>
      <c r="T16" s="773" t="s">
        <v>17</v>
      </c>
      <c r="U16" s="774">
        <f>H16</f>
        <v>100</v>
      </c>
      <c r="V16" s="773" t="s">
        <v>17</v>
      </c>
      <c r="W16" s="774">
        <f>J16</f>
        <v>100</v>
      </c>
      <c r="X16" s="1802"/>
      <c r="Y16" s="3216"/>
      <c r="Z16" s="1803" t="str">
        <f>Q16</f>
        <v>公共配套设施</v>
      </c>
      <c r="AA16" s="1800">
        <f t="shared" si="3"/>
        <v>1</v>
      </c>
      <c r="AB16" s="1800">
        <f t="shared" si="4"/>
        <v>1</v>
      </c>
      <c r="AC16" s="1800">
        <f t="shared" si="5"/>
        <v>1</v>
      </c>
    </row>
    <row r="17" spans="1:29" ht="15">
      <c r="A17" s="403"/>
      <c r="B17" s="631"/>
      <c r="C17" s="2595"/>
      <c r="D17" s="447"/>
      <c r="E17" s="446"/>
      <c r="F17" s="448"/>
      <c r="G17" s="446"/>
      <c r="H17" s="447"/>
      <c r="I17" s="446"/>
      <c r="J17" s="447"/>
      <c r="K17" s="614"/>
      <c r="L17" s="1139"/>
      <c r="M17" s="1130"/>
      <c r="N17" s="1130"/>
      <c r="O17" s="1130"/>
      <c r="P17" s="3216"/>
      <c r="Q17" s="1799"/>
      <c r="R17" s="773"/>
      <c r="S17" s="774"/>
      <c r="T17" s="773"/>
      <c r="U17" s="774"/>
      <c r="V17" s="773"/>
      <c r="W17" s="774"/>
      <c r="X17" s="1802"/>
      <c r="Y17" s="3216"/>
      <c r="Z17" s="1803"/>
      <c r="AA17" s="1800">
        <v>1</v>
      </c>
      <c r="AB17" s="1800">
        <v>1</v>
      </c>
      <c r="AC17" s="1800">
        <v>1</v>
      </c>
    </row>
    <row r="18" spans="1:29" ht="28.5">
      <c r="A18" s="403"/>
      <c r="B18" s="632" t="s">
        <v>2684</v>
      </c>
      <c r="C18" s="2594"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16"/>
      <c r="Q18" s="1799" t="str">
        <f>B18</f>
        <v>基础设施水平</v>
      </c>
      <c r="R18" s="773" t="s">
        <v>17</v>
      </c>
      <c r="S18" s="774">
        <f>F18</f>
        <v>100</v>
      </c>
      <c r="T18" s="773" t="s">
        <v>17</v>
      </c>
      <c r="U18" s="774">
        <f>H18</f>
        <v>100</v>
      </c>
      <c r="V18" s="773" t="s">
        <v>17</v>
      </c>
      <c r="W18" s="774">
        <f>J18</f>
        <v>100</v>
      </c>
      <c r="X18" s="1802"/>
      <c r="Y18" s="3216"/>
      <c r="Z18" s="1803" t="str">
        <f>Q18</f>
        <v>基础设施水平</v>
      </c>
      <c r="AA18" s="1800">
        <f t="shared" ref="AA18" si="8">D18/F18</f>
        <v>1</v>
      </c>
      <c r="AB18" s="1800">
        <f t="shared" ref="AB18" si="9">D18/H18</f>
        <v>1</v>
      </c>
      <c r="AC18" s="1800">
        <f t="shared" ref="AC18" si="10">D18/J18</f>
        <v>1</v>
      </c>
    </row>
    <row r="19" spans="1:29" ht="15">
      <c r="A19" s="403"/>
      <c r="B19" s="632"/>
      <c r="C19" s="2595"/>
      <c r="D19" s="449"/>
      <c r="E19" s="2595"/>
      <c r="F19" s="452"/>
      <c r="G19" s="2595"/>
      <c r="H19" s="447"/>
      <c r="I19" s="446"/>
      <c r="J19" s="447"/>
      <c r="K19" s="1380"/>
      <c r="L19" s="1139"/>
      <c r="M19" s="1130"/>
      <c r="N19" s="1130"/>
      <c r="O19" s="1130"/>
      <c r="P19" s="3216"/>
      <c r="Q19" s="1799"/>
      <c r="R19" s="773"/>
      <c r="S19" s="774"/>
      <c r="T19" s="773"/>
      <c r="U19" s="774"/>
      <c r="V19" s="773"/>
      <c r="W19" s="774"/>
      <c r="X19" s="1802"/>
      <c r="Y19" s="3216"/>
      <c r="Z19" s="1803"/>
      <c r="AA19" s="1800">
        <v>1</v>
      </c>
      <c r="AB19" s="1800">
        <v>1</v>
      </c>
      <c r="AC19" s="1800">
        <v>1</v>
      </c>
    </row>
    <row r="20" spans="1:29" ht="57">
      <c r="A20" s="403"/>
      <c r="B20" s="630" t="s">
        <v>2705</v>
      </c>
      <c r="C20" s="2594"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16"/>
      <c r="Q20" s="1799" t="str">
        <f>B20</f>
        <v>自然及人文环境</v>
      </c>
      <c r="R20" s="773" t="s">
        <v>17</v>
      </c>
      <c r="S20" s="774">
        <f>F20</f>
        <v>100</v>
      </c>
      <c r="T20" s="773" t="s">
        <v>17</v>
      </c>
      <c r="U20" s="774">
        <f>H20</f>
        <v>100</v>
      </c>
      <c r="V20" s="773" t="s">
        <v>17</v>
      </c>
      <c r="W20" s="774">
        <f>J20</f>
        <v>100</v>
      </c>
      <c r="X20" s="1802"/>
      <c r="Y20" s="3216"/>
      <c r="Z20" s="1803" t="str">
        <f>Q20</f>
        <v>自然及人文环境</v>
      </c>
      <c r="AA20" s="1800">
        <f t="shared" si="3"/>
        <v>1</v>
      </c>
      <c r="AB20" s="1800">
        <f t="shared" si="4"/>
        <v>1</v>
      </c>
      <c r="AC20" s="1800">
        <f t="shared" si="5"/>
        <v>1</v>
      </c>
    </row>
    <row r="21" spans="1:29" ht="15">
      <c r="A21" s="403"/>
      <c r="B21" s="631"/>
      <c r="C21" s="446"/>
      <c r="D21" s="447"/>
      <c r="E21" s="446"/>
      <c r="F21" s="448"/>
      <c r="G21" s="446"/>
      <c r="H21" s="447"/>
      <c r="I21" s="446"/>
      <c r="J21" s="447"/>
      <c r="K21" s="614"/>
      <c r="L21" s="1139"/>
      <c r="M21" s="1130"/>
      <c r="N21" s="1130"/>
      <c r="O21" s="1130"/>
      <c r="P21" s="3216"/>
      <c r="Q21" s="1799"/>
      <c r="R21" s="773"/>
      <c r="S21" s="774"/>
      <c r="T21" s="773"/>
      <c r="U21" s="774"/>
      <c r="V21" s="773"/>
      <c r="W21" s="774"/>
      <c r="X21" s="1802"/>
      <c r="Y21" s="3216"/>
      <c r="Z21" s="1803"/>
      <c r="AA21" s="1800">
        <v>1</v>
      </c>
      <c r="AB21" s="1800">
        <v>1</v>
      </c>
      <c r="AC21" s="1800">
        <v>1</v>
      </c>
    </row>
    <row r="22" spans="1:29" ht="15">
      <c r="A22" s="403"/>
      <c r="B22" s="630" t="s">
        <v>2706</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16"/>
      <c r="Q22" s="1799" t="str">
        <f>B22</f>
        <v>楼层</v>
      </c>
      <c r="R22" s="773" t="s">
        <v>17</v>
      </c>
      <c r="S22" s="774">
        <f>F22</f>
        <v>100</v>
      </c>
      <c r="T22" s="773" t="s">
        <v>17</v>
      </c>
      <c r="U22" s="774">
        <f>H22</f>
        <v>100</v>
      </c>
      <c r="V22" s="773" t="s">
        <v>17</v>
      </c>
      <c r="W22" s="774">
        <f>J22</f>
        <v>100</v>
      </c>
      <c r="X22" s="1802"/>
      <c r="Y22" s="3216"/>
      <c r="Z22" s="1803" t="str">
        <f>Q22</f>
        <v>楼层</v>
      </c>
      <c r="AA22" s="1800">
        <f t="shared" si="3"/>
        <v>1</v>
      </c>
      <c r="AB22" s="1800">
        <f t="shared" si="4"/>
        <v>1</v>
      </c>
      <c r="AC22" s="180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16"/>
      <c r="Q23" s="1799">
        <f>B23</f>
        <v>111</v>
      </c>
      <c r="R23" s="773" t="s">
        <v>17</v>
      </c>
      <c r="S23" s="774">
        <f>F23</f>
        <v>100</v>
      </c>
      <c r="T23" s="773" t="s">
        <v>17</v>
      </c>
      <c r="U23" s="774">
        <f>H23</f>
        <v>100</v>
      </c>
      <c r="V23" s="773" t="s">
        <v>17</v>
      </c>
      <c r="W23" s="774">
        <f>J23</f>
        <v>100</v>
      </c>
      <c r="X23" s="1802"/>
      <c r="Y23" s="3216"/>
      <c r="Z23" s="1803">
        <f>Q23</f>
        <v>111</v>
      </c>
      <c r="AA23" s="1800">
        <f t="shared" si="3"/>
        <v>1</v>
      </c>
      <c r="AB23" s="1800">
        <f t="shared" si="4"/>
        <v>1</v>
      </c>
      <c r="AC23" s="180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16"/>
      <c r="Q24" s="1799">
        <f t="shared" ref="Q24:Q36" si="11">B24</f>
        <v>111</v>
      </c>
      <c r="R24" s="773" t="s">
        <v>17</v>
      </c>
      <c r="S24" s="774">
        <f>F24</f>
        <v>100</v>
      </c>
      <c r="T24" s="773" t="s">
        <v>17</v>
      </c>
      <c r="U24" s="774">
        <f>H24</f>
        <v>100</v>
      </c>
      <c r="V24" s="773" t="s">
        <v>17</v>
      </c>
      <c r="W24" s="774">
        <f>J24</f>
        <v>100</v>
      </c>
      <c r="X24" s="1802"/>
      <c r="Y24" s="3216"/>
      <c r="Z24" s="1803">
        <f>Q24</f>
        <v>111</v>
      </c>
      <c r="AA24" s="1800">
        <f t="shared" si="3"/>
        <v>1</v>
      </c>
      <c r="AB24" s="1800">
        <f t="shared" si="4"/>
        <v>1</v>
      </c>
      <c r="AC24" s="1800">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16"/>
      <c r="Q25" s="1784">
        <f t="shared" si="11"/>
        <v>111</v>
      </c>
      <c r="R25" s="769" t="s">
        <v>17</v>
      </c>
      <c r="S25" s="770">
        <f>F25</f>
        <v>100</v>
      </c>
      <c r="T25" s="769" t="s">
        <v>17</v>
      </c>
      <c r="U25" s="770">
        <f>H25</f>
        <v>100</v>
      </c>
      <c r="V25" s="769" t="s">
        <v>17</v>
      </c>
      <c r="W25" s="770">
        <f>J25</f>
        <v>100</v>
      </c>
      <c r="X25" s="771"/>
      <c r="Y25" s="3216"/>
      <c r="Z25" s="55">
        <f>Q25</f>
        <v>111</v>
      </c>
      <c r="AA25" s="1800">
        <f>D25/F25</f>
        <v>1</v>
      </c>
      <c r="AB25" s="1800">
        <f>D25/H25</f>
        <v>1</v>
      </c>
      <c r="AC25" s="1800">
        <f>D25/J25</f>
        <v>1</v>
      </c>
    </row>
    <row r="26" spans="1:29" ht="28.5">
      <c r="A26" s="651" t="s">
        <v>2558</v>
      </c>
      <c r="B26" s="70" t="s">
        <v>2707</v>
      </c>
      <c r="C26" s="2679">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73" t="s">
        <v>2560</v>
      </c>
      <c r="Q26" s="1799" t="str">
        <f t="shared" si="11"/>
        <v>配套类型</v>
      </c>
      <c r="R26" s="773" t="s">
        <v>17</v>
      </c>
      <c r="S26" s="774">
        <f t="shared" ref="S26:S36" si="12">F26</f>
        <v>100</v>
      </c>
      <c r="T26" s="773" t="s">
        <v>17</v>
      </c>
      <c r="U26" s="774">
        <f t="shared" ref="U26:U36" si="13">H26</f>
        <v>100</v>
      </c>
      <c r="V26" s="773" t="s">
        <v>17</v>
      </c>
      <c r="W26" s="774">
        <f t="shared" ref="W26:W36" si="14">J26</f>
        <v>100</v>
      </c>
      <c r="X26" s="1802"/>
      <c r="Y26" s="3220" t="s">
        <v>2560</v>
      </c>
      <c r="Z26" s="1803" t="str">
        <f t="shared" ref="Z26:Z36" si="15">Q26</f>
        <v>配套类型</v>
      </c>
      <c r="AA26" s="1800">
        <f t="shared" si="3"/>
        <v>1</v>
      </c>
      <c r="AB26" s="1800">
        <f t="shared" si="4"/>
        <v>1</v>
      </c>
      <c r="AC26" s="1800">
        <f t="shared" si="5"/>
        <v>1</v>
      </c>
    </row>
    <row r="27" spans="1:29" s="470" customFormat="1" ht="15">
      <c r="A27" s="652"/>
      <c r="B27" s="653" t="s">
        <v>2708</v>
      </c>
      <c r="C27" s="654"/>
      <c r="D27" s="136">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20"/>
      <c r="Q27" s="775" t="str">
        <f t="shared" si="11"/>
        <v>项目停车位配比</v>
      </c>
      <c r="R27" s="776" t="s">
        <v>17</v>
      </c>
      <c r="S27" s="777">
        <f t="shared" si="12"/>
        <v>100</v>
      </c>
      <c r="T27" s="776" t="s">
        <v>17</v>
      </c>
      <c r="U27" s="777">
        <f t="shared" si="13"/>
        <v>100</v>
      </c>
      <c r="V27" s="776" t="s">
        <v>17</v>
      </c>
      <c r="W27" s="777">
        <f t="shared" si="14"/>
        <v>100</v>
      </c>
      <c r="X27" s="778"/>
      <c r="Y27" s="3220"/>
      <c r="Z27" s="779" t="str">
        <f t="shared" si="15"/>
        <v>项目停车位配比</v>
      </c>
      <c r="AA27" s="1800">
        <f t="shared" si="3"/>
        <v>1</v>
      </c>
      <c r="AB27" s="1800">
        <f t="shared" si="4"/>
        <v>1</v>
      </c>
      <c r="AC27" s="1800">
        <f t="shared" si="5"/>
        <v>1</v>
      </c>
    </row>
    <row r="28" spans="1:29" ht="15">
      <c r="A28" s="655"/>
      <c r="B28" s="653" t="s">
        <v>2709</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20"/>
      <c r="Q28" s="1799" t="str">
        <f t="shared" si="11"/>
        <v>公共部分装修</v>
      </c>
      <c r="R28" s="773" t="s">
        <v>17</v>
      </c>
      <c r="S28" s="774">
        <f t="shared" si="12"/>
        <v>100</v>
      </c>
      <c r="T28" s="773" t="s">
        <v>17</v>
      </c>
      <c r="U28" s="774">
        <f t="shared" si="13"/>
        <v>100</v>
      </c>
      <c r="V28" s="773" t="s">
        <v>17</v>
      </c>
      <c r="W28" s="774">
        <f t="shared" si="14"/>
        <v>100</v>
      </c>
      <c r="X28" s="1802"/>
      <c r="Y28" s="3220"/>
      <c r="Z28" s="1803" t="str">
        <f t="shared" si="15"/>
        <v>公共部分装修</v>
      </c>
      <c r="AA28" s="1800">
        <f t="shared" si="3"/>
        <v>1</v>
      </c>
      <c r="AB28" s="1800">
        <f t="shared" si="4"/>
        <v>1</v>
      </c>
      <c r="AC28" s="1800">
        <f t="shared" si="5"/>
        <v>1</v>
      </c>
    </row>
    <row r="29" spans="1:29" ht="15">
      <c r="A29" s="655"/>
      <c r="B29" s="653" t="s">
        <v>2710</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20"/>
      <c r="Q29" s="1799" t="str">
        <f t="shared" si="11"/>
        <v>成新率</v>
      </c>
      <c r="R29" s="773" t="s">
        <v>17</v>
      </c>
      <c r="S29" s="774" t="e">
        <f t="shared" si="12"/>
        <v>#N/A</v>
      </c>
      <c r="T29" s="773" t="s">
        <v>17</v>
      </c>
      <c r="U29" s="774" t="e">
        <f t="shared" si="13"/>
        <v>#N/A</v>
      </c>
      <c r="V29" s="773" t="s">
        <v>17</v>
      </c>
      <c r="W29" s="774" t="e">
        <f t="shared" si="14"/>
        <v>#N/A</v>
      </c>
      <c r="X29" s="1802"/>
      <c r="Y29" s="3220"/>
      <c r="Z29" s="1803" t="str">
        <f t="shared" si="15"/>
        <v>成新率</v>
      </c>
      <c r="AA29" s="1800" t="e">
        <f t="shared" si="3"/>
        <v>#N/A</v>
      </c>
      <c r="AB29" s="1800" t="e">
        <f t="shared" si="4"/>
        <v>#N/A</v>
      </c>
      <c r="AC29" s="1800" t="e">
        <f t="shared" si="5"/>
        <v>#N/A</v>
      </c>
    </row>
    <row r="30" spans="1:29" ht="15">
      <c r="A30" s="655"/>
      <c r="B30" s="653" t="s">
        <v>2711</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20"/>
      <c r="Q30" s="1799" t="str">
        <f t="shared" si="11"/>
        <v>物业等级</v>
      </c>
      <c r="R30" s="773" t="s">
        <v>17</v>
      </c>
      <c r="S30" s="774">
        <f t="shared" si="12"/>
        <v>100</v>
      </c>
      <c r="T30" s="773" t="s">
        <v>17</v>
      </c>
      <c r="U30" s="774">
        <f t="shared" si="13"/>
        <v>100</v>
      </c>
      <c r="V30" s="773" t="s">
        <v>17</v>
      </c>
      <c r="W30" s="774">
        <f t="shared" si="14"/>
        <v>100</v>
      </c>
      <c r="X30" s="1802"/>
      <c r="Y30" s="3220"/>
      <c r="Z30" s="1803" t="str">
        <f t="shared" si="15"/>
        <v>物业等级</v>
      </c>
      <c r="AA30" s="1800">
        <f t="shared" si="3"/>
        <v>1</v>
      </c>
      <c r="AB30" s="1800">
        <f t="shared" si="4"/>
        <v>1</v>
      </c>
      <c r="AC30" s="1800">
        <f t="shared" si="5"/>
        <v>1</v>
      </c>
    </row>
    <row r="31" spans="1:29" s="117" customFormat="1" ht="15">
      <c r="A31" s="657"/>
      <c r="B31" s="653" t="s">
        <v>2712</v>
      </c>
      <c r="C31" s="468"/>
      <c r="D31" s="136">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20"/>
      <c r="Q31" s="1784" t="str">
        <f t="shared" si="11"/>
        <v>停车位面积</v>
      </c>
      <c r="R31" s="769" t="s">
        <v>17</v>
      </c>
      <c r="S31" s="770" t="e">
        <f t="shared" si="12"/>
        <v>#N/A</v>
      </c>
      <c r="T31" s="769" t="s">
        <v>17</v>
      </c>
      <c r="U31" s="770" t="e">
        <f t="shared" si="13"/>
        <v>#N/A</v>
      </c>
      <c r="V31" s="769" t="s">
        <v>17</v>
      </c>
      <c r="W31" s="770" t="e">
        <f t="shared" si="14"/>
        <v>#N/A</v>
      </c>
      <c r="X31" s="771"/>
      <c r="Y31" s="3220"/>
      <c r="Z31" s="55" t="str">
        <f t="shared" si="15"/>
        <v>停车位面积</v>
      </c>
      <c r="AA31" s="772" t="e">
        <f t="shared" si="3"/>
        <v>#N/A</v>
      </c>
      <c r="AB31" s="772" t="e">
        <f t="shared" si="4"/>
        <v>#N/A</v>
      </c>
      <c r="AC31" s="772" t="e">
        <f t="shared" si="5"/>
        <v>#N/A</v>
      </c>
    </row>
    <row r="32" spans="1:29" ht="15">
      <c r="A32" s="655"/>
      <c r="B32" s="653" t="s">
        <v>2713</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20" t="s">
        <v>2560</v>
      </c>
      <c r="Q32" s="1799" t="str">
        <f t="shared" si="11"/>
        <v>车位类型</v>
      </c>
      <c r="R32" s="773" t="s">
        <v>17</v>
      </c>
      <c r="S32" s="774">
        <f t="shared" si="12"/>
        <v>100</v>
      </c>
      <c r="T32" s="773" t="s">
        <v>17</v>
      </c>
      <c r="U32" s="774">
        <f t="shared" si="13"/>
        <v>100</v>
      </c>
      <c r="V32" s="773" t="s">
        <v>17</v>
      </c>
      <c r="W32" s="774">
        <f t="shared" si="14"/>
        <v>100</v>
      </c>
      <c r="X32" s="1802"/>
      <c r="Y32" s="3220" t="s">
        <v>2560</v>
      </c>
      <c r="Z32" s="1803" t="str">
        <f t="shared" si="15"/>
        <v>车位类型</v>
      </c>
      <c r="AA32" s="1800">
        <f t="shared" si="3"/>
        <v>1</v>
      </c>
      <c r="AB32" s="1800">
        <f t="shared" si="4"/>
        <v>1</v>
      </c>
      <c r="AC32" s="1800">
        <f t="shared" si="5"/>
        <v>1</v>
      </c>
    </row>
    <row r="33" spans="1:29" ht="15">
      <c r="A33" s="655"/>
      <c r="B33" s="653" t="s">
        <v>2714</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20"/>
      <c r="Q33" s="1799" t="str">
        <f t="shared" si="11"/>
        <v>是否直接入户</v>
      </c>
      <c r="R33" s="773" t="s">
        <v>17</v>
      </c>
      <c r="S33" s="774">
        <f t="shared" si="12"/>
        <v>100</v>
      </c>
      <c r="T33" s="773" t="s">
        <v>17</v>
      </c>
      <c r="U33" s="774">
        <f t="shared" si="13"/>
        <v>100</v>
      </c>
      <c r="V33" s="773" t="s">
        <v>17</v>
      </c>
      <c r="W33" s="774">
        <f t="shared" si="14"/>
        <v>100</v>
      </c>
      <c r="X33" s="1802"/>
      <c r="Y33" s="3220"/>
      <c r="Z33" s="1803" t="str">
        <f t="shared" si="15"/>
        <v>是否直接入户</v>
      </c>
      <c r="AA33" s="1800">
        <f t="shared" si="3"/>
        <v>1</v>
      </c>
      <c r="AB33" s="1800">
        <f t="shared" si="4"/>
        <v>1</v>
      </c>
      <c r="AC33" s="180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20"/>
      <c r="Q34" s="1799">
        <f t="shared" si="11"/>
        <v>111</v>
      </c>
      <c r="R34" s="773" t="s">
        <v>17</v>
      </c>
      <c r="S34" s="774">
        <f t="shared" si="12"/>
        <v>100</v>
      </c>
      <c r="T34" s="773" t="s">
        <v>17</v>
      </c>
      <c r="U34" s="774">
        <f t="shared" si="13"/>
        <v>100</v>
      </c>
      <c r="V34" s="773" t="s">
        <v>17</v>
      </c>
      <c r="W34" s="774">
        <f t="shared" si="14"/>
        <v>100</v>
      </c>
      <c r="X34" s="1802"/>
      <c r="Y34" s="3220"/>
      <c r="Z34" s="1803">
        <f t="shared" si="15"/>
        <v>111</v>
      </c>
      <c r="AA34" s="1800">
        <f t="shared" si="3"/>
        <v>1</v>
      </c>
      <c r="AB34" s="1800">
        <f t="shared" si="4"/>
        <v>1</v>
      </c>
      <c r="AC34" s="180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20"/>
      <c r="Q35" s="775">
        <f t="shared" si="11"/>
        <v>111</v>
      </c>
      <c r="R35" s="776" t="s">
        <v>17</v>
      </c>
      <c r="S35" s="777">
        <f t="shared" si="12"/>
        <v>100</v>
      </c>
      <c r="T35" s="776" t="s">
        <v>17</v>
      </c>
      <c r="U35" s="777">
        <f t="shared" si="13"/>
        <v>100</v>
      </c>
      <c r="V35" s="776" t="s">
        <v>17</v>
      </c>
      <c r="W35" s="777">
        <f t="shared" si="14"/>
        <v>100</v>
      </c>
      <c r="X35" s="778"/>
      <c r="Y35" s="3220"/>
      <c r="Z35" s="779">
        <f t="shared" si="15"/>
        <v>111</v>
      </c>
      <c r="AA35" s="1800">
        <f t="shared" si="3"/>
        <v>1</v>
      </c>
      <c r="AB35" s="1800">
        <f t="shared" si="4"/>
        <v>1</v>
      </c>
      <c r="AC35" s="180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20"/>
      <c r="Q36" s="1799">
        <f t="shared" si="11"/>
        <v>111</v>
      </c>
      <c r="R36" s="773" t="s">
        <v>17</v>
      </c>
      <c r="S36" s="774">
        <f t="shared" si="12"/>
        <v>100</v>
      </c>
      <c r="T36" s="773" t="s">
        <v>17</v>
      </c>
      <c r="U36" s="774">
        <f t="shared" si="13"/>
        <v>100</v>
      </c>
      <c r="V36" s="773" t="s">
        <v>17</v>
      </c>
      <c r="W36" s="774">
        <f t="shared" si="14"/>
        <v>100</v>
      </c>
      <c r="X36" s="1802"/>
      <c r="Y36" s="3220"/>
      <c r="Z36" s="1803">
        <f t="shared" si="15"/>
        <v>111</v>
      </c>
      <c r="AA36" s="1800">
        <f t="shared" si="3"/>
        <v>1</v>
      </c>
      <c r="AB36" s="1800">
        <f t="shared" si="4"/>
        <v>1</v>
      </c>
      <c r="AC36" s="1800">
        <f t="shared" si="5"/>
        <v>1</v>
      </c>
    </row>
    <row r="37" spans="1:29" ht="15">
      <c r="A37" s="478" t="s">
        <v>2715</v>
      </c>
      <c r="B37" s="2680" t="s">
        <v>2716</v>
      </c>
      <c r="C37" s="1404" t="s">
        <v>1</v>
      </c>
      <c r="D37" s="1405"/>
      <c r="E37" s="1406"/>
      <c r="F37" s="1407"/>
      <c r="G37" s="1408"/>
      <c r="H37" s="1409"/>
      <c r="I37" s="1406"/>
      <c r="J37" s="1409"/>
      <c r="K37" s="618"/>
      <c r="L37" s="1142"/>
      <c r="M37" s="1143"/>
      <c r="N37" s="1130"/>
      <c r="O37" s="1143"/>
      <c r="P37" s="3208" t="str">
        <f>A37</f>
        <v>成交单价</v>
      </c>
      <c r="Q37" s="3208"/>
      <c r="R37" s="3209">
        <f>E37</f>
        <v>0</v>
      </c>
      <c r="S37" s="3209"/>
      <c r="T37" s="3209">
        <f>G37</f>
        <v>0</v>
      </c>
      <c r="U37" s="3209"/>
      <c r="V37" s="3209">
        <f>I37</f>
        <v>0</v>
      </c>
      <c r="W37" s="3209"/>
      <c r="X37" s="758"/>
      <c r="Y37" s="780"/>
      <c r="Z37" s="758"/>
      <c r="AA37" s="758"/>
      <c r="AB37" s="758"/>
      <c r="AC37" s="758"/>
    </row>
    <row r="38" spans="1:29" ht="15.75" thickBot="1">
      <c r="A38" s="485" t="s">
        <v>2717</v>
      </c>
      <c r="B38" s="486" t="str">
        <f>B37</f>
        <v>元/车位</v>
      </c>
      <c r="C38" s="1410" t="e">
        <f>R39</f>
        <v>#DIV/0!</v>
      </c>
      <c r="D38" s="1411"/>
      <c r="E38" s="1412" t="e">
        <f>R38</f>
        <v>#DIV/0!</v>
      </c>
      <c r="F38" s="1412"/>
      <c r="G38" s="1410" t="e">
        <f>T38</f>
        <v>#DIV/0!</v>
      </c>
      <c r="H38" s="1411"/>
      <c r="I38" s="1412" t="e">
        <f>V38</f>
        <v>#DIV/0!</v>
      </c>
      <c r="J38" s="1411"/>
      <c r="K38" s="619"/>
      <c r="L38" s="1142"/>
      <c r="M38" s="1143"/>
      <c r="N38" s="1143"/>
      <c r="O38" s="1143"/>
      <c r="P38" s="3208" t="str">
        <f>A38</f>
        <v>比较价值（元/平方米）</v>
      </c>
      <c r="Q38" s="3208"/>
      <c r="R38" s="3209" t="e">
        <f>IF(F1="售价",ROUND(PRODUCT(R37,AA7:AA36),0),ROUND(PRODUCT(R37,AA7:AA36),1))</f>
        <v>#DIV/0!</v>
      </c>
      <c r="S38" s="3209"/>
      <c r="T38" s="3209" t="e">
        <f>IF(F1="售价",ROUND(PRODUCT(T37,AB7:AB36),0),ROUND(PRODUCT(T37,AB7:AB36),1))</f>
        <v>#DIV/0!</v>
      </c>
      <c r="U38" s="3209"/>
      <c r="V38" s="3209" t="e">
        <f>IF(F1="售价",ROUND(PRODUCT(V37,AC7:AC36),0),ROUND(PRODUCT(V37,AC7:AC36),1))</f>
        <v>#DIV/0!</v>
      </c>
      <c r="W38" s="3209"/>
      <c r="X38" s="758"/>
      <c r="Y38" s="758"/>
      <c r="Z38" s="758"/>
      <c r="AA38" s="758"/>
      <c r="AB38" s="758"/>
      <c r="AC38" s="758"/>
    </row>
    <row r="39" spans="1:29" ht="15.75" thickBot="1">
      <c r="A39" s="491" t="s">
        <v>2718</v>
      </c>
      <c r="B39" s="492"/>
      <c r="C39" s="1414" t="e">
        <f>R39</f>
        <v>#DIV/0!</v>
      </c>
      <c r="D39" s="1414"/>
      <c r="E39" s="1414"/>
      <c r="F39" s="1414"/>
      <c r="G39" s="1414"/>
      <c r="H39" s="1414"/>
      <c r="I39" s="1414"/>
      <c r="J39" s="1414"/>
      <c r="K39" s="620"/>
      <c r="L39" s="1142"/>
      <c r="M39" s="1143"/>
      <c r="N39" s="1143"/>
      <c r="O39" s="1143"/>
      <c r="P39" s="3210" t="str">
        <f>A39</f>
        <v>估价对象XX用房的比较价值（楼面单价，元/平方米）</v>
      </c>
      <c r="Q39" s="3211"/>
      <c r="R39" s="3212" t="e">
        <f>IF(F1="售价",ROUND(AVERAGE(R38:V38),0),ROUND(AVERAGE(R38:V38),1))</f>
        <v>#DIV/0!</v>
      </c>
      <c r="S39" s="3212"/>
      <c r="T39" s="3212"/>
      <c r="U39" s="3212"/>
      <c r="V39" s="3212"/>
      <c r="W39" s="3212"/>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7"/>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7"/>
      <c r="Q41" s="1143"/>
      <c r="R41" s="1143"/>
      <c r="S41" s="1143"/>
      <c r="T41" s="1143"/>
      <c r="U41" s="1143"/>
      <c r="V41" s="1143"/>
      <c r="W41" s="1143"/>
      <c r="X41" s="1143"/>
      <c r="Y41" s="1143"/>
      <c r="Z41" s="1143"/>
      <c r="AA41" s="1143"/>
      <c r="AB41" s="1143"/>
      <c r="AC41" s="1143"/>
    </row>
    <row r="42" spans="1:29" ht="13.5" customHeight="1">
      <c r="A42" s="1143"/>
      <c r="B42" s="1143"/>
      <c r="C42" s="496" t="s">
        <v>2719</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7"/>
      <c r="Q42" s="1143"/>
      <c r="R42" s="1143"/>
      <c r="S42" s="1143"/>
      <c r="T42" s="1143"/>
      <c r="U42" s="1143"/>
      <c r="V42" s="1143"/>
      <c r="W42" s="1143"/>
      <c r="X42" s="1143"/>
      <c r="Y42" s="1143"/>
      <c r="Z42" s="1143"/>
      <c r="AA42" s="1143"/>
      <c r="AB42" s="1143"/>
      <c r="AC42" s="1143"/>
    </row>
    <row r="43" spans="1:29" ht="13.5" customHeight="1">
      <c r="A43" s="1143"/>
      <c r="B43" s="1143"/>
      <c r="C43" s="496" t="s">
        <v>2720</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7"/>
      <c r="Q43" s="1143"/>
      <c r="R43" s="1143"/>
      <c r="S43" s="1143"/>
      <c r="T43" s="1143"/>
      <c r="U43" s="1143"/>
      <c r="V43" s="1143"/>
      <c r="W43" s="1143"/>
      <c r="X43" s="1143"/>
      <c r="Y43" s="1143"/>
      <c r="Z43" s="1143"/>
      <c r="AA43" s="1143"/>
      <c r="AB43" s="1143"/>
      <c r="AC43" s="1143"/>
    </row>
    <row r="44" spans="1:29" s="501" customFormat="1" ht="13.5" customHeight="1">
      <c r="A44" s="1144"/>
      <c r="B44" s="1144"/>
      <c r="C44" s="496" t="s">
        <v>2721</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18"/>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18"/>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7"/>
      <c r="Q46" s="1143"/>
      <c r="R46" s="1143"/>
      <c r="S46" s="1143"/>
      <c r="T46" s="1143"/>
      <c r="U46" s="1143"/>
      <c r="V46" s="1143"/>
      <c r="W46" s="1143"/>
      <c r="X46" s="1143"/>
      <c r="Y46" s="1143"/>
      <c r="Z46" s="1143"/>
      <c r="AA46" s="1143"/>
      <c r="AB46" s="1143"/>
      <c r="AC46" s="1143"/>
    </row>
    <row r="47" spans="1:29" ht="21.75" thickBot="1">
      <c r="A47" s="1421" t="s">
        <v>2722</v>
      </c>
      <c r="B47" s="1143"/>
      <c r="C47" s="1158"/>
      <c r="D47" s="1158"/>
      <c r="E47" s="1158"/>
      <c r="F47" s="1422"/>
      <c r="G47" s="1422"/>
      <c r="H47" s="1158"/>
      <c r="I47" s="1158"/>
      <c r="J47" s="1158"/>
      <c r="K47" s="1159"/>
      <c r="L47" s="1160"/>
      <c r="M47" s="1158"/>
      <c r="N47" s="1158"/>
      <c r="O47" s="1158"/>
      <c r="P47" s="1419"/>
      <c r="Q47" s="1420"/>
      <c r="R47" s="1143"/>
      <c r="S47" s="1143"/>
      <c r="T47" s="1143"/>
      <c r="U47" s="1143"/>
      <c r="V47" s="1143"/>
      <c r="W47" s="1143"/>
      <c r="X47" s="1143"/>
      <c r="Y47" s="1143"/>
      <c r="Z47" s="1143"/>
      <c r="AA47" s="1143"/>
      <c r="AB47" s="1143"/>
      <c r="AC47" s="1143"/>
    </row>
    <row r="48" spans="1:29" s="507" customFormat="1" ht="15">
      <c r="A48" s="504" t="s">
        <v>2723</v>
      </c>
      <c r="B48" s="505"/>
      <c r="C48" s="1571" t="str">
        <f>YEAR(C7)&amp;"-"&amp;MONTH(C7)</f>
        <v>2020-5</v>
      </c>
      <c r="D48" s="1572">
        <f>EDATE(C48,-1)</f>
        <v>43922</v>
      </c>
      <c r="E48" s="1572">
        <f t="shared" ref="E48:O48" si="16">EDATE(D48,-1)</f>
        <v>43891</v>
      </c>
      <c r="F48" s="1572">
        <f t="shared" si="16"/>
        <v>43862</v>
      </c>
      <c r="G48" s="1572">
        <f t="shared" si="16"/>
        <v>43831</v>
      </c>
      <c r="H48" s="1572">
        <f t="shared" si="16"/>
        <v>43800</v>
      </c>
      <c r="I48" s="1572">
        <f t="shared" si="16"/>
        <v>43770</v>
      </c>
      <c r="J48" s="1572">
        <f t="shared" si="16"/>
        <v>43739</v>
      </c>
      <c r="K48" s="1572">
        <f t="shared" si="16"/>
        <v>43709</v>
      </c>
      <c r="L48" s="1572">
        <f t="shared" si="16"/>
        <v>43678</v>
      </c>
      <c r="M48" s="1572">
        <f t="shared" si="16"/>
        <v>43647</v>
      </c>
      <c r="N48" s="1572">
        <f t="shared" si="16"/>
        <v>43617</v>
      </c>
      <c r="O48" s="1572">
        <f t="shared" si="16"/>
        <v>43586</v>
      </c>
      <c r="P48" s="1435"/>
      <c r="Q48" s="1436"/>
      <c r="R48" s="1436"/>
      <c r="S48" s="1436"/>
      <c r="T48" s="1436"/>
      <c r="U48" s="1436"/>
      <c r="V48" s="1436"/>
      <c r="W48" s="1436"/>
      <c r="X48" s="1436"/>
      <c r="Y48" s="1436"/>
      <c r="Z48" s="1436"/>
      <c r="AA48" s="1436"/>
      <c r="AB48" s="1436"/>
      <c r="AC48" s="1436"/>
    </row>
    <row r="49" spans="1:29" s="117" customFormat="1" ht="15">
      <c r="A49" s="508"/>
      <c r="B49" s="509"/>
      <c r="C49" s="1563">
        <v>100</v>
      </c>
      <c r="D49" s="511"/>
      <c r="E49" s="511"/>
      <c r="F49" s="511"/>
      <c r="G49" s="511"/>
      <c r="H49" s="511"/>
      <c r="I49" s="511"/>
      <c r="J49" s="511"/>
      <c r="K49" s="511"/>
      <c r="L49" s="511"/>
      <c r="M49" s="512"/>
      <c r="N49" s="511"/>
      <c r="O49" s="512"/>
      <c r="P49" s="1425"/>
      <c r="Q49" s="1424"/>
      <c r="R49" s="1424"/>
      <c r="S49" s="1424"/>
      <c r="T49" s="1424"/>
      <c r="U49" s="1424"/>
      <c r="V49" s="1424"/>
      <c r="W49" s="1424"/>
      <c r="X49" s="1424"/>
      <c r="Y49" s="1424"/>
      <c r="Z49" s="1424"/>
      <c r="AA49" s="1424"/>
      <c r="AB49" s="1424"/>
      <c r="AC49" s="1424"/>
    </row>
    <row r="50" spans="1:29" s="117" customFormat="1" ht="15.75" thickBot="1">
      <c r="A50" s="514" t="s">
        <v>2580</v>
      </c>
      <c r="B50" s="515"/>
      <c r="C50" s="516"/>
      <c r="D50" s="517"/>
      <c r="E50" s="517"/>
      <c r="F50" s="517"/>
      <c r="G50" s="517"/>
      <c r="H50" s="517"/>
      <c r="I50" s="517"/>
      <c r="J50" s="517"/>
      <c r="K50" s="517"/>
      <c r="L50" s="517"/>
      <c r="M50" s="518"/>
      <c r="N50" s="517"/>
      <c r="O50" s="518"/>
      <c r="P50" s="1425"/>
      <c r="Q50" s="1420"/>
      <c r="R50" s="1424"/>
      <c r="S50" s="1424"/>
      <c r="T50" s="1424"/>
      <c r="U50" s="1424"/>
      <c r="V50" s="1424"/>
      <c r="W50" s="1424"/>
      <c r="X50" s="1424"/>
      <c r="Y50" s="1424"/>
      <c r="Z50" s="1424"/>
      <c r="AA50" s="1424"/>
      <c r="AB50" s="1424"/>
      <c r="AC50" s="1424"/>
    </row>
    <row r="51" spans="1:29" s="117" customFormat="1" ht="15">
      <c r="A51" s="520" t="s">
        <v>2545</v>
      </c>
      <c r="B51" s="509"/>
      <c r="C51" s="521" t="s">
        <v>2647</v>
      </c>
      <c r="D51" s="522"/>
      <c r="E51" s="522"/>
      <c r="F51" s="522"/>
      <c r="G51" s="522"/>
      <c r="H51" s="522"/>
      <c r="I51" s="522"/>
      <c r="J51" s="522"/>
      <c r="K51" s="522"/>
      <c r="L51" s="523"/>
      <c r="M51" s="524"/>
      <c r="N51" s="1150"/>
      <c r="O51" s="1150"/>
      <c r="P51" s="1423"/>
      <c r="Q51" s="1420"/>
      <c r="R51" s="1424"/>
      <c r="S51" s="1424"/>
      <c r="T51" s="1424"/>
      <c r="U51" s="1424"/>
      <c r="V51" s="1424"/>
      <c r="W51" s="1424"/>
      <c r="X51" s="1424"/>
      <c r="Y51" s="1424"/>
      <c r="Z51" s="1424"/>
      <c r="AA51" s="1424"/>
      <c r="AB51" s="1424"/>
      <c r="AC51" s="1424"/>
    </row>
    <row r="52" spans="1:29" s="117" customFormat="1" ht="15.75" thickBot="1">
      <c r="A52" s="520"/>
      <c r="B52" s="509"/>
      <c r="C52" s="638">
        <v>100</v>
      </c>
      <c r="D52" s="511"/>
      <c r="E52" s="511"/>
      <c r="F52" s="511"/>
      <c r="G52" s="511"/>
      <c r="H52" s="511"/>
      <c r="I52" s="511"/>
      <c r="J52" s="511"/>
      <c r="K52" s="511"/>
      <c r="L52" s="511"/>
      <c r="M52" s="513"/>
      <c r="N52" s="1150"/>
      <c r="O52" s="1150"/>
      <c r="P52" s="1425"/>
      <c r="Q52" s="1420"/>
      <c r="R52" s="1424"/>
      <c r="S52" s="1424"/>
      <c r="T52" s="1424"/>
      <c r="U52" s="1424"/>
      <c r="V52" s="1424"/>
      <c r="W52" s="1424"/>
      <c r="X52" s="1424"/>
      <c r="Y52" s="1424"/>
      <c r="Z52" s="1424"/>
      <c r="AA52" s="1424"/>
      <c r="AB52" s="1424"/>
      <c r="AC52" s="1424"/>
    </row>
    <row r="53" spans="1:29">
      <c r="A53" s="526" t="s">
        <v>2583</v>
      </c>
      <c r="B53" s="527" t="s">
        <v>2549</v>
      </c>
      <c r="C53" s="528">
        <f>C9</f>
        <v>0</v>
      </c>
      <c r="D53" s="529"/>
      <c r="E53" s="529"/>
      <c r="F53" s="529"/>
      <c r="G53" s="529"/>
      <c r="H53" s="529"/>
      <c r="I53" s="529"/>
      <c r="J53" s="529"/>
      <c r="K53" s="530"/>
      <c r="L53" s="531"/>
      <c r="M53" s="532"/>
      <c r="N53" s="1151"/>
      <c r="O53" s="1151"/>
      <c r="P53" s="1426"/>
      <c r="Q53" s="1420"/>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6"/>
      <c r="Q54" s="1420"/>
      <c r="R54" s="1143"/>
      <c r="S54" s="1143"/>
      <c r="T54" s="1143"/>
      <c r="U54" s="1143"/>
      <c r="V54" s="1143"/>
      <c r="W54" s="1143"/>
      <c r="X54" s="1143"/>
      <c r="Y54" s="1143"/>
      <c r="Z54" s="1143"/>
      <c r="AA54" s="1143"/>
      <c r="AB54" s="1143"/>
      <c r="AC54" s="1143"/>
    </row>
    <row r="55" spans="1:29" ht="27.75" thickTop="1">
      <c r="A55" s="533"/>
      <c r="B55" s="537" t="s">
        <v>2552</v>
      </c>
      <c r="C55" s="538" t="s">
        <v>2584</v>
      </c>
      <c r="D55" s="538" t="s">
        <v>2585</v>
      </c>
      <c r="E55" s="538" t="s">
        <v>2586</v>
      </c>
      <c r="F55" s="538" t="s">
        <v>2587</v>
      </c>
      <c r="G55" s="538" t="s">
        <v>2588</v>
      </c>
      <c r="H55" s="538" t="s">
        <v>2589</v>
      </c>
      <c r="I55" s="538" t="s">
        <v>2590</v>
      </c>
      <c r="J55" s="538"/>
      <c r="K55" s="539"/>
      <c r="L55" s="540"/>
      <c r="M55" s="541"/>
      <c r="N55" s="1151"/>
      <c r="O55" s="1151"/>
      <c r="P55" s="1426"/>
      <c r="Q55" s="1420"/>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6"/>
      <c r="Q56" s="1420"/>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6"/>
      <c r="Q57" s="1420"/>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6"/>
      <c r="Q58" s="1420"/>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7"/>
      <c r="Q59" s="1428"/>
      <c r="R59" s="1429"/>
      <c r="S59" s="1429"/>
      <c r="T59" s="1429"/>
      <c r="U59" s="1429"/>
      <c r="V59" s="1429"/>
      <c r="W59" s="1429"/>
      <c r="X59" s="1429"/>
      <c r="Y59" s="1429"/>
      <c r="Z59" s="1429"/>
      <c r="AA59" s="1429"/>
      <c r="AB59" s="1429"/>
      <c r="AC59" s="1429"/>
    </row>
    <row r="60" spans="1:29" s="470" customFormat="1" ht="15.75" thickBot="1">
      <c r="A60" s="552"/>
      <c r="B60" s="542"/>
      <c r="C60" s="559"/>
      <c r="D60" s="535"/>
      <c r="E60" s="535"/>
      <c r="F60" s="535"/>
      <c r="G60" s="535"/>
      <c r="H60" s="535"/>
      <c r="I60" s="535"/>
      <c r="J60" s="535"/>
      <c r="K60" s="535"/>
      <c r="L60" s="535"/>
      <c r="M60" s="536"/>
      <c r="N60" s="1152"/>
      <c r="O60" s="1152"/>
      <c r="P60" s="1427"/>
      <c r="Q60" s="1428"/>
      <c r="R60" s="1429"/>
      <c r="S60" s="1429"/>
      <c r="T60" s="1429"/>
      <c r="U60" s="1429"/>
      <c r="V60" s="1429"/>
      <c r="W60" s="1429"/>
      <c r="X60" s="1429"/>
      <c r="Y60" s="1429"/>
      <c r="Z60" s="1429"/>
      <c r="AA60" s="1429"/>
      <c r="AB60" s="1429"/>
      <c r="AC60" s="1429"/>
    </row>
    <row r="61" spans="1:29" s="470" customFormat="1" ht="15.75" thickTop="1">
      <c r="A61" s="552"/>
      <c r="B61" s="537">
        <f>B13</f>
        <v>111</v>
      </c>
      <c r="C61" s="553"/>
      <c r="D61" s="553"/>
      <c r="E61" s="553"/>
      <c r="F61" s="553"/>
      <c r="G61" s="553"/>
      <c r="H61" s="554"/>
      <c r="I61" s="554"/>
      <c r="J61" s="554"/>
      <c r="K61" s="554"/>
      <c r="L61" s="555"/>
      <c r="M61" s="556"/>
      <c r="N61" s="1153"/>
      <c r="O61" s="1153"/>
      <c r="P61" s="1430"/>
      <c r="Q61" s="1431"/>
      <c r="R61" s="1429"/>
      <c r="S61" s="1429"/>
      <c r="T61" s="1429"/>
      <c r="U61" s="1429"/>
      <c r="V61" s="1429"/>
      <c r="W61" s="1429"/>
      <c r="X61" s="1429"/>
      <c r="Y61" s="1429"/>
      <c r="Z61" s="1429"/>
      <c r="AA61" s="1429"/>
      <c r="AB61" s="1429"/>
      <c r="AC61" s="1429"/>
    </row>
    <row r="62" spans="1:29" s="470" customFormat="1" ht="15.75" thickBot="1">
      <c r="A62" s="552"/>
      <c r="B62" s="542"/>
      <c r="C62" s="559"/>
      <c r="D62" s="559"/>
      <c r="E62" s="559"/>
      <c r="F62" s="559"/>
      <c r="G62" s="559"/>
      <c r="H62" s="561"/>
      <c r="I62" s="561"/>
      <c r="J62" s="561"/>
      <c r="K62" s="561"/>
      <c r="L62" s="561"/>
      <c r="M62" s="562"/>
      <c r="N62" s="1153"/>
      <c r="O62" s="1153"/>
      <c r="P62" s="1427"/>
      <c r="Q62" s="1428"/>
      <c r="R62" s="1429"/>
      <c r="S62" s="1429"/>
      <c r="T62" s="1429"/>
      <c r="U62" s="1429"/>
      <c r="V62" s="1429"/>
      <c r="W62" s="1429"/>
      <c r="X62" s="1429"/>
      <c r="Y62" s="1429"/>
      <c r="Z62" s="1429"/>
      <c r="AA62" s="1429"/>
      <c r="AB62" s="1429"/>
      <c r="AC62" s="1429"/>
    </row>
    <row r="63" spans="1:29" ht="15" thickTop="1">
      <c r="A63" s="526" t="s">
        <v>2554</v>
      </c>
      <c r="B63" s="527" t="s">
        <v>2597</v>
      </c>
      <c r="C63" s="572" t="s">
        <v>2592</v>
      </c>
      <c r="D63" s="572" t="s">
        <v>2593</v>
      </c>
      <c r="E63" s="572" t="s">
        <v>2594</v>
      </c>
      <c r="F63" s="572" t="s">
        <v>2595</v>
      </c>
      <c r="G63" s="572" t="s">
        <v>2596</v>
      </c>
      <c r="H63" s="528"/>
      <c r="I63" s="528"/>
      <c r="J63" s="528"/>
      <c r="K63" s="573"/>
      <c r="L63" s="574"/>
      <c r="M63" s="575"/>
      <c r="N63" s="1151"/>
      <c r="O63" s="1151"/>
      <c r="P63" s="1432"/>
      <c r="Q63" s="1420"/>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6"/>
      <c r="Q64" s="1420"/>
      <c r="R64" s="1143"/>
      <c r="S64" s="1143"/>
      <c r="T64" s="1143"/>
      <c r="U64" s="1143"/>
      <c r="V64" s="1143"/>
      <c r="W64" s="1143"/>
      <c r="X64" s="1143"/>
      <c r="Y64" s="1143"/>
      <c r="Z64" s="1143"/>
      <c r="AA64" s="1143"/>
      <c r="AB64" s="1143"/>
      <c r="AC64" s="1143"/>
    </row>
    <row r="65" spans="1:29" ht="15.75" thickTop="1">
      <c r="A65" s="533"/>
      <c r="B65" s="537" t="s">
        <v>2598</v>
      </c>
      <c r="C65" s="577" t="s">
        <v>2592</v>
      </c>
      <c r="D65" s="577" t="s">
        <v>2593</v>
      </c>
      <c r="E65" s="577" t="s">
        <v>2594</v>
      </c>
      <c r="F65" s="577" t="s">
        <v>2595</v>
      </c>
      <c r="G65" s="577" t="s">
        <v>2596</v>
      </c>
      <c r="H65" s="538"/>
      <c r="I65" s="538"/>
      <c r="J65" s="538"/>
      <c r="K65" s="539"/>
      <c r="L65" s="540"/>
      <c r="M65" s="541"/>
      <c r="N65" s="1151"/>
      <c r="O65" s="1151"/>
      <c r="P65" s="1426"/>
      <c r="Q65" s="1420"/>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6"/>
      <c r="Q66" s="1420"/>
      <c r="R66" s="1143"/>
      <c r="S66" s="1143"/>
      <c r="T66" s="1143"/>
      <c r="U66" s="1143"/>
      <c r="V66" s="1143"/>
      <c r="W66" s="1143"/>
      <c r="X66" s="1143"/>
      <c r="Y66" s="1143"/>
      <c r="Z66" s="1143"/>
      <c r="AA66" s="1143"/>
      <c r="AB66" s="1143"/>
      <c r="AC66" s="1143"/>
    </row>
    <row r="67" spans="1:29" ht="15.75" thickTop="1">
      <c r="A67" s="533"/>
      <c r="B67" s="545" t="s">
        <v>2684</v>
      </c>
      <c r="C67" s="659" t="s">
        <v>2670</v>
      </c>
      <c r="D67" s="659" t="s">
        <v>2671</v>
      </c>
      <c r="E67" s="659" t="s">
        <v>2672</v>
      </c>
      <c r="F67" s="659" t="s">
        <v>2673</v>
      </c>
      <c r="G67" s="659" t="s">
        <v>2674</v>
      </c>
      <c r="H67" s="538"/>
      <c r="I67" s="538"/>
      <c r="J67" s="538"/>
      <c r="K67" s="538"/>
      <c r="L67" s="538"/>
      <c r="M67" s="1379"/>
      <c r="N67" s="1152"/>
      <c r="O67" s="1152"/>
      <c r="P67" s="1426"/>
      <c r="Q67" s="1420"/>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6"/>
      <c r="Q68" s="1420"/>
      <c r="R68" s="1143"/>
      <c r="S68" s="1143"/>
      <c r="T68" s="1143"/>
      <c r="U68" s="1143"/>
      <c r="V68" s="1143"/>
      <c r="W68" s="1143"/>
      <c r="X68" s="1143"/>
      <c r="Y68" s="1143"/>
      <c r="Z68" s="1143"/>
      <c r="AA68" s="1143"/>
      <c r="AB68" s="1143"/>
      <c r="AC68" s="1143"/>
    </row>
    <row r="69" spans="1:29" ht="15.75" thickTop="1">
      <c r="A69" s="533"/>
      <c r="B69" s="537" t="s">
        <v>2604</v>
      </c>
      <c r="C69" s="577" t="s">
        <v>2592</v>
      </c>
      <c r="D69" s="577" t="s">
        <v>2593</v>
      </c>
      <c r="E69" s="577" t="s">
        <v>2594</v>
      </c>
      <c r="F69" s="577" t="s">
        <v>2595</v>
      </c>
      <c r="G69" s="577" t="s">
        <v>2596</v>
      </c>
      <c r="H69" s="538"/>
      <c r="I69" s="538"/>
      <c r="J69" s="538"/>
      <c r="K69" s="539"/>
      <c r="L69" s="540"/>
      <c r="M69" s="541"/>
      <c r="N69" s="1151"/>
      <c r="O69" s="1151"/>
      <c r="P69" s="1426"/>
      <c r="Q69" s="1420"/>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6"/>
      <c r="Q70" s="1420"/>
      <c r="R70" s="1143"/>
      <c r="S70" s="1143"/>
      <c r="T70" s="1143"/>
      <c r="U70" s="1143"/>
      <c r="V70" s="1143"/>
      <c r="W70" s="1143"/>
      <c r="X70" s="1143"/>
      <c r="Y70" s="1143"/>
      <c r="Z70" s="1143"/>
      <c r="AA70" s="1143"/>
      <c r="AB70" s="1143"/>
      <c r="AC70" s="1143"/>
    </row>
    <row r="71" spans="1:29" ht="15.75" thickTop="1">
      <c r="A71" s="533"/>
      <c r="B71" s="537" t="s">
        <v>2724</v>
      </c>
      <c r="C71" s="553"/>
      <c r="D71" s="553"/>
      <c r="E71" s="553"/>
      <c r="F71" s="553"/>
      <c r="G71" s="553"/>
      <c r="H71" s="582"/>
      <c r="I71" s="582"/>
      <c r="J71" s="582"/>
      <c r="K71" s="583"/>
      <c r="L71" s="584"/>
      <c r="M71" s="585"/>
      <c r="N71" s="1151"/>
      <c r="O71" s="1151"/>
      <c r="P71" s="1426"/>
      <c r="Q71" s="1420"/>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6"/>
      <c r="Q72" s="1420"/>
      <c r="R72" s="1143"/>
      <c r="S72" s="1143"/>
      <c r="T72" s="1143"/>
      <c r="U72" s="1143"/>
      <c r="V72" s="1143"/>
      <c r="W72" s="1143"/>
      <c r="X72" s="1143"/>
      <c r="Y72" s="1143"/>
      <c r="Z72" s="1143"/>
      <c r="AA72" s="1143"/>
      <c r="AB72" s="1143"/>
      <c r="AC72" s="1143"/>
    </row>
    <row r="73" spans="1:29" s="117" customFormat="1" ht="15.75" thickTop="1">
      <c r="A73" s="578"/>
      <c r="B73" s="537">
        <f>B23</f>
        <v>111</v>
      </c>
      <c r="C73" s="548"/>
      <c r="D73" s="548"/>
      <c r="E73" s="548"/>
      <c r="F73" s="548"/>
      <c r="G73" s="553"/>
      <c r="H73" s="553"/>
      <c r="I73" s="553"/>
      <c r="J73" s="553"/>
      <c r="K73" s="553"/>
      <c r="L73" s="579"/>
      <c r="M73" s="580"/>
      <c r="N73" s="1150"/>
      <c r="O73" s="1150"/>
      <c r="P73" s="1426"/>
      <c r="Q73" s="1420"/>
      <c r="R73" s="1424"/>
      <c r="S73" s="1424"/>
      <c r="T73" s="1424"/>
      <c r="U73" s="1424"/>
      <c r="V73" s="1424"/>
      <c r="W73" s="1424"/>
      <c r="X73" s="1424"/>
      <c r="Y73" s="1424"/>
      <c r="Z73" s="1424"/>
      <c r="AA73" s="1424"/>
      <c r="AB73" s="1424"/>
      <c r="AC73" s="1424"/>
    </row>
    <row r="74" spans="1:29" s="117" customFormat="1" ht="15.75" thickBot="1">
      <c r="A74" s="578"/>
      <c r="B74" s="542"/>
      <c r="C74" s="559"/>
      <c r="D74" s="535"/>
      <c r="E74" s="535"/>
      <c r="F74" s="535"/>
      <c r="G74" s="535"/>
      <c r="H74" s="535"/>
      <c r="I74" s="535"/>
      <c r="J74" s="535"/>
      <c r="K74" s="535"/>
      <c r="L74" s="535"/>
      <c r="M74" s="536"/>
      <c r="N74" s="1152"/>
      <c r="O74" s="1152"/>
      <c r="P74" s="1426"/>
      <c r="Q74" s="1420"/>
      <c r="R74" s="1424"/>
      <c r="S74" s="1424"/>
      <c r="T74" s="1424"/>
      <c r="U74" s="1424"/>
      <c r="V74" s="1424"/>
      <c r="W74" s="1424"/>
      <c r="X74" s="1424"/>
      <c r="Y74" s="1424"/>
      <c r="Z74" s="1424"/>
      <c r="AA74" s="1424"/>
      <c r="AB74" s="1424"/>
      <c r="AC74" s="1424"/>
    </row>
    <row r="75" spans="1:29" s="117" customFormat="1" ht="15.75" thickTop="1">
      <c r="A75" s="578"/>
      <c r="B75" s="537">
        <f>B24</f>
        <v>111</v>
      </c>
      <c r="C75" s="548"/>
      <c r="D75" s="548"/>
      <c r="E75" s="548"/>
      <c r="F75" s="548"/>
      <c r="G75" s="553"/>
      <c r="H75" s="553"/>
      <c r="I75" s="553"/>
      <c r="J75" s="553"/>
      <c r="K75" s="553"/>
      <c r="L75" s="553"/>
      <c r="M75" s="580"/>
      <c r="N75" s="1150"/>
      <c r="O75" s="1150"/>
      <c r="P75" s="1426"/>
      <c r="Q75" s="1420"/>
      <c r="R75" s="1424"/>
      <c r="S75" s="1424"/>
      <c r="T75" s="1424"/>
      <c r="U75" s="1424"/>
      <c r="V75" s="1424"/>
      <c r="W75" s="1424"/>
      <c r="X75" s="1424"/>
      <c r="Y75" s="1424"/>
      <c r="Z75" s="1424"/>
      <c r="AA75" s="1424"/>
      <c r="AB75" s="1424"/>
      <c r="AC75" s="1424"/>
    </row>
    <row r="76" spans="1:29" s="117" customFormat="1" ht="15.75" thickBot="1">
      <c r="A76" s="578"/>
      <c r="B76" s="542"/>
      <c r="C76" s="559"/>
      <c r="D76" s="535"/>
      <c r="E76" s="535"/>
      <c r="F76" s="535"/>
      <c r="G76" s="535"/>
      <c r="H76" s="535"/>
      <c r="I76" s="535"/>
      <c r="J76" s="535"/>
      <c r="K76" s="535"/>
      <c r="L76" s="535"/>
      <c r="M76" s="536"/>
      <c r="N76" s="1152"/>
      <c r="O76" s="1152"/>
      <c r="P76" s="1426"/>
      <c r="Q76" s="1420"/>
      <c r="R76" s="1424"/>
      <c r="S76" s="1424"/>
      <c r="T76" s="1424"/>
      <c r="U76" s="1424"/>
      <c r="V76" s="1424"/>
      <c r="W76" s="1424"/>
      <c r="X76" s="1424"/>
      <c r="Y76" s="1424"/>
      <c r="Z76" s="1424"/>
      <c r="AA76" s="1424"/>
      <c r="AB76" s="1424"/>
      <c r="AC76" s="1424"/>
    </row>
    <row r="77" spans="1:29" s="470" customFormat="1" ht="15.75" thickTop="1">
      <c r="A77" s="552"/>
      <c r="B77" s="537">
        <f>B25</f>
        <v>111</v>
      </c>
      <c r="C77" s="553"/>
      <c r="D77" s="553"/>
      <c r="E77" s="553"/>
      <c r="F77" s="553"/>
      <c r="G77" s="553"/>
      <c r="H77" s="554"/>
      <c r="I77" s="554"/>
      <c r="J77" s="554"/>
      <c r="K77" s="554"/>
      <c r="L77" s="555"/>
      <c r="M77" s="556"/>
      <c r="N77" s="1153"/>
      <c r="O77" s="1153"/>
      <c r="P77" s="1427"/>
      <c r="Q77" s="1428"/>
      <c r="R77" s="1429"/>
      <c r="S77" s="1429"/>
      <c r="T77" s="1429"/>
      <c r="U77" s="1429"/>
      <c r="V77" s="1429"/>
      <c r="W77" s="1429"/>
      <c r="X77" s="1429"/>
      <c r="Y77" s="1429"/>
      <c r="Z77" s="1429"/>
      <c r="AA77" s="1429"/>
      <c r="AB77" s="1429"/>
      <c r="AC77" s="1429"/>
    </row>
    <row r="78" spans="1:29" s="470" customFormat="1" ht="15.75" thickBot="1">
      <c r="A78" s="552"/>
      <c r="B78" s="542"/>
      <c r="C78" s="559"/>
      <c r="D78" s="559"/>
      <c r="E78" s="559"/>
      <c r="F78" s="559"/>
      <c r="G78" s="535"/>
      <c r="H78" s="535"/>
      <c r="I78" s="535"/>
      <c r="J78" s="535"/>
      <c r="K78" s="535"/>
      <c r="L78" s="535"/>
      <c r="M78" s="536"/>
      <c r="N78" s="1153"/>
      <c r="O78" s="1153"/>
      <c r="P78" s="1427"/>
      <c r="Q78" s="1428"/>
      <c r="R78" s="1429"/>
      <c r="S78" s="1429"/>
      <c r="T78" s="1429"/>
      <c r="U78" s="1429"/>
      <c r="V78" s="1429"/>
      <c r="W78" s="1429"/>
      <c r="X78" s="1429"/>
      <c r="Y78" s="1429"/>
      <c r="Z78" s="1429"/>
      <c r="AA78" s="1429"/>
      <c r="AB78" s="1429"/>
      <c r="AC78" s="1429"/>
    </row>
    <row r="79" spans="1:29" ht="27.75" thickTop="1">
      <c r="A79" s="526" t="s">
        <v>2558</v>
      </c>
      <c r="B79" s="527" t="s">
        <v>2725</v>
      </c>
      <c r="C79" s="528">
        <f>C26</f>
        <v>0</v>
      </c>
      <c r="D79" s="529"/>
      <c r="E79" s="529"/>
      <c r="F79" s="529"/>
      <c r="G79" s="529"/>
      <c r="H79" s="529"/>
      <c r="I79" s="529"/>
      <c r="J79" s="529"/>
      <c r="K79" s="530"/>
      <c r="L79" s="531"/>
      <c r="M79" s="532"/>
      <c r="N79" s="1151"/>
      <c r="O79" s="1151"/>
      <c r="P79" s="1426"/>
      <c r="Q79" s="1420"/>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6"/>
      <c r="Q80" s="1420"/>
      <c r="R80" s="1143"/>
      <c r="S80" s="1143"/>
      <c r="T80" s="1143"/>
      <c r="U80" s="1143"/>
      <c r="V80" s="1143"/>
      <c r="W80" s="1143"/>
      <c r="X80" s="1143"/>
      <c r="Y80" s="1143"/>
      <c r="Z80" s="1143"/>
      <c r="AA80" s="1143"/>
      <c r="AB80" s="1143"/>
      <c r="AC80" s="1143"/>
    </row>
    <row r="81" spans="1:29" ht="15.75" thickTop="1">
      <c r="A81" s="533"/>
      <c r="B81" s="537" t="s">
        <v>2726</v>
      </c>
      <c r="C81" s="660"/>
      <c r="D81" s="660"/>
      <c r="E81" s="660"/>
      <c r="F81" s="660"/>
      <c r="G81" s="660"/>
      <c r="H81" s="660"/>
      <c r="I81" s="660"/>
      <c r="J81" s="660"/>
      <c r="K81" s="661"/>
      <c r="L81" s="662"/>
      <c r="M81" s="663"/>
      <c r="N81" s="1150"/>
      <c r="O81" s="1150"/>
      <c r="P81" s="1426"/>
      <c r="Q81" s="1420"/>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7"/>
      <c r="Q82" s="1428"/>
      <c r="R82" s="1429"/>
      <c r="S82" s="1429"/>
      <c r="T82" s="1429"/>
      <c r="U82" s="1429"/>
      <c r="V82" s="1429"/>
      <c r="W82" s="1429"/>
      <c r="X82" s="1429"/>
      <c r="Y82" s="1429"/>
      <c r="Z82" s="1429"/>
      <c r="AA82" s="1429"/>
      <c r="AB82" s="1429"/>
      <c r="AC82" s="1429"/>
    </row>
    <row r="83" spans="1:29" ht="15" thickTop="1">
      <c r="A83" s="598"/>
      <c r="B83" s="537" t="s">
        <v>2611</v>
      </c>
      <c r="C83" s="553"/>
      <c r="D83" s="553"/>
      <c r="E83" s="582"/>
      <c r="F83" s="582"/>
      <c r="G83" s="582"/>
      <c r="H83" s="582"/>
      <c r="I83" s="582"/>
      <c r="J83" s="582"/>
      <c r="K83" s="583"/>
      <c r="L83" s="584"/>
      <c r="M83" s="585"/>
      <c r="N83" s="1151"/>
      <c r="O83" s="1151"/>
      <c r="P83" s="1426"/>
      <c r="Q83" s="1420"/>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6"/>
      <c r="Q84" s="1420"/>
      <c r="R84" s="1143"/>
      <c r="S84" s="1143"/>
      <c r="T84" s="1143"/>
      <c r="U84" s="1143"/>
      <c r="V84" s="1143"/>
      <c r="W84" s="1143"/>
      <c r="X84" s="1143"/>
      <c r="Y84" s="1143"/>
      <c r="Z84" s="1143"/>
      <c r="AA84" s="1143"/>
      <c r="AB84" s="1143"/>
      <c r="AC84" s="1143"/>
    </row>
    <row r="85" spans="1:29" ht="15" thickTop="1">
      <c r="A85" s="598"/>
      <c r="B85" s="537" t="s">
        <v>2727</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6"/>
      <c r="Q85" s="1420"/>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6"/>
      <c r="Q86" s="1420"/>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6"/>
      <c r="Q87" s="1420"/>
      <c r="R87" s="1143"/>
      <c r="S87" s="1143"/>
      <c r="T87" s="1143"/>
      <c r="U87" s="1143"/>
      <c r="V87" s="1143"/>
      <c r="W87" s="1143"/>
      <c r="X87" s="1143"/>
      <c r="Y87" s="1143"/>
      <c r="Z87" s="1143"/>
      <c r="AA87" s="1143"/>
      <c r="AB87" s="1143"/>
      <c r="AC87" s="1143"/>
    </row>
    <row r="88" spans="1:29" ht="15" thickTop="1">
      <c r="A88" s="598"/>
      <c r="B88" s="545" t="s">
        <v>2728</v>
      </c>
      <c r="C88" s="529"/>
      <c r="D88" s="529"/>
      <c r="E88" s="529"/>
      <c r="F88" s="529"/>
      <c r="G88" s="529"/>
      <c r="H88" s="529"/>
      <c r="I88" s="529"/>
      <c r="J88" s="529"/>
      <c r="K88" s="530"/>
      <c r="L88" s="531"/>
      <c r="M88" s="532"/>
      <c r="N88" s="1151"/>
      <c r="O88" s="1151"/>
      <c r="P88" s="1426"/>
      <c r="Q88" s="1420"/>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6"/>
      <c r="Q89" s="1420"/>
      <c r="R89" s="1143"/>
      <c r="S89" s="1143"/>
      <c r="T89" s="1143"/>
      <c r="U89" s="1143"/>
      <c r="V89" s="1143"/>
      <c r="W89" s="1143"/>
      <c r="X89" s="1143"/>
      <c r="Y89" s="1143"/>
      <c r="Z89" s="1143"/>
      <c r="AA89" s="1143"/>
      <c r="AB89" s="1143"/>
      <c r="AC89" s="1143"/>
    </row>
    <row r="90" spans="1:29" s="470" customFormat="1" ht="15" thickTop="1">
      <c r="A90" s="592"/>
      <c r="B90" s="537" t="s">
        <v>2729</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7"/>
      <c r="Q90" s="1428"/>
      <c r="R90" s="1429"/>
      <c r="S90" s="1429"/>
      <c r="T90" s="1429"/>
      <c r="U90" s="1429"/>
      <c r="V90" s="1429"/>
      <c r="W90" s="1429"/>
      <c r="X90" s="1429"/>
      <c r="Y90" s="1429"/>
      <c r="Z90" s="1429"/>
      <c r="AA90" s="1429"/>
      <c r="AB90" s="1429"/>
      <c r="AC90" s="1429"/>
    </row>
    <row r="91" spans="1:29" s="470" customFormat="1">
      <c r="A91" s="592"/>
      <c r="B91" s="545"/>
      <c r="C91" s="594"/>
      <c r="D91" s="594"/>
      <c r="E91" s="594"/>
      <c r="F91" s="594"/>
      <c r="G91" s="594"/>
      <c r="H91" s="594"/>
      <c r="I91" s="594"/>
      <c r="J91" s="595"/>
      <c r="K91" s="595"/>
      <c r="L91" s="596"/>
      <c r="M91" s="597"/>
      <c r="N91" s="1153"/>
      <c r="O91" s="1153"/>
      <c r="P91" s="1427"/>
      <c r="Q91" s="1428"/>
      <c r="R91" s="1429"/>
      <c r="S91" s="1429"/>
      <c r="T91" s="1429"/>
      <c r="U91" s="1429"/>
      <c r="V91" s="1429"/>
      <c r="W91" s="1429"/>
      <c r="X91" s="1429"/>
      <c r="Y91" s="1429"/>
      <c r="Z91" s="1429"/>
      <c r="AA91" s="1429"/>
      <c r="AB91" s="1429"/>
      <c r="AC91" s="1429"/>
    </row>
    <row r="92" spans="1:29" s="470" customFormat="1" ht="15.75" thickBot="1">
      <c r="A92" s="552"/>
      <c r="B92" s="542"/>
      <c r="C92" s="559"/>
      <c r="D92" s="535"/>
      <c r="E92" s="535"/>
      <c r="F92" s="535"/>
      <c r="G92" s="535"/>
      <c r="H92" s="535"/>
      <c r="I92" s="535"/>
      <c r="J92" s="535"/>
      <c r="K92" s="535"/>
      <c r="L92" s="535"/>
      <c r="M92" s="536"/>
      <c r="N92" s="1153"/>
      <c r="O92" s="1153"/>
      <c r="P92" s="1427"/>
      <c r="Q92" s="1428"/>
      <c r="R92" s="1429"/>
      <c r="S92" s="1429"/>
      <c r="T92" s="1429"/>
      <c r="U92" s="1429"/>
      <c r="V92" s="1429"/>
      <c r="W92" s="1429"/>
      <c r="X92" s="1429"/>
      <c r="Y92" s="1429"/>
      <c r="Z92" s="1429"/>
      <c r="AA92" s="1429"/>
      <c r="AB92" s="1429"/>
      <c r="AC92" s="1429"/>
    </row>
    <row r="93" spans="1:29" ht="15" thickTop="1">
      <c r="A93" s="598"/>
      <c r="B93" s="537" t="s">
        <v>2730</v>
      </c>
      <c r="C93" s="553"/>
      <c r="D93" s="553"/>
      <c r="E93" s="582"/>
      <c r="F93" s="582"/>
      <c r="G93" s="582"/>
      <c r="H93" s="582"/>
      <c r="I93" s="582"/>
      <c r="J93" s="582"/>
      <c r="K93" s="583"/>
      <c r="L93" s="584"/>
      <c r="M93" s="585"/>
      <c r="N93" s="1151"/>
      <c r="O93" s="1151"/>
      <c r="P93" s="1426"/>
      <c r="Q93" s="1420"/>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6"/>
      <c r="Q94" s="1420"/>
      <c r="R94" s="1143"/>
      <c r="S94" s="1143"/>
      <c r="T94" s="1143"/>
      <c r="U94" s="1143"/>
      <c r="V94" s="1143"/>
      <c r="W94" s="1143"/>
      <c r="X94" s="1143"/>
      <c r="Y94" s="1143"/>
      <c r="Z94" s="1143"/>
      <c r="AA94" s="1143"/>
      <c r="AB94" s="1143"/>
      <c r="AC94" s="1143"/>
    </row>
    <row r="95" spans="1:29" ht="15" thickTop="1">
      <c r="A95" s="598"/>
      <c r="B95" s="537" t="s">
        <v>2731</v>
      </c>
      <c r="C95" s="529"/>
      <c r="D95" s="529"/>
      <c r="E95" s="529"/>
      <c r="F95" s="529"/>
      <c r="G95" s="529"/>
      <c r="H95" s="529"/>
      <c r="I95" s="529"/>
      <c r="J95" s="529"/>
      <c r="K95" s="530"/>
      <c r="L95" s="531"/>
      <c r="M95" s="532"/>
      <c r="N95" s="1151"/>
      <c r="O95" s="1151"/>
      <c r="P95" s="1426"/>
      <c r="Q95" s="1420"/>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6"/>
      <c r="Q96" s="1420"/>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3"/>
      <c r="Q97" s="1434"/>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6"/>
      <c r="Q98" s="1420"/>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7"/>
      <c r="Q99" s="1428"/>
      <c r="R99" s="1429"/>
      <c r="S99" s="1429"/>
      <c r="T99" s="1429"/>
      <c r="U99" s="1429"/>
      <c r="V99" s="1429"/>
      <c r="W99" s="1429"/>
      <c r="X99" s="1429"/>
      <c r="Y99" s="1429"/>
      <c r="Z99" s="1429"/>
      <c r="AA99" s="1429"/>
      <c r="AB99" s="1429"/>
      <c r="AC99" s="1429"/>
    </row>
    <row r="100" spans="1:29" s="470" customFormat="1" ht="15.75" thickBot="1">
      <c r="A100" s="552"/>
      <c r="B100" s="534"/>
      <c r="C100" s="559"/>
      <c r="D100" s="535"/>
      <c r="E100" s="535"/>
      <c r="F100" s="535"/>
      <c r="G100" s="559"/>
      <c r="H100" s="561"/>
      <c r="I100" s="561"/>
      <c r="J100" s="561"/>
      <c r="K100" s="561"/>
      <c r="L100" s="561"/>
      <c r="M100" s="562"/>
      <c r="N100" s="1153"/>
      <c r="O100" s="1153"/>
      <c r="P100" s="1427"/>
      <c r="Q100" s="1428"/>
      <c r="R100" s="1429"/>
      <c r="S100" s="1429"/>
      <c r="T100" s="1429"/>
      <c r="U100" s="1429"/>
      <c r="V100" s="1429"/>
      <c r="W100" s="1429"/>
      <c r="X100" s="1429"/>
      <c r="Y100" s="1429"/>
      <c r="Z100" s="1429"/>
      <c r="AA100" s="1429"/>
      <c r="AB100" s="1429"/>
      <c r="AC100" s="1429"/>
    </row>
    <row r="101" spans="1:29" ht="15" thickTop="1">
      <c r="A101" s="598"/>
      <c r="B101" s="537">
        <f>B36</f>
        <v>111</v>
      </c>
      <c r="C101" s="553"/>
      <c r="D101" s="553"/>
      <c r="E101" s="553"/>
      <c r="F101" s="553"/>
      <c r="G101" s="553"/>
      <c r="H101" s="554"/>
      <c r="I101" s="554"/>
      <c r="J101" s="554"/>
      <c r="K101" s="554"/>
      <c r="L101" s="555"/>
      <c r="M101" s="556"/>
      <c r="N101" s="1151"/>
      <c r="O101" s="1151"/>
      <c r="P101" s="1426"/>
      <c r="Q101" s="1420"/>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6"/>
      <c r="Q102" s="1420"/>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G26" sqref="G2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2702</v>
      </c>
      <c r="B1" s="1616"/>
      <c r="C1" s="1617" t="s">
        <v>2525</v>
      </c>
      <c r="D1" s="1618"/>
      <c r="E1" s="1627"/>
      <c r="F1" s="2571"/>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2325</v>
      </c>
      <c r="B2" s="1415" t="e">
        <f ca="1">IF(C2="——",ROUND(C37*D3/10000,0),ROUND(C37*D3/10000,0)-D2)</f>
        <v>#DIV/0!</v>
      </c>
      <c r="C2" s="2573"/>
      <c r="D2" s="1123" t="e">
        <f ca="1">SUMIF(INDIRECT("'"&amp;F2&amp;"'"&amp;"!A:A"),"承租人权益价值",INDIRECT("'"&amp;F2&amp;"'"&amp;"!c:c"))</f>
        <v>#REF!</v>
      </c>
      <c r="E2" s="2574" t="s">
        <v>2326</v>
      </c>
      <c r="F2" s="257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7" t="s">
        <v>2327</v>
      </c>
      <c r="B3" s="608" t="e">
        <f ca="1">IF(C2="——",C37,ROUND(B2*10000/D3,0))</f>
        <v>#DIV/0!</v>
      </c>
      <c r="C3" s="399" t="s">
        <v>2639</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2640</v>
      </c>
      <c r="B4" s="401"/>
      <c r="C4" s="3236" t="s">
        <v>2641</v>
      </c>
      <c r="D4" s="3237"/>
      <c r="E4" s="3238" t="s">
        <v>2642</v>
      </c>
      <c r="F4" s="3239"/>
      <c r="G4" s="3236" t="s">
        <v>2643</v>
      </c>
      <c r="H4" s="3237"/>
      <c r="I4" s="3236" t="s">
        <v>2644</v>
      </c>
      <c r="J4" s="3237"/>
      <c r="K4" s="609" t="s">
        <v>2645</v>
      </c>
      <c r="L4" s="1129"/>
      <c r="M4" s="1130"/>
      <c r="N4" s="1130"/>
      <c r="O4" s="1130"/>
      <c r="P4" s="3240" t="s">
        <v>2646</v>
      </c>
      <c r="Q4" s="3241"/>
      <c r="R4" s="3226" t="s">
        <v>2642</v>
      </c>
      <c r="S4" s="3227"/>
      <c r="T4" s="3226" t="s">
        <v>2643</v>
      </c>
      <c r="U4" s="3227"/>
      <c r="V4" s="3225" t="s">
        <v>2644</v>
      </c>
      <c r="W4" s="3225"/>
      <c r="X4" s="1802"/>
      <c r="Y4" s="3226" t="s">
        <v>2646</v>
      </c>
      <c r="Z4" s="3227"/>
      <c r="AA4" s="3232" t="s">
        <v>2642</v>
      </c>
      <c r="AB4" s="3233" t="s">
        <v>2643</v>
      </c>
      <c r="AC4" s="3232" t="s">
        <v>2644</v>
      </c>
    </row>
    <row r="5" spans="1:29" ht="15">
      <c r="A5" s="403"/>
      <c r="B5" s="404"/>
      <c r="C5" s="3256" t="s">
        <v>2537</v>
      </c>
      <c r="D5" s="3247"/>
      <c r="E5" s="3255" t="s">
        <v>2538</v>
      </c>
      <c r="F5" s="3249"/>
      <c r="G5" s="3256" t="s">
        <v>2539</v>
      </c>
      <c r="H5" s="3247"/>
      <c r="I5" s="3256" t="s">
        <v>2540</v>
      </c>
      <c r="J5" s="3247"/>
      <c r="K5" s="609"/>
      <c r="L5" s="1129"/>
      <c r="M5" s="1130"/>
      <c r="N5" s="1130"/>
      <c r="O5" s="1130"/>
      <c r="P5" s="3242"/>
      <c r="Q5" s="3243"/>
      <c r="R5" s="3228"/>
      <c r="S5" s="3229"/>
      <c r="T5" s="3228"/>
      <c r="U5" s="3229"/>
      <c r="V5" s="3225"/>
      <c r="W5" s="3225"/>
      <c r="X5" s="1802"/>
      <c r="Y5" s="3228"/>
      <c r="Z5" s="3229"/>
      <c r="AA5" s="3233"/>
      <c r="AB5" s="3233"/>
      <c r="AC5" s="3233"/>
    </row>
    <row r="6" spans="1:29" ht="15.75" thickBot="1">
      <c r="A6" s="405"/>
      <c r="B6" s="406"/>
      <c r="C6" s="3254" t="s">
        <v>2541</v>
      </c>
      <c r="D6" s="3251"/>
      <c r="E6" s="3257" t="s">
        <v>2541</v>
      </c>
      <c r="F6" s="3253"/>
      <c r="G6" s="3254" t="s">
        <v>2541</v>
      </c>
      <c r="H6" s="3251"/>
      <c r="I6" s="3254" t="s">
        <v>2541</v>
      </c>
      <c r="J6" s="3251"/>
      <c r="K6" s="609" t="s">
        <v>2542</v>
      </c>
      <c r="L6" s="1129"/>
      <c r="M6" s="1130"/>
      <c r="N6" s="1130"/>
      <c r="O6" s="1130"/>
      <c r="P6" s="3244"/>
      <c r="Q6" s="3245"/>
      <c r="R6" s="3228"/>
      <c r="S6" s="3229"/>
      <c r="T6" s="3230"/>
      <c r="U6" s="3231"/>
      <c r="V6" s="3225"/>
      <c r="W6" s="3225"/>
      <c r="X6" s="1802"/>
      <c r="Y6" s="3230"/>
      <c r="Z6" s="3231"/>
      <c r="AA6" s="3234"/>
      <c r="AB6" s="3234"/>
      <c r="AC6" s="3234"/>
    </row>
    <row r="7" spans="1:29" s="117" customFormat="1" ht="15.75" thickBot="1">
      <c r="A7" s="407" t="s">
        <v>2543</v>
      </c>
      <c r="B7" s="408"/>
      <c r="C7" s="409">
        <f>'数据-取费表'!B2</f>
        <v>43962</v>
      </c>
      <c r="D7" s="410">
        <v>100</v>
      </c>
      <c r="E7" s="411"/>
      <c r="F7" s="412">
        <f>SUMIF(46:46,YEAR(E7)&amp;"-"&amp;MONTH(E7),47:47)</f>
        <v>0</v>
      </c>
      <c r="G7" s="2681"/>
      <c r="H7" s="410">
        <f>SUMIF(46:46,YEAR(G7)&amp;"-"&amp;MONTH(G7),47:47)</f>
        <v>0</v>
      </c>
      <c r="I7" s="411"/>
      <c r="J7" s="410">
        <f>SUMIF(46:46,YEAR(I7)&amp;"-"&amp;MONTH(I7),47:47)</f>
        <v>0</v>
      </c>
      <c r="K7" s="610"/>
      <c r="L7" s="1131"/>
      <c r="M7" s="1132"/>
      <c r="N7" s="1132"/>
      <c r="O7" s="1132"/>
      <c r="P7" s="3222" t="s">
        <v>2544</v>
      </c>
      <c r="Q7" s="3235"/>
      <c r="R7" s="769" t="s">
        <v>17</v>
      </c>
      <c r="S7" s="770">
        <f t="shared" ref="S7:S14" si="0">F7</f>
        <v>0</v>
      </c>
      <c r="T7" s="769" t="s">
        <v>17</v>
      </c>
      <c r="U7" s="770">
        <f t="shared" ref="U7:U14" si="1">H7</f>
        <v>0</v>
      </c>
      <c r="V7" s="769" t="s">
        <v>17</v>
      </c>
      <c r="W7" s="770">
        <f t="shared" ref="W7:W14" si="2">J7</f>
        <v>0</v>
      </c>
      <c r="X7" s="771"/>
      <c r="Y7" s="3222" t="s">
        <v>2544</v>
      </c>
      <c r="Z7" s="3223"/>
      <c r="AA7" s="772" t="e">
        <f>D7/F7</f>
        <v>#DIV/0!</v>
      </c>
      <c r="AB7" s="772" t="e">
        <f>D7/H7</f>
        <v>#DIV/0!</v>
      </c>
      <c r="AC7" s="772" t="e">
        <f>D7/J7</f>
        <v>#DIV/0!</v>
      </c>
    </row>
    <row r="8" spans="1:29" s="117" customFormat="1" ht="15.75" thickBot="1">
      <c r="A8" s="407" t="s">
        <v>2545</v>
      </c>
      <c r="B8" s="408"/>
      <c r="C8" s="413" t="s">
        <v>2647</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22" t="s">
        <v>2547</v>
      </c>
      <c r="Q8" s="3223"/>
      <c r="R8" s="769" t="s">
        <v>17</v>
      </c>
      <c r="S8" s="770">
        <f t="shared" si="0"/>
        <v>0</v>
      </c>
      <c r="T8" s="769" t="s">
        <v>17</v>
      </c>
      <c r="U8" s="770">
        <f t="shared" si="1"/>
        <v>0</v>
      </c>
      <c r="V8" s="769" t="s">
        <v>17</v>
      </c>
      <c r="W8" s="770">
        <f t="shared" si="2"/>
        <v>0</v>
      </c>
      <c r="X8" s="771"/>
      <c r="Y8" s="3222" t="s">
        <v>2547</v>
      </c>
      <c r="Z8" s="3223"/>
      <c r="AA8" s="772" t="e">
        <f t="shared" ref="AA8:AA34" si="3">D8/F8</f>
        <v>#DIV/0!</v>
      </c>
      <c r="AB8" s="772" t="e">
        <f t="shared" ref="AB8:AB34" si="4">D8/H8</f>
        <v>#DIV/0!</v>
      </c>
      <c r="AC8" s="772" t="e">
        <f t="shared" ref="AC8:AC34" si="5">D8/J8</f>
        <v>#DIV/0!</v>
      </c>
    </row>
    <row r="9" spans="1:29" s="117" customFormat="1">
      <c r="A9" s="414" t="s">
        <v>2548</v>
      </c>
      <c r="B9" s="71" t="s">
        <v>2549</v>
      </c>
      <c r="C9" s="415"/>
      <c r="D9" s="135">
        <v>100</v>
      </c>
      <c r="E9" s="418"/>
      <c r="F9" s="417">
        <f>SUMIF(51:51,E9,52:52)-SUMIF(51:51,C9,52:52)+100</f>
        <v>100</v>
      </c>
      <c r="G9" s="418"/>
      <c r="H9" s="135">
        <f>SUMIF(51:51,G9,52:52)-SUMIF(51:51,C9,52:52)+100</f>
        <v>100</v>
      </c>
      <c r="I9" s="418"/>
      <c r="J9" s="135">
        <f>SUMIF(51:51,I9,52:52)-SUMIF(51:51,C9,52:52)+100</f>
        <v>100</v>
      </c>
      <c r="K9" s="610"/>
      <c r="L9" s="1131"/>
      <c r="M9" s="1132"/>
      <c r="N9" s="1132"/>
      <c r="O9" s="1133"/>
      <c r="P9" s="3208" t="s">
        <v>2550</v>
      </c>
      <c r="Q9" s="1784" t="str">
        <f t="shared" ref="Q9:Q14" si="6">B9</f>
        <v>用途</v>
      </c>
      <c r="R9" s="769" t="s">
        <v>17</v>
      </c>
      <c r="S9" s="770">
        <f t="shared" si="0"/>
        <v>100</v>
      </c>
      <c r="T9" s="769" t="s">
        <v>17</v>
      </c>
      <c r="U9" s="770">
        <f t="shared" si="1"/>
        <v>100</v>
      </c>
      <c r="V9" s="769" t="s">
        <v>17</v>
      </c>
      <c r="W9" s="770">
        <f t="shared" si="2"/>
        <v>100</v>
      </c>
      <c r="X9" s="771"/>
      <c r="Y9" s="3055" t="s">
        <v>2551</v>
      </c>
      <c r="Z9" s="55" t="str">
        <f t="shared" ref="Z9:Z14" si="7">Q9</f>
        <v>用途</v>
      </c>
      <c r="AA9" s="772">
        <f t="shared" si="3"/>
        <v>1</v>
      </c>
      <c r="AB9" s="772">
        <f t="shared" si="4"/>
        <v>1</v>
      </c>
      <c r="AC9" s="772">
        <f t="shared" si="5"/>
        <v>1</v>
      </c>
    </row>
    <row r="10" spans="1:29" s="426" customFormat="1" ht="27">
      <c r="A10" s="420"/>
      <c r="B10" s="421" t="s">
        <v>2552</v>
      </c>
      <c r="C10" s="422"/>
      <c r="D10" s="136">
        <v>100</v>
      </c>
      <c r="E10" s="422"/>
      <c r="F10" s="424">
        <f>SUMIF(53:53,E10,54:54)-SUMIF(53:53,C10,54:54)+100</f>
        <v>100</v>
      </c>
      <c r="G10" s="422"/>
      <c r="H10" s="136">
        <f>SUMIF(53:53,G10,54:54)-SUMIF(53:53,C10,54:54)+100</f>
        <v>100</v>
      </c>
      <c r="I10" s="422"/>
      <c r="J10" s="136">
        <f>SUMIF(53:53,I10,54:54)-SUMIF(53:53,C10,54:54)+100</f>
        <v>100</v>
      </c>
      <c r="K10" s="611"/>
      <c r="L10" s="1134"/>
      <c r="M10" s="1135"/>
      <c r="N10" s="1135"/>
      <c r="O10" s="1136"/>
      <c r="P10" s="3208"/>
      <c r="Q10" s="1784"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
      <c r="A11" s="427"/>
      <c r="B11" s="2587">
        <v>111</v>
      </c>
      <c r="C11" s="431"/>
      <c r="D11" s="136">
        <v>100</v>
      </c>
      <c r="E11" s="468"/>
      <c r="F11" s="424">
        <f>SUMIF(55:55,E11,56:56)-SUMIF(55:55,C11,56:56)+100</f>
        <v>100</v>
      </c>
      <c r="G11" s="468"/>
      <c r="H11" s="136">
        <f>SUMIF(55:55,G11,56:56)-SUMIF(55:55,C11,56:56)+100</f>
        <v>100</v>
      </c>
      <c r="I11" s="468"/>
      <c r="J11" s="136">
        <f>SUMIF(55:55,I11,56:56)-SUMIF(55:55,C11,56:56)+100</f>
        <v>100</v>
      </c>
      <c r="K11" s="612"/>
      <c r="L11" s="1137"/>
      <c r="M11" s="1130"/>
      <c r="N11" s="1130"/>
      <c r="O11" s="1138"/>
      <c r="P11" s="3208"/>
      <c r="Q11" s="1784">
        <f t="shared" si="6"/>
        <v>111</v>
      </c>
      <c r="R11" s="769" t="s">
        <v>17</v>
      </c>
      <c r="S11" s="770">
        <f t="shared" si="0"/>
        <v>100</v>
      </c>
      <c r="T11" s="769" t="s">
        <v>17</v>
      </c>
      <c r="U11" s="770">
        <f t="shared" si="1"/>
        <v>100</v>
      </c>
      <c r="V11" s="769" t="s">
        <v>17</v>
      </c>
      <c r="W11" s="770">
        <f t="shared" si="2"/>
        <v>100</v>
      </c>
      <c r="X11" s="771"/>
      <c r="Y11" s="3055"/>
      <c r="Z11" s="55">
        <f t="shared" si="7"/>
        <v>111</v>
      </c>
      <c r="AA11" s="772">
        <f t="shared" si="3"/>
        <v>1</v>
      </c>
      <c r="AB11" s="772">
        <f t="shared" si="4"/>
        <v>1</v>
      </c>
      <c r="AC11" s="772">
        <f t="shared" si="5"/>
        <v>1</v>
      </c>
    </row>
    <row r="12" spans="1:29" s="117" customFormat="1" ht="15">
      <c r="A12" s="430"/>
      <c r="B12" s="2587">
        <v>111</v>
      </c>
      <c r="C12" s="431"/>
      <c r="D12" s="432">
        <v>100</v>
      </c>
      <c r="E12" s="468"/>
      <c r="F12" s="424">
        <f>SUMIF(57:57,E12,58:58)-SUMIF(57:57,C12,58:58)+100</f>
        <v>100</v>
      </c>
      <c r="G12" s="468"/>
      <c r="H12" s="136">
        <f>SUMIF(57:57,G12,58:58)-SUMIF(57:57,C12,58:58)+100</f>
        <v>100</v>
      </c>
      <c r="I12" s="468"/>
      <c r="J12" s="136">
        <f>SUMIF(57:57,I12,58:58)-SUMIF(57:57,C12,58:58)+100</f>
        <v>100</v>
      </c>
      <c r="K12" s="612"/>
      <c r="L12" s="1131"/>
      <c r="M12" s="1132"/>
      <c r="N12" s="1132"/>
      <c r="O12" s="1133"/>
      <c r="P12" s="3208"/>
      <c r="Q12" s="1784">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75" thickBot="1">
      <c r="A13" s="427"/>
      <c r="B13" s="2587">
        <v>111</v>
      </c>
      <c r="C13" s="433"/>
      <c r="D13" s="434">
        <v>100</v>
      </c>
      <c r="E13" s="468"/>
      <c r="F13" s="424">
        <f>SUMIF(59:59,E13,60:60)-SUMIF(59:59,C13,60:60)+100</f>
        <v>100</v>
      </c>
      <c r="G13" s="2682"/>
      <c r="H13" s="437">
        <f>SUMIF(59:59,G13,60:60)-SUMIF(59:59,C13,60:60)+100</f>
        <v>100</v>
      </c>
      <c r="I13" s="468"/>
      <c r="J13" s="434">
        <f>SUMIF(59:59,I13,60:60)-SUMIF(59:59,C13,60:60)+100</f>
        <v>100</v>
      </c>
      <c r="K13" s="612"/>
      <c r="L13" s="1139"/>
      <c r="M13" s="1130"/>
      <c r="N13" s="1130"/>
      <c r="O13" s="1138"/>
      <c r="P13" s="3208"/>
      <c r="Q13" s="1784">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85.5">
      <c r="A14" s="439" t="s">
        <v>2554</v>
      </c>
      <c r="B14" s="69" t="s">
        <v>2704</v>
      </c>
      <c r="C14" s="2678"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15" t="s">
        <v>2555</v>
      </c>
      <c r="Q14" s="1799" t="str">
        <f t="shared" si="6"/>
        <v>交通便捷度</v>
      </c>
      <c r="R14" s="773" t="s">
        <v>17</v>
      </c>
      <c r="S14" s="774">
        <f t="shared" si="0"/>
        <v>100</v>
      </c>
      <c r="T14" s="773" t="s">
        <v>17</v>
      </c>
      <c r="U14" s="774">
        <f t="shared" si="1"/>
        <v>100</v>
      </c>
      <c r="V14" s="773" t="s">
        <v>17</v>
      </c>
      <c r="W14" s="774">
        <f t="shared" si="2"/>
        <v>100</v>
      </c>
      <c r="X14" s="1802"/>
      <c r="Y14" s="3215" t="s">
        <v>2555</v>
      </c>
      <c r="Z14" s="1803" t="str">
        <f t="shared" si="7"/>
        <v>交通便捷度</v>
      </c>
      <c r="AA14" s="1800">
        <f t="shared" si="3"/>
        <v>1</v>
      </c>
      <c r="AB14" s="1800">
        <f t="shared" si="4"/>
        <v>1</v>
      </c>
      <c r="AC14" s="1800">
        <f t="shared" si="5"/>
        <v>1</v>
      </c>
    </row>
    <row r="15" spans="1:29" ht="15">
      <c r="A15" s="427"/>
      <c r="B15" s="445"/>
      <c r="C15" s="446"/>
      <c r="D15" s="447"/>
      <c r="E15" s="446"/>
      <c r="F15" s="448"/>
      <c r="G15" s="446"/>
      <c r="H15" s="449"/>
      <c r="I15" s="446"/>
      <c r="J15" s="447"/>
      <c r="K15" s="614"/>
      <c r="L15" s="1139"/>
      <c r="M15" s="1130"/>
      <c r="N15" s="1130"/>
      <c r="O15" s="1138"/>
      <c r="P15" s="3216"/>
      <c r="Q15" s="1799"/>
      <c r="R15" s="773"/>
      <c r="S15" s="774"/>
      <c r="T15" s="773"/>
      <c r="U15" s="774"/>
      <c r="V15" s="773"/>
      <c r="W15" s="774"/>
      <c r="X15" s="1802"/>
      <c r="Y15" s="3216"/>
      <c r="Z15" s="1803"/>
      <c r="AA15" s="1800">
        <v>1</v>
      </c>
      <c r="AB15" s="1800">
        <v>1</v>
      </c>
      <c r="AC15" s="1800">
        <v>1</v>
      </c>
    </row>
    <row r="16" spans="1:29" ht="42.75">
      <c r="A16" s="427"/>
      <c r="B16" s="450" t="s">
        <v>2683</v>
      </c>
      <c r="C16" s="2594"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16"/>
      <c r="Q16" s="1799" t="str">
        <f>B16</f>
        <v>公共配套设施</v>
      </c>
      <c r="R16" s="773" t="s">
        <v>17</v>
      </c>
      <c r="S16" s="774">
        <f>F16</f>
        <v>100</v>
      </c>
      <c r="T16" s="773" t="s">
        <v>17</v>
      </c>
      <c r="U16" s="774">
        <f>H16</f>
        <v>100</v>
      </c>
      <c r="V16" s="773" t="s">
        <v>17</v>
      </c>
      <c r="W16" s="774">
        <f>J16</f>
        <v>100</v>
      </c>
      <c r="X16" s="1802"/>
      <c r="Y16" s="3216"/>
      <c r="Z16" s="1803" t="str">
        <f>Q16</f>
        <v>公共配套设施</v>
      </c>
      <c r="AA16" s="1800">
        <f t="shared" si="3"/>
        <v>1</v>
      </c>
      <c r="AB16" s="1800">
        <f t="shared" si="4"/>
        <v>1</v>
      </c>
      <c r="AC16" s="1800">
        <f t="shared" si="5"/>
        <v>1</v>
      </c>
    </row>
    <row r="17" spans="1:29" ht="15">
      <c r="A17" s="427"/>
      <c r="B17" s="455"/>
      <c r="C17" s="2595"/>
      <c r="D17" s="447"/>
      <c r="E17" s="446"/>
      <c r="F17" s="448"/>
      <c r="G17" s="446"/>
      <c r="H17" s="447"/>
      <c r="I17" s="446"/>
      <c r="J17" s="447"/>
      <c r="K17" s="614"/>
      <c r="L17" s="1139"/>
      <c r="M17" s="1130"/>
      <c r="N17" s="1130"/>
      <c r="O17" s="1138"/>
      <c r="P17" s="3216"/>
      <c r="Q17" s="1799"/>
      <c r="R17" s="773"/>
      <c r="S17" s="774"/>
      <c r="T17" s="773"/>
      <c r="U17" s="774"/>
      <c r="V17" s="773"/>
      <c r="W17" s="774"/>
      <c r="X17" s="1802"/>
      <c r="Y17" s="3216"/>
      <c r="Z17" s="1803"/>
      <c r="AA17" s="1800">
        <v>1</v>
      </c>
      <c r="AB17" s="1800">
        <v>1</v>
      </c>
      <c r="AC17" s="1800">
        <v>1</v>
      </c>
    </row>
    <row r="18" spans="1:29" ht="28.5">
      <c r="A18" s="427"/>
      <c r="B18" s="1381" t="s">
        <v>2684</v>
      </c>
      <c r="C18" s="2594"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16"/>
      <c r="Q18" s="1799" t="str">
        <f>B18</f>
        <v>基础设施水平</v>
      </c>
      <c r="R18" s="773" t="s">
        <v>17</v>
      </c>
      <c r="S18" s="774">
        <f>F18</f>
        <v>100</v>
      </c>
      <c r="T18" s="773" t="s">
        <v>17</v>
      </c>
      <c r="U18" s="774">
        <f>H18</f>
        <v>100</v>
      </c>
      <c r="V18" s="773" t="s">
        <v>17</v>
      </c>
      <c r="W18" s="774">
        <f>J18</f>
        <v>100</v>
      </c>
      <c r="X18" s="1802"/>
      <c r="Y18" s="3216"/>
      <c r="Z18" s="1803" t="str">
        <f>Q18</f>
        <v>基础设施水平</v>
      </c>
      <c r="AA18" s="1800">
        <f t="shared" ref="AA18" si="8">D18/F18</f>
        <v>1</v>
      </c>
      <c r="AB18" s="1800">
        <f t="shared" ref="AB18" si="9">D18/H18</f>
        <v>1</v>
      </c>
      <c r="AC18" s="1800">
        <f t="shared" ref="AC18" si="10">D18/J18</f>
        <v>1</v>
      </c>
    </row>
    <row r="19" spans="1:29" ht="15">
      <c r="A19" s="427"/>
      <c r="B19" s="1381"/>
      <c r="C19" s="2595"/>
      <c r="D19" s="449"/>
      <c r="E19" s="2595"/>
      <c r="F19" s="452"/>
      <c r="G19" s="2595"/>
      <c r="H19" s="447"/>
      <c r="I19" s="446"/>
      <c r="J19" s="447"/>
      <c r="K19" s="1380"/>
      <c r="L19" s="1139"/>
      <c r="M19" s="1130"/>
      <c r="N19" s="1130"/>
      <c r="O19" s="1138"/>
      <c r="P19" s="3216"/>
      <c r="Q19" s="1799"/>
      <c r="R19" s="773"/>
      <c r="S19" s="774"/>
      <c r="T19" s="773"/>
      <c r="U19" s="774"/>
      <c r="V19" s="773"/>
      <c r="W19" s="774"/>
      <c r="X19" s="1802"/>
      <c r="Y19" s="3216"/>
      <c r="Z19" s="1803"/>
      <c r="AA19" s="1800">
        <v>1</v>
      </c>
      <c r="AB19" s="1800">
        <v>1</v>
      </c>
      <c r="AC19" s="1800">
        <v>1</v>
      </c>
    </row>
    <row r="20" spans="1:29" ht="57">
      <c r="A20" s="427"/>
      <c r="B20" s="450" t="s">
        <v>2705</v>
      </c>
      <c r="C20" s="2594"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16"/>
      <c r="Q20" s="1799" t="str">
        <f>B20</f>
        <v>自然及人文环境</v>
      </c>
      <c r="R20" s="773" t="s">
        <v>17</v>
      </c>
      <c r="S20" s="774">
        <f>F20</f>
        <v>100</v>
      </c>
      <c r="T20" s="773" t="s">
        <v>17</v>
      </c>
      <c r="U20" s="774">
        <f>H20</f>
        <v>100</v>
      </c>
      <c r="V20" s="773" t="s">
        <v>17</v>
      </c>
      <c r="W20" s="774">
        <f>J20</f>
        <v>100</v>
      </c>
      <c r="X20" s="1802"/>
      <c r="Y20" s="3216"/>
      <c r="Z20" s="1803" t="str">
        <f>Q20</f>
        <v>自然及人文环境</v>
      </c>
      <c r="AA20" s="1800">
        <f t="shared" si="3"/>
        <v>1</v>
      </c>
      <c r="AB20" s="1800">
        <f t="shared" si="4"/>
        <v>1</v>
      </c>
      <c r="AC20" s="1800">
        <f t="shared" si="5"/>
        <v>1</v>
      </c>
    </row>
    <row r="21" spans="1:29" ht="15">
      <c r="A21" s="427"/>
      <c r="B21" s="455"/>
      <c r="C21" s="446"/>
      <c r="D21" s="447"/>
      <c r="E21" s="446"/>
      <c r="F21" s="448"/>
      <c r="G21" s="446"/>
      <c r="H21" s="447"/>
      <c r="I21" s="446"/>
      <c r="J21" s="447"/>
      <c r="K21" s="614"/>
      <c r="L21" s="1139"/>
      <c r="M21" s="1130"/>
      <c r="N21" s="1130"/>
      <c r="O21" s="1138"/>
      <c r="P21" s="3216"/>
      <c r="Q21" s="1799"/>
      <c r="R21" s="773"/>
      <c r="S21" s="774"/>
      <c r="T21" s="773"/>
      <c r="U21" s="774"/>
      <c r="V21" s="773"/>
      <c r="W21" s="774"/>
      <c r="X21" s="1802"/>
      <c r="Y21" s="3216"/>
      <c r="Z21" s="1803"/>
      <c r="AA21" s="1800">
        <v>1</v>
      </c>
      <c r="AB21" s="1800">
        <v>1</v>
      </c>
      <c r="AC21" s="1800">
        <v>1</v>
      </c>
    </row>
    <row r="22" spans="1:29" ht="15">
      <c r="A22" s="427"/>
      <c r="B22" s="450" t="s">
        <v>2706</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16"/>
      <c r="Q22" s="1799" t="str">
        <f>B22</f>
        <v>楼层</v>
      </c>
      <c r="R22" s="773" t="s">
        <v>17</v>
      </c>
      <c r="S22" s="774">
        <f>F22</f>
        <v>100</v>
      </c>
      <c r="T22" s="773" t="s">
        <v>17</v>
      </c>
      <c r="U22" s="774">
        <f>H22</f>
        <v>100</v>
      </c>
      <c r="V22" s="773" t="s">
        <v>17</v>
      </c>
      <c r="W22" s="774">
        <f>J22</f>
        <v>100</v>
      </c>
      <c r="X22" s="1802"/>
      <c r="Y22" s="3216"/>
      <c r="Z22" s="1803" t="str">
        <f>Q22</f>
        <v>楼层</v>
      </c>
      <c r="AA22" s="1800">
        <f t="shared" si="3"/>
        <v>1</v>
      </c>
      <c r="AB22" s="1800">
        <f t="shared" si="4"/>
        <v>1</v>
      </c>
      <c r="AC22" s="1800">
        <f t="shared" si="5"/>
        <v>1</v>
      </c>
    </row>
    <row r="23" spans="1:29" ht="15">
      <c r="A23" s="403"/>
      <c r="B23" s="2587">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16"/>
      <c r="Q23" s="1799">
        <f>B23</f>
        <v>111</v>
      </c>
      <c r="R23" s="773" t="s">
        <v>17</v>
      </c>
      <c r="S23" s="774">
        <f>F23</f>
        <v>100</v>
      </c>
      <c r="T23" s="773" t="s">
        <v>17</v>
      </c>
      <c r="U23" s="774">
        <f>H23</f>
        <v>100</v>
      </c>
      <c r="V23" s="773" t="s">
        <v>17</v>
      </c>
      <c r="W23" s="774">
        <f>J23</f>
        <v>100</v>
      </c>
      <c r="X23" s="1802"/>
      <c r="Y23" s="3216"/>
      <c r="Z23" s="1803">
        <f>Q23</f>
        <v>111</v>
      </c>
      <c r="AA23" s="1800">
        <f t="shared" si="3"/>
        <v>1</v>
      </c>
      <c r="AB23" s="1800">
        <f t="shared" si="4"/>
        <v>1</v>
      </c>
      <c r="AC23" s="1800">
        <f t="shared" si="5"/>
        <v>1</v>
      </c>
    </row>
    <row r="24" spans="1:29" ht="15">
      <c r="A24" s="427"/>
      <c r="B24" s="2587">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16"/>
      <c r="Q24" s="1799">
        <f t="shared" ref="Q24:Q34" si="11">B24</f>
        <v>111</v>
      </c>
      <c r="R24" s="773" t="s">
        <v>17</v>
      </c>
      <c r="S24" s="774">
        <f>F24</f>
        <v>100</v>
      </c>
      <c r="T24" s="773" t="s">
        <v>17</v>
      </c>
      <c r="U24" s="774">
        <f>H24</f>
        <v>100</v>
      </c>
      <c r="V24" s="773" t="s">
        <v>17</v>
      </c>
      <c r="W24" s="774">
        <f>J24</f>
        <v>100</v>
      </c>
      <c r="X24" s="1802"/>
      <c r="Y24" s="3216"/>
      <c r="Z24" s="1803">
        <f>Q24</f>
        <v>111</v>
      </c>
      <c r="AA24" s="1800">
        <f t="shared" si="3"/>
        <v>1</v>
      </c>
      <c r="AB24" s="1800">
        <f t="shared" si="4"/>
        <v>1</v>
      </c>
      <c r="AC24" s="1800">
        <f t="shared" si="5"/>
        <v>1</v>
      </c>
    </row>
    <row r="25" spans="1:29" s="117" customFormat="1" ht="15.75" thickBot="1">
      <c r="A25" s="430"/>
      <c r="B25" s="2587">
        <v>111</v>
      </c>
      <c r="C25" s="2683"/>
      <c r="D25" s="664">
        <v>100</v>
      </c>
      <c r="E25" s="2683"/>
      <c r="F25" s="665">
        <f>SUMIF(75:75,E25,76:76)-SUMIF(75:75,C25,76:76)+100</f>
        <v>100</v>
      </c>
      <c r="G25" s="2683"/>
      <c r="H25" s="664">
        <f>SUMIF(75:75,G25,76:76)-SUMIF(75:75,C25,76:76)+100</f>
        <v>100</v>
      </c>
      <c r="I25" s="2683"/>
      <c r="J25" s="664">
        <f>SUMIF(75:75,I25,76:76)-SUMIF(75:75,C25,76:76)+100</f>
        <v>100</v>
      </c>
      <c r="K25" s="612"/>
      <c r="L25" s="1131"/>
      <c r="M25" s="1132"/>
      <c r="N25" s="1132"/>
      <c r="O25" s="1133"/>
      <c r="P25" s="3216"/>
      <c r="Q25" s="1784">
        <f t="shared" si="11"/>
        <v>111</v>
      </c>
      <c r="R25" s="769" t="s">
        <v>17</v>
      </c>
      <c r="S25" s="770">
        <f>F25</f>
        <v>100</v>
      </c>
      <c r="T25" s="769" t="s">
        <v>17</v>
      </c>
      <c r="U25" s="770">
        <f>H25</f>
        <v>100</v>
      </c>
      <c r="V25" s="769" t="s">
        <v>17</v>
      </c>
      <c r="W25" s="770">
        <f>J25</f>
        <v>100</v>
      </c>
      <c r="X25" s="771"/>
      <c r="Y25" s="3216"/>
      <c r="Z25" s="55">
        <f>Q25</f>
        <v>111</v>
      </c>
      <c r="AA25" s="1800">
        <f>D25/F25</f>
        <v>1</v>
      </c>
      <c r="AB25" s="1800">
        <f>D25/H25</f>
        <v>1</v>
      </c>
      <c r="AC25" s="1800">
        <f>D25/J25</f>
        <v>1</v>
      </c>
    </row>
    <row r="26" spans="1:29" ht="28.5">
      <c r="A26" s="465" t="s">
        <v>2558</v>
      </c>
      <c r="B26" s="71" t="s">
        <v>2709</v>
      </c>
      <c r="C26" s="2664"/>
      <c r="D26" s="466">
        <v>100</v>
      </c>
      <c r="E26" s="2664"/>
      <c r="F26" s="666">
        <f>SUMIF(77:77,E26,78:78)-SUMIF(77:77,C26,78:78)+100</f>
        <v>100</v>
      </c>
      <c r="G26" s="2664"/>
      <c r="H26" s="466">
        <f>SUMIF(77:77,G26,78:78)-SUMIF(77:77,C26,78:78)+100</f>
        <v>100</v>
      </c>
      <c r="I26" s="2664"/>
      <c r="J26" s="466">
        <f>SUMIF(77:77,I26,78:78)-SUMIF(77:77,C26,78:78)+100</f>
        <v>100</v>
      </c>
      <c r="K26" s="611"/>
      <c r="L26" s="1139"/>
      <c r="M26" s="1130"/>
      <c r="N26" s="1130"/>
      <c r="O26" s="1138"/>
      <c r="P26" s="3273" t="s">
        <v>2560</v>
      </c>
      <c r="Q26" s="1799" t="str">
        <f t="shared" si="11"/>
        <v>公共部分装修</v>
      </c>
      <c r="R26" s="773" t="s">
        <v>17</v>
      </c>
      <c r="S26" s="774">
        <f t="shared" ref="S26:S34" si="12">F26</f>
        <v>100</v>
      </c>
      <c r="T26" s="773" t="s">
        <v>17</v>
      </c>
      <c r="U26" s="774">
        <f t="shared" ref="U26:U34" si="13">H26</f>
        <v>100</v>
      </c>
      <c r="V26" s="773" t="s">
        <v>17</v>
      </c>
      <c r="W26" s="774">
        <f t="shared" ref="W26:W34" si="14">J26</f>
        <v>100</v>
      </c>
      <c r="X26" s="1802"/>
      <c r="Y26" s="3220" t="s">
        <v>2560</v>
      </c>
      <c r="Z26" s="1803" t="str">
        <f t="shared" ref="Z26:Z34" si="15">Q26</f>
        <v>公共部分装修</v>
      </c>
      <c r="AA26" s="1800">
        <f t="shared" si="3"/>
        <v>1</v>
      </c>
      <c r="AB26" s="1800">
        <f t="shared" si="4"/>
        <v>1</v>
      </c>
      <c r="AC26" s="1800">
        <f t="shared" si="5"/>
        <v>1</v>
      </c>
    </row>
    <row r="27" spans="1:29" s="470" customFormat="1" ht="15">
      <c r="A27" s="467"/>
      <c r="B27" s="421" t="s">
        <v>2710</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20"/>
      <c r="Q27" s="775" t="str">
        <f t="shared" si="11"/>
        <v>成新率</v>
      </c>
      <c r="R27" s="776" t="s">
        <v>17</v>
      </c>
      <c r="S27" s="777" t="e">
        <f t="shared" si="12"/>
        <v>#N/A</v>
      </c>
      <c r="T27" s="776" t="s">
        <v>17</v>
      </c>
      <c r="U27" s="777" t="e">
        <f t="shared" si="13"/>
        <v>#N/A</v>
      </c>
      <c r="V27" s="776" t="s">
        <v>17</v>
      </c>
      <c r="W27" s="777" t="e">
        <f t="shared" si="14"/>
        <v>#N/A</v>
      </c>
      <c r="X27" s="778"/>
      <c r="Y27" s="3220"/>
      <c r="Z27" s="779" t="str">
        <f t="shared" si="15"/>
        <v>成新率</v>
      </c>
      <c r="AA27" s="1800" t="e">
        <f t="shared" si="3"/>
        <v>#N/A</v>
      </c>
      <c r="AB27" s="1800" t="e">
        <f t="shared" si="4"/>
        <v>#N/A</v>
      </c>
      <c r="AC27" s="1800" t="e">
        <f t="shared" si="5"/>
        <v>#N/A</v>
      </c>
    </row>
    <row r="28" spans="1:29" ht="15">
      <c r="A28" s="471"/>
      <c r="B28" s="421" t="s">
        <v>2711</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20"/>
      <c r="Q28" s="1799" t="str">
        <f t="shared" si="11"/>
        <v>物业等级</v>
      </c>
      <c r="R28" s="773" t="s">
        <v>17</v>
      </c>
      <c r="S28" s="774">
        <f t="shared" si="12"/>
        <v>100</v>
      </c>
      <c r="T28" s="773" t="s">
        <v>17</v>
      </c>
      <c r="U28" s="774">
        <f t="shared" si="13"/>
        <v>100</v>
      </c>
      <c r="V28" s="773" t="s">
        <v>17</v>
      </c>
      <c r="W28" s="774">
        <f t="shared" si="14"/>
        <v>100</v>
      </c>
      <c r="X28" s="1802"/>
      <c r="Y28" s="3220"/>
      <c r="Z28" s="1803" t="str">
        <f t="shared" si="15"/>
        <v>物业等级</v>
      </c>
      <c r="AA28" s="1800">
        <f t="shared" si="3"/>
        <v>1</v>
      </c>
      <c r="AB28" s="1800">
        <f t="shared" si="4"/>
        <v>1</v>
      </c>
      <c r="AC28" s="1800">
        <f t="shared" si="5"/>
        <v>1</v>
      </c>
    </row>
    <row r="29" spans="1:29" ht="15">
      <c r="A29" s="471"/>
      <c r="B29" s="421" t="s">
        <v>2732</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20"/>
      <c r="Q29" s="1799" t="str">
        <f t="shared" si="11"/>
        <v>有无电梯</v>
      </c>
      <c r="R29" s="773" t="s">
        <v>17</v>
      </c>
      <c r="S29" s="774">
        <f t="shared" si="12"/>
        <v>100</v>
      </c>
      <c r="T29" s="773" t="s">
        <v>17</v>
      </c>
      <c r="U29" s="774">
        <f t="shared" si="13"/>
        <v>100</v>
      </c>
      <c r="V29" s="773" t="s">
        <v>17</v>
      </c>
      <c r="W29" s="774">
        <f t="shared" si="14"/>
        <v>100</v>
      </c>
      <c r="X29" s="1802"/>
      <c r="Y29" s="3220"/>
      <c r="Z29" s="1803" t="str">
        <f t="shared" si="15"/>
        <v>有无电梯</v>
      </c>
      <c r="AA29" s="1800">
        <f t="shared" si="3"/>
        <v>1</v>
      </c>
      <c r="AB29" s="1800">
        <f t="shared" si="4"/>
        <v>1</v>
      </c>
      <c r="AC29" s="1800">
        <f t="shared" si="5"/>
        <v>1</v>
      </c>
    </row>
    <row r="30" spans="1:29" ht="15">
      <c r="A30" s="471"/>
      <c r="B30" s="421" t="s">
        <v>2733</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20"/>
      <c r="Q30" s="1799" t="str">
        <f t="shared" si="11"/>
        <v>建筑面积</v>
      </c>
      <c r="R30" s="773" t="s">
        <v>17</v>
      </c>
      <c r="S30" s="774" t="e">
        <f t="shared" si="12"/>
        <v>#N/A</v>
      </c>
      <c r="T30" s="773" t="s">
        <v>17</v>
      </c>
      <c r="U30" s="774" t="e">
        <f t="shared" si="13"/>
        <v>#N/A</v>
      </c>
      <c r="V30" s="773" t="s">
        <v>17</v>
      </c>
      <c r="W30" s="774" t="e">
        <f t="shared" si="14"/>
        <v>#N/A</v>
      </c>
      <c r="X30" s="1802"/>
      <c r="Y30" s="3220"/>
      <c r="Z30" s="1803" t="str">
        <f t="shared" si="15"/>
        <v>建筑面积</v>
      </c>
      <c r="AA30" s="1800" t="e">
        <f t="shared" si="3"/>
        <v>#N/A</v>
      </c>
      <c r="AB30" s="1800" t="e">
        <f t="shared" si="4"/>
        <v>#N/A</v>
      </c>
      <c r="AC30" s="1800" t="e">
        <f t="shared" si="5"/>
        <v>#N/A</v>
      </c>
    </row>
    <row r="31" spans="1:29" s="117" customFormat="1" ht="15">
      <c r="A31" s="472"/>
      <c r="B31" s="421" t="s">
        <v>2734</v>
      </c>
      <c r="C31" s="656"/>
      <c r="D31" s="136">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20"/>
      <c r="Q31" s="1784" t="str">
        <f t="shared" si="11"/>
        <v>是否封闭</v>
      </c>
      <c r="R31" s="769" t="s">
        <v>17</v>
      </c>
      <c r="S31" s="770">
        <f t="shared" si="12"/>
        <v>100</v>
      </c>
      <c r="T31" s="769" t="s">
        <v>17</v>
      </c>
      <c r="U31" s="770">
        <f t="shared" si="13"/>
        <v>100</v>
      </c>
      <c r="V31" s="769" t="s">
        <v>17</v>
      </c>
      <c r="W31" s="770">
        <f t="shared" si="14"/>
        <v>100</v>
      </c>
      <c r="X31" s="771"/>
      <c r="Y31" s="3220"/>
      <c r="Z31" s="55" t="str">
        <f t="shared" si="15"/>
        <v>是否封闭</v>
      </c>
      <c r="AA31" s="772">
        <f t="shared" si="3"/>
        <v>1</v>
      </c>
      <c r="AB31" s="772">
        <f t="shared" si="4"/>
        <v>1</v>
      </c>
      <c r="AC31" s="772">
        <f t="shared" si="5"/>
        <v>1</v>
      </c>
    </row>
    <row r="32" spans="1:29" ht="15">
      <c r="A32" s="471"/>
      <c r="B32" s="2587">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20" t="s">
        <v>2560</v>
      </c>
      <c r="Q32" s="1799">
        <f t="shared" si="11"/>
        <v>111</v>
      </c>
      <c r="R32" s="773" t="s">
        <v>17</v>
      </c>
      <c r="S32" s="774">
        <f t="shared" si="12"/>
        <v>100</v>
      </c>
      <c r="T32" s="773" t="s">
        <v>17</v>
      </c>
      <c r="U32" s="774">
        <f t="shared" si="13"/>
        <v>100</v>
      </c>
      <c r="V32" s="773" t="s">
        <v>17</v>
      </c>
      <c r="W32" s="774">
        <f t="shared" si="14"/>
        <v>100</v>
      </c>
      <c r="X32" s="1802"/>
      <c r="Y32" s="3220" t="s">
        <v>2560</v>
      </c>
      <c r="Z32" s="1803">
        <f t="shared" si="15"/>
        <v>111</v>
      </c>
      <c r="AA32" s="1800">
        <f t="shared" si="3"/>
        <v>1</v>
      </c>
      <c r="AB32" s="1800">
        <f t="shared" si="4"/>
        <v>1</v>
      </c>
      <c r="AC32" s="1800">
        <f t="shared" si="5"/>
        <v>1</v>
      </c>
    </row>
    <row r="33" spans="1:29" ht="15">
      <c r="A33" s="471"/>
      <c r="B33" s="2587">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20"/>
      <c r="Q33" s="1799">
        <f t="shared" si="11"/>
        <v>111</v>
      </c>
      <c r="R33" s="773" t="s">
        <v>17</v>
      </c>
      <c r="S33" s="774">
        <f t="shared" si="12"/>
        <v>100</v>
      </c>
      <c r="T33" s="773" t="s">
        <v>17</v>
      </c>
      <c r="U33" s="774">
        <f t="shared" si="13"/>
        <v>100</v>
      </c>
      <c r="V33" s="773" t="s">
        <v>17</v>
      </c>
      <c r="W33" s="774">
        <f t="shared" si="14"/>
        <v>100</v>
      </c>
      <c r="X33" s="1802"/>
      <c r="Y33" s="3220"/>
      <c r="Z33" s="1803">
        <f t="shared" si="15"/>
        <v>111</v>
      </c>
      <c r="AA33" s="1800">
        <f t="shared" si="3"/>
        <v>1</v>
      </c>
      <c r="AB33" s="1800">
        <f t="shared" si="4"/>
        <v>1</v>
      </c>
      <c r="AC33" s="1800">
        <f t="shared" si="5"/>
        <v>1</v>
      </c>
    </row>
    <row r="34" spans="1:29" ht="15.75" thickBot="1">
      <c r="A34" s="477"/>
      <c r="B34" s="2589">
        <v>111</v>
      </c>
      <c r="C34" s="436"/>
      <c r="D34" s="437">
        <v>100</v>
      </c>
      <c r="E34" s="2682"/>
      <c r="F34" s="438">
        <f>SUMIF(95:95,E34,96:96)-SUMIF(95:95,C34,96:96)+100</f>
        <v>100</v>
      </c>
      <c r="G34" s="2682"/>
      <c r="H34" s="437">
        <f>SUMIF(95:95,G34,96:96)-SUMIF(95:95,C34,96:96)+100</f>
        <v>100</v>
      </c>
      <c r="I34" s="2682"/>
      <c r="J34" s="437">
        <f>SUMIF(95:95,I34,96:96)-SUMIF(95:95,C34,96:96)+100</f>
        <v>100</v>
      </c>
      <c r="K34" s="612"/>
      <c r="L34" s="1139"/>
      <c r="M34" s="1130"/>
      <c r="N34" s="1130"/>
      <c r="O34" s="1138"/>
      <c r="P34" s="3220"/>
      <c r="Q34" s="1799">
        <f t="shared" si="11"/>
        <v>111</v>
      </c>
      <c r="R34" s="773" t="s">
        <v>17</v>
      </c>
      <c r="S34" s="774">
        <f t="shared" si="12"/>
        <v>100</v>
      </c>
      <c r="T34" s="773" t="s">
        <v>17</v>
      </c>
      <c r="U34" s="774">
        <f t="shared" si="13"/>
        <v>100</v>
      </c>
      <c r="V34" s="773" t="s">
        <v>17</v>
      </c>
      <c r="W34" s="774">
        <f t="shared" si="14"/>
        <v>100</v>
      </c>
      <c r="X34" s="1802"/>
      <c r="Y34" s="3220"/>
      <c r="Z34" s="1803">
        <f t="shared" si="15"/>
        <v>111</v>
      </c>
      <c r="AA34" s="1800">
        <f t="shared" si="3"/>
        <v>1</v>
      </c>
      <c r="AB34" s="1800">
        <f t="shared" si="4"/>
        <v>1</v>
      </c>
      <c r="AC34" s="1800">
        <f t="shared" si="5"/>
        <v>1</v>
      </c>
    </row>
    <row r="35" spans="1:29" ht="15">
      <c r="A35" s="478" t="s">
        <v>2572</v>
      </c>
      <c r="B35" s="479"/>
      <c r="C35" s="1404" t="s">
        <v>1</v>
      </c>
      <c r="D35" s="1405"/>
      <c r="E35" s="1406"/>
      <c r="F35" s="1407"/>
      <c r="G35" s="1408"/>
      <c r="H35" s="1409"/>
      <c r="I35" s="1406"/>
      <c r="J35" s="1409"/>
      <c r="K35" s="782"/>
      <c r="L35" s="1142"/>
      <c r="M35" s="1143"/>
      <c r="N35" s="1130"/>
      <c r="O35" s="1143"/>
      <c r="P35" s="3208" t="str">
        <f>A35</f>
        <v>成交单价（元/平方米）</v>
      </c>
      <c r="Q35" s="3208"/>
      <c r="R35" s="3209">
        <f>E35</f>
        <v>0</v>
      </c>
      <c r="S35" s="3209"/>
      <c r="T35" s="3209">
        <f>G35</f>
        <v>0</v>
      </c>
      <c r="U35" s="3209"/>
      <c r="V35" s="3209">
        <f>I35</f>
        <v>0</v>
      </c>
      <c r="W35" s="3209"/>
      <c r="X35" s="758"/>
      <c r="Y35" s="780"/>
      <c r="Z35" s="758"/>
      <c r="AA35" s="758"/>
      <c r="AB35" s="758"/>
      <c r="AC35" s="758"/>
    </row>
    <row r="36" spans="1:29" ht="15.75" thickBot="1">
      <c r="A36" s="485" t="s">
        <v>2664</v>
      </c>
      <c r="B36" s="486"/>
      <c r="C36" s="1410" t="e">
        <f>R37</f>
        <v>#DIV/0!</v>
      </c>
      <c r="D36" s="1411"/>
      <c r="E36" s="1412" t="e">
        <f>R36</f>
        <v>#DIV/0!</v>
      </c>
      <c r="F36" s="1412"/>
      <c r="G36" s="1410" t="e">
        <f>T36</f>
        <v>#DIV/0!</v>
      </c>
      <c r="H36" s="1411"/>
      <c r="I36" s="1412" t="e">
        <f>V36</f>
        <v>#DIV/0!</v>
      </c>
      <c r="J36" s="1411"/>
      <c r="K36" s="783"/>
      <c r="L36" s="1142"/>
      <c r="M36" s="1143"/>
      <c r="N36" s="1130"/>
      <c r="O36" s="1143"/>
      <c r="P36" s="3208" t="str">
        <f>A36</f>
        <v>比较价值（元/平方米）</v>
      </c>
      <c r="Q36" s="3208"/>
      <c r="R36" s="3209" t="e">
        <f>IF(F1="售价",ROUND(PRODUCT(R35,AA7:AA34),0),ROUND(PRODUCT(R35,AA7:AA34),1))</f>
        <v>#DIV/0!</v>
      </c>
      <c r="S36" s="3209"/>
      <c r="T36" s="3209" t="e">
        <f>IF(F1="售价",ROUND(PRODUCT(T35,AB7:AB34),0),ROUND(PRODUCT(T35,AB7:AB34),1))</f>
        <v>#DIV/0!</v>
      </c>
      <c r="U36" s="3209"/>
      <c r="V36" s="3209" t="e">
        <f>IF(F1="售价",ROUND(PRODUCT(V35,AC7:AC34),0),ROUND(PRODUCT(V35,AC7:AC34),1))</f>
        <v>#DIV/0!</v>
      </c>
      <c r="W36" s="3209"/>
      <c r="X36" s="758"/>
      <c r="Y36" s="758"/>
      <c r="Z36" s="758"/>
      <c r="AA36" s="758"/>
      <c r="AB36" s="758"/>
      <c r="AC36" s="758"/>
    </row>
    <row r="37" spans="1:29" ht="15.75" thickBot="1">
      <c r="A37" s="491" t="s">
        <v>2665</v>
      </c>
      <c r="B37" s="492"/>
      <c r="C37" s="1414" t="e">
        <f>R37</f>
        <v>#DIV/0!</v>
      </c>
      <c r="D37" s="1414"/>
      <c r="E37" s="1414"/>
      <c r="F37" s="1414"/>
      <c r="G37" s="1414"/>
      <c r="H37" s="1414"/>
      <c r="I37" s="1414"/>
      <c r="J37" s="1414"/>
      <c r="K37" s="784"/>
      <c r="L37" s="1142"/>
      <c r="M37" s="1143"/>
      <c r="N37" s="1143"/>
      <c r="O37" s="1143"/>
      <c r="P37" s="3210" t="str">
        <f>A37</f>
        <v>估价对象XX用房的比较价值（楼面单价，元/平方米）</v>
      </c>
      <c r="Q37" s="3211"/>
      <c r="R37" s="3212" t="e">
        <f>IF(F1="售价",ROUND(AVERAGE(R36:V36),0),ROUND(AVERAGE(R36:V36),1))</f>
        <v>#DIV/0!</v>
      </c>
      <c r="S37" s="3212"/>
      <c r="T37" s="3212"/>
      <c r="U37" s="3212"/>
      <c r="V37" s="3212"/>
      <c r="W37" s="3212"/>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2666</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2667</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2668</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2669</v>
      </c>
      <c r="B45" s="758"/>
      <c r="C45" s="763"/>
      <c r="D45" s="763"/>
      <c r="E45" s="763"/>
      <c r="F45" s="764"/>
      <c r="G45" s="764"/>
      <c r="H45" s="763"/>
      <c r="I45" s="763"/>
      <c r="J45" s="763"/>
      <c r="K45" s="765"/>
      <c r="L45" s="766"/>
      <c r="M45" s="763"/>
      <c r="N45" s="763"/>
      <c r="O45" s="763"/>
      <c r="P45" s="502"/>
      <c r="Q45" s="503"/>
    </row>
    <row r="46" spans="1:29" s="507" customFormat="1" ht="15">
      <c r="A46" s="504" t="s">
        <v>2543</v>
      </c>
      <c r="B46" s="505"/>
      <c r="C46" s="1571" t="str">
        <f>YEAR(C7)&amp;"-"&amp;MONTH(C7)</f>
        <v>2020-5</v>
      </c>
      <c r="D46" s="1572">
        <f>EDATE(C46,-1)</f>
        <v>43922</v>
      </c>
      <c r="E46" s="1572">
        <f t="shared" ref="E46:O46" si="16">EDATE(D46,-1)</f>
        <v>43891</v>
      </c>
      <c r="F46" s="1572">
        <f t="shared" si="16"/>
        <v>43862</v>
      </c>
      <c r="G46" s="1572">
        <f t="shared" si="16"/>
        <v>43831</v>
      </c>
      <c r="H46" s="1572">
        <f t="shared" si="16"/>
        <v>43800</v>
      </c>
      <c r="I46" s="1572">
        <f t="shared" si="16"/>
        <v>43770</v>
      </c>
      <c r="J46" s="1572">
        <f t="shared" si="16"/>
        <v>43739</v>
      </c>
      <c r="K46" s="1572">
        <f t="shared" si="16"/>
        <v>43709</v>
      </c>
      <c r="L46" s="1572">
        <f t="shared" si="16"/>
        <v>43678</v>
      </c>
      <c r="M46" s="1572">
        <f t="shared" si="16"/>
        <v>43647</v>
      </c>
      <c r="N46" s="1572">
        <f t="shared" si="16"/>
        <v>43617</v>
      </c>
      <c r="O46" s="1572">
        <f t="shared" si="16"/>
        <v>43586</v>
      </c>
      <c r="P46" s="506"/>
    </row>
    <row r="47" spans="1:29" s="117" customFormat="1" ht="15">
      <c r="A47" s="508"/>
      <c r="B47" s="509"/>
      <c r="C47" s="1570">
        <v>100</v>
      </c>
      <c r="D47" s="511"/>
      <c r="E47" s="511"/>
      <c r="F47" s="511"/>
      <c r="G47" s="511"/>
      <c r="H47" s="511"/>
      <c r="I47" s="511"/>
      <c r="J47" s="511"/>
      <c r="K47" s="511"/>
      <c r="L47" s="511"/>
      <c r="M47" s="512"/>
      <c r="N47" s="511"/>
      <c r="O47" s="513"/>
      <c r="P47" s="503"/>
    </row>
    <row r="48" spans="1:29" s="117" customFormat="1" ht="15.75" thickBot="1">
      <c r="A48" s="514" t="s">
        <v>2580</v>
      </c>
      <c r="B48" s="515"/>
      <c r="C48" s="516"/>
      <c r="D48" s="517"/>
      <c r="E48" s="517"/>
      <c r="F48" s="517"/>
      <c r="G48" s="517"/>
      <c r="H48" s="517"/>
      <c r="I48" s="517"/>
      <c r="J48" s="517"/>
      <c r="K48" s="517"/>
      <c r="L48" s="517"/>
      <c r="M48" s="518"/>
      <c r="N48" s="517"/>
      <c r="O48" s="519"/>
      <c r="P48" s="503"/>
      <c r="Q48" s="503"/>
    </row>
    <row r="49" spans="1:17" s="117" customFormat="1" ht="15">
      <c r="A49" s="520" t="s">
        <v>2545</v>
      </c>
      <c r="B49" s="509"/>
      <c r="C49" s="521" t="s">
        <v>2647</v>
      </c>
      <c r="D49" s="522"/>
      <c r="E49" s="522"/>
      <c r="F49" s="522"/>
      <c r="G49" s="522"/>
      <c r="H49" s="522"/>
      <c r="I49" s="522"/>
      <c r="J49" s="522"/>
      <c r="K49" s="522"/>
      <c r="L49" s="523"/>
      <c r="M49" s="524"/>
      <c r="N49" s="1150"/>
      <c r="O49" s="1150"/>
      <c r="P49" s="525"/>
      <c r="Q49" s="503"/>
    </row>
    <row r="50" spans="1:17" s="117"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2583</v>
      </c>
      <c r="B51" s="527" t="s">
        <v>2549</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2552</v>
      </c>
      <c r="C53" s="538" t="s">
        <v>2584</v>
      </c>
      <c r="D53" s="538" t="s">
        <v>2585</v>
      </c>
      <c r="E53" s="538" t="s">
        <v>2586</v>
      </c>
      <c r="F53" s="538" t="s">
        <v>2587</v>
      </c>
      <c r="G53" s="538" t="s">
        <v>2588</v>
      </c>
      <c r="H53" s="538" t="s">
        <v>2589</v>
      </c>
      <c r="I53" s="538" t="s">
        <v>2590</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9">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2554</v>
      </c>
      <c r="B61" s="527" t="s">
        <v>2597</v>
      </c>
      <c r="C61" s="572" t="s">
        <v>2592</v>
      </c>
      <c r="D61" s="572" t="s">
        <v>2593</v>
      </c>
      <c r="E61" s="572" t="s">
        <v>2594</v>
      </c>
      <c r="F61" s="572" t="s">
        <v>2595</v>
      </c>
      <c r="G61" s="572" t="s">
        <v>2596</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2735</v>
      </c>
      <c r="C63" s="577" t="s">
        <v>2592</v>
      </c>
      <c r="D63" s="577" t="s">
        <v>2593</v>
      </c>
      <c r="E63" s="577" t="s">
        <v>2594</v>
      </c>
      <c r="F63" s="577" t="s">
        <v>2595</v>
      </c>
      <c r="G63" s="577" t="s">
        <v>2596</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2684</v>
      </c>
      <c r="C65" s="659" t="s">
        <v>2670</v>
      </c>
      <c r="D65" s="659" t="s">
        <v>2671</v>
      </c>
      <c r="E65" s="659" t="s">
        <v>2672</v>
      </c>
      <c r="F65" s="659" t="s">
        <v>2673</v>
      </c>
      <c r="G65" s="659" t="s">
        <v>2674</v>
      </c>
      <c r="H65" s="538"/>
      <c r="I65" s="538"/>
      <c r="J65" s="538"/>
      <c r="K65" s="538"/>
      <c r="L65" s="538"/>
      <c r="M65" s="1379"/>
      <c r="N65" s="1152"/>
      <c r="O65" s="1152"/>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75" thickTop="1">
      <c r="A67" s="533"/>
      <c r="B67" s="537" t="s">
        <v>2604</v>
      </c>
      <c r="C67" s="577" t="s">
        <v>2592</v>
      </c>
      <c r="D67" s="577" t="s">
        <v>2593</v>
      </c>
      <c r="E67" s="577" t="s">
        <v>2594</v>
      </c>
      <c r="F67" s="577" t="s">
        <v>2595</v>
      </c>
      <c r="G67" s="577" t="s">
        <v>2596</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2724</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5.75" thickTop="1">
      <c r="A71" s="578"/>
      <c r="B71" s="537">
        <f>B23</f>
        <v>111</v>
      </c>
      <c r="C71" s="548"/>
      <c r="D71" s="548"/>
      <c r="E71" s="548"/>
      <c r="F71" s="548"/>
      <c r="G71" s="553"/>
      <c r="H71" s="553"/>
      <c r="I71" s="553"/>
      <c r="J71" s="553"/>
      <c r="K71" s="553"/>
      <c r="L71" s="579"/>
      <c r="M71" s="580"/>
      <c r="N71" s="1150"/>
      <c r="O71" s="1150"/>
      <c r="P71" s="45"/>
      <c r="Q71" s="503"/>
    </row>
    <row r="72" spans="1:17" s="117" customFormat="1" ht="15.75" thickBot="1">
      <c r="A72" s="578"/>
      <c r="B72" s="542"/>
      <c r="C72" s="559"/>
      <c r="D72" s="535"/>
      <c r="E72" s="535"/>
      <c r="F72" s="535"/>
      <c r="G72" s="535"/>
      <c r="H72" s="535"/>
      <c r="I72" s="535"/>
      <c r="J72" s="535"/>
      <c r="K72" s="535"/>
      <c r="L72" s="535"/>
      <c r="M72" s="536"/>
      <c r="N72" s="1152"/>
      <c r="O72" s="1152"/>
      <c r="P72" s="45"/>
      <c r="Q72" s="503"/>
    </row>
    <row r="73" spans="1:17" s="117" customFormat="1" ht="15.75" thickTop="1">
      <c r="A73" s="578"/>
      <c r="B73" s="537">
        <f>B24</f>
        <v>111</v>
      </c>
      <c r="C73" s="548"/>
      <c r="D73" s="548"/>
      <c r="E73" s="548"/>
      <c r="F73" s="548"/>
      <c r="G73" s="553"/>
      <c r="H73" s="553"/>
      <c r="I73" s="553"/>
      <c r="J73" s="553"/>
      <c r="K73" s="553"/>
      <c r="L73" s="553"/>
      <c r="M73" s="580"/>
      <c r="N73" s="1150"/>
      <c r="O73" s="1150"/>
      <c r="P73" s="45"/>
      <c r="Q73" s="503"/>
    </row>
    <row r="74" spans="1:17" s="117"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2558</v>
      </c>
      <c r="B77" s="527" t="s">
        <v>2611</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2727</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2728</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2736</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2737</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2738</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7" zoomScale="80" zoomScaleNormal="80" workbookViewId="0">
      <selection activeCell="K27" sqref="K27"/>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2739</v>
      </c>
      <c r="B1" s="394"/>
      <c r="C1" s="395" t="s">
        <v>2740</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5" t="s">
        <v>2325</v>
      </c>
      <c r="B2" s="670">
        <f>F66</f>
        <v>56114</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7" t="s">
        <v>2327</v>
      </c>
      <c r="B3" s="608">
        <f>ROUND(IF(D3="",B2*10000/'数据-汇总表'!E3,B2*10000/D3),0)</f>
        <v>12903</v>
      </c>
      <c r="C3" s="247" t="s">
        <v>2741</v>
      </c>
      <c r="D3" s="1580">
        <f>'数据-汇总表'!E3</f>
        <v>43490.38</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2640</v>
      </c>
      <c r="B4" s="401"/>
      <c r="C4" s="3236" t="s">
        <v>2641</v>
      </c>
      <c r="D4" s="3237"/>
      <c r="E4" s="3238" t="s">
        <v>2642</v>
      </c>
      <c r="F4" s="3239"/>
      <c r="G4" s="3236" t="s">
        <v>2643</v>
      </c>
      <c r="H4" s="3237"/>
      <c r="I4" s="3236" t="s">
        <v>2644</v>
      </c>
      <c r="J4" s="3237"/>
      <c r="K4" s="609" t="s">
        <v>2645</v>
      </c>
      <c r="L4" s="1129"/>
      <c r="M4" s="1130"/>
      <c r="N4" s="1130"/>
      <c r="O4" s="1130"/>
      <c r="P4" s="3240" t="s">
        <v>2646</v>
      </c>
      <c r="Q4" s="3241"/>
      <c r="R4" s="3226" t="s">
        <v>2642</v>
      </c>
      <c r="S4" s="3227"/>
      <c r="T4" s="3226" t="s">
        <v>2643</v>
      </c>
      <c r="U4" s="3227"/>
      <c r="V4" s="3225" t="s">
        <v>2644</v>
      </c>
      <c r="W4" s="3225"/>
      <c r="X4" s="1802"/>
      <c r="Y4" s="3226" t="s">
        <v>2646</v>
      </c>
      <c r="Z4" s="3227"/>
      <c r="AA4" s="3232" t="s">
        <v>2642</v>
      </c>
      <c r="AB4" s="3233" t="s">
        <v>2643</v>
      </c>
      <c r="AC4" s="3232" t="s">
        <v>2644</v>
      </c>
    </row>
    <row r="5" spans="1:30" ht="15">
      <c r="A5" s="403"/>
      <c r="B5" s="404"/>
      <c r="C5" s="3246" t="s">
        <v>3220</v>
      </c>
      <c r="D5" s="3247"/>
      <c r="E5" s="3255" t="str">
        <f>土地案例!A8</f>
        <v>北京市丰台区王佐镇魏各庄FT00-0503-0092等地块(丰台区青龙湖国际会都核心区C地块)二类居住及基础教育用地</v>
      </c>
      <c r="F5" s="3249"/>
      <c r="G5" s="3256" t="str">
        <f>土地案例!A13</f>
        <v>北京市房山区青龙湖镇FS16-0201-0005地块R2二类居住用地、FS16-0201-0004地块B4综合性商业金融服务业用地、FS16-0201-0003地块S4社会停车场用地</v>
      </c>
      <c r="H5" s="3247"/>
      <c r="I5" s="3256" t="str">
        <f>土地案例!A15</f>
        <v>北京市房山区青龙湖镇FS16-0201-0013地块R2二类居住用地</v>
      </c>
      <c r="J5" s="3247"/>
      <c r="K5" s="609"/>
      <c r="L5" s="1129"/>
      <c r="M5" s="1130"/>
      <c r="N5" s="1130"/>
      <c r="O5" s="1130"/>
      <c r="P5" s="3242"/>
      <c r="Q5" s="3243"/>
      <c r="R5" s="3228"/>
      <c r="S5" s="3229"/>
      <c r="T5" s="3228"/>
      <c r="U5" s="3229"/>
      <c r="V5" s="3225"/>
      <c r="W5" s="3225"/>
      <c r="X5" s="1802"/>
      <c r="Y5" s="3228"/>
      <c r="Z5" s="3229"/>
      <c r="AA5" s="3233"/>
      <c r="AB5" s="3233"/>
      <c r="AC5" s="3233"/>
    </row>
    <row r="6" spans="1:30" ht="15.75" thickBot="1">
      <c r="A6" s="405"/>
      <c r="B6" s="406"/>
      <c r="C6" s="3250" t="s">
        <v>3221</v>
      </c>
      <c r="D6" s="3251"/>
      <c r="E6" s="3257" t="str">
        <f>土地案例!F8</f>
        <v>丰台区王佐镇魏各庄</v>
      </c>
      <c r="F6" s="3253"/>
      <c r="G6" s="3254" t="str">
        <f>土地案例!F13</f>
        <v>房山区青龙湖镇</v>
      </c>
      <c r="H6" s="3251"/>
      <c r="I6" s="3254" t="str">
        <f>土地案例!F15</f>
        <v>房山区青龙湖镇</v>
      </c>
      <c r="J6" s="3251"/>
      <c r="K6" s="609" t="s">
        <v>2542</v>
      </c>
      <c r="L6" s="1129"/>
      <c r="M6" s="1130"/>
      <c r="N6" s="1130"/>
      <c r="O6" s="1130"/>
      <c r="P6" s="3244"/>
      <c r="Q6" s="3245"/>
      <c r="R6" s="3228"/>
      <c r="S6" s="3229"/>
      <c r="T6" s="3230"/>
      <c r="U6" s="3231"/>
      <c r="V6" s="3225"/>
      <c r="W6" s="3225"/>
      <c r="X6" s="1802"/>
      <c r="Y6" s="3230"/>
      <c r="Z6" s="3231"/>
      <c r="AA6" s="3234"/>
      <c r="AB6" s="3234"/>
      <c r="AC6" s="3234"/>
    </row>
    <row r="7" spans="1:30" s="117" customFormat="1" ht="15.75" thickBot="1">
      <c r="A7" s="407" t="s">
        <v>2543</v>
      </c>
      <c r="B7" s="408"/>
      <c r="C7" s="409">
        <f>'数据-取费表'!B2</f>
        <v>43962</v>
      </c>
      <c r="D7" s="410">
        <v>100</v>
      </c>
      <c r="E7" s="411" t="str">
        <f>土地案例!K8</f>
        <v>2019-02-02</v>
      </c>
      <c r="F7" s="412">
        <f>SUMIF(70:70,YEAR(E7)&amp;"-"&amp;INT((MONTH(E7)+2)/3),71:71)</f>
        <v>95</v>
      </c>
      <c r="G7" s="2681" t="str">
        <f>土地案例!K13</f>
        <v>2018-09-13</v>
      </c>
      <c r="H7" s="410">
        <f>SUMIF(70:70,YEAR(G7)&amp;"-"&amp;INT((MONTH(G7)+2)/3),71:71)</f>
        <v>93</v>
      </c>
      <c r="I7" s="2681" t="str">
        <f>土地案例!K15</f>
        <v>2018-07-04</v>
      </c>
      <c r="J7" s="410">
        <f>SUMIF(70:70,YEAR(I7)&amp;"-"&amp;INT((MONTH(I7)+2)/3),71:71)</f>
        <v>93</v>
      </c>
      <c r="K7" s="610"/>
      <c r="L7" s="1131"/>
      <c r="M7" s="1132"/>
      <c r="N7" s="1132"/>
      <c r="O7" s="1132"/>
      <c r="P7" s="3222" t="s">
        <v>2544</v>
      </c>
      <c r="Q7" s="3235"/>
      <c r="R7" s="769" t="s">
        <v>17</v>
      </c>
      <c r="S7" s="770">
        <f t="shared" ref="S7:S15" si="0">F7</f>
        <v>95</v>
      </c>
      <c r="T7" s="769" t="s">
        <v>17</v>
      </c>
      <c r="U7" s="770">
        <f t="shared" ref="U7:U15" si="1">H7</f>
        <v>93</v>
      </c>
      <c r="V7" s="769" t="s">
        <v>17</v>
      </c>
      <c r="W7" s="770">
        <f t="shared" ref="W7:W15" si="2">J7</f>
        <v>93</v>
      </c>
      <c r="X7" s="771"/>
      <c r="Y7" s="3222" t="s">
        <v>2544</v>
      </c>
      <c r="Z7" s="3223"/>
      <c r="AA7" s="772">
        <f>D7/F7</f>
        <v>1.0526315789473684</v>
      </c>
      <c r="AB7" s="772">
        <f>D7/H7</f>
        <v>1.075268817204301</v>
      </c>
      <c r="AC7" s="772">
        <f>D7/J7</f>
        <v>1.075268817204301</v>
      </c>
    </row>
    <row r="8" spans="1:30" s="117" customFormat="1" ht="15.75" thickBot="1">
      <c r="A8" s="407" t="s">
        <v>2545</v>
      </c>
      <c r="B8" s="408"/>
      <c r="C8" s="413" t="s">
        <v>2546</v>
      </c>
      <c r="D8" s="410">
        <v>100</v>
      </c>
      <c r="E8" s="413" t="s">
        <v>3224</v>
      </c>
      <c r="F8" s="412">
        <f>SUMIF(73:73,E8,74:74)-SUMIF(73:73,C8,74:74)+100</f>
        <v>100</v>
      </c>
      <c r="G8" s="413" t="s">
        <v>3224</v>
      </c>
      <c r="H8" s="410">
        <f>SUMIF(73:73,G8,74:74)-SUMIF(73:73,C8,74:74)+100</f>
        <v>100</v>
      </c>
      <c r="I8" s="413" t="s">
        <v>3224</v>
      </c>
      <c r="J8" s="410">
        <f>SUMIF(73:73,I8,74:74)-SUMIF(73:73,C8,74:74)+100</f>
        <v>100</v>
      </c>
      <c r="K8" s="610"/>
      <c r="L8" s="1131"/>
      <c r="M8" s="1132"/>
      <c r="N8" s="1132"/>
      <c r="O8" s="1132"/>
      <c r="P8" s="3222" t="s">
        <v>2547</v>
      </c>
      <c r="Q8" s="3223"/>
      <c r="R8" s="769" t="s">
        <v>17</v>
      </c>
      <c r="S8" s="770">
        <f t="shared" si="0"/>
        <v>100</v>
      </c>
      <c r="T8" s="769" t="s">
        <v>17</v>
      </c>
      <c r="U8" s="770">
        <f t="shared" si="1"/>
        <v>100</v>
      </c>
      <c r="V8" s="769" t="s">
        <v>17</v>
      </c>
      <c r="W8" s="770">
        <f t="shared" si="2"/>
        <v>100</v>
      </c>
      <c r="X8" s="771"/>
      <c r="Y8" s="3222" t="s">
        <v>2547</v>
      </c>
      <c r="Z8" s="3223"/>
      <c r="AA8" s="772">
        <f t="shared" ref="AA8:AA45" si="3">D8/F8</f>
        <v>1</v>
      </c>
      <c r="AB8" s="772">
        <f t="shared" ref="AB8:AB45" si="4">D8/H8</f>
        <v>1</v>
      </c>
      <c r="AC8" s="772">
        <f t="shared" ref="AC8:AC45" si="5">D8/J8</f>
        <v>1</v>
      </c>
    </row>
    <row r="9" spans="1:30" s="117" customFormat="1">
      <c r="A9" s="414" t="s">
        <v>2548</v>
      </c>
      <c r="B9" s="71" t="s">
        <v>2549</v>
      </c>
      <c r="C9" s="2684" t="s">
        <v>3267</v>
      </c>
      <c r="D9" s="135">
        <v>100</v>
      </c>
      <c r="E9" s="2684" t="s">
        <v>3222</v>
      </c>
      <c r="F9" s="135">
        <f>SUMIF(75:75,E9,76:76)-SUMIF(75:75,C9,76:76)+100</f>
        <v>95</v>
      </c>
      <c r="G9" s="2684" t="s">
        <v>3222</v>
      </c>
      <c r="H9" s="135">
        <f>SUMIF(75:75,G9,76:76)-SUMIF(75:75,C9,76:76)+100</f>
        <v>95</v>
      </c>
      <c r="I9" s="2684" t="s">
        <v>3222</v>
      </c>
      <c r="J9" s="135">
        <f>SUMIF(75:75,I9,76:76)-SUMIF(75:75,C9,76:76)+100</f>
        <v>95</v>
      </c>
      <c r="K9" s="610"/>
      <c r="L9" s="1131"/>
      <c r="M9" s="1132"/>
      <c r="N9" s="1132"/>
      <c r="O9" s="1133"/>
      <c r="P9" s="3208" t="s">
        <v>2550</v>
      </c>
      <c r="Q9" s="1784" t="str">
        <f t="shared" ref="Q9:Q15" si="6">B9</f>
        <v>用途</v>
      </c>
      <c r="R9" s="769" t="s">
        <v>17</v>
      </c>
      <c r="S9" s="770">
        <f t="shared" si="0"/>
        <v>95</v>
      </c>
      <c r="T9" s="769" t="s">
        <v>17</v>
      </c>
      <c r="U9" s="770">
        <f t="shared" si="1"/>
        <v>95</v>
      </c>
      <c r="V9" s="769" t="s">
        <v>17</v>
      </c>
      <c r="W9" s="770">
        <f t="shared" si="2"/>
        <v>95</v>
      </c>
      <c r="X9" s="771"/>
      <c r="Y9" s="3055" t="s">
        <v>2551</v>
      </c>
      <c r="Z9" s="55" t="str">
        <f t="shared" ref="Z9:Z15" si="7">Q9</f>
        <v>用途</v>
      </c>
      <c r="AA9" s="772">
        <f t="shared" si="3"/>
        <v>1.0526315789473684</v>
      </c>
      <c r="AB9" s="772">
        <f t="shared" si="4"/>
        <v>1.0526315789473684</v>
      </c>
      <c r="AC9" s="772">
        <f t="shared" si="5"/>
        <v>1.0526315789473684</v>
      </c>
    </row>
    <row r="10" spans="1:30" s="426" customFormat="1" ht="27">
      <c r="A10" s="420"/>
      <c r="B10" s="421" t="s">
        <v>2552</v>
      </c>
      <c r="C10" s="431"/>
      <c r="D10" s="136">
        <v>100</v>
      </c>
      <c r="E10" s="464"/>
      <c r="F10" s="136">
        <f>ROUND(100/'数据-取费表'!G16,0)</f>
        <v>101</v>
      </c>
      <c r="G10" s="462"/>
      <c r="H10" s="136">
        <f>ROUND(100/'数据-取费表'!G16,0)</f>
        <v>101</v>
      </c>
      <c r="I10" s="462"/>
      <c r="J10" s="136">
        <f>ROUND(100/'数据-取费表'!G16,0)</f>
        <v>101</v>
      </c>
      <c r="K10" s="671"/>
      <c r="L10" s="1134"/>
      <c r="M10" s="1135"/>
      <c r="N10" s="1135"/>
      <c r="O10" s="1136"/>
      <c r="P10" s="3208"/>
      <c r="Q10" s="1784" t="str">
        <f t="shared" si="6"/>
        <v>土地使用年限（年）</v>
      </c>
      <c r="R10" s="769" t="s">
        <v>17</v>
      </c>
      <c r="S10" s="770">
        <f t="shared" si="0"/>
        <v>101</v>
      </c>
      <c r="T10" s="769" t="s">
        <v>17</v>
      </c>
      <c r="U10" s="770">
        <f t="shared" si="1"/>
        <v>101</v>
      </c>
      <c r="V10" s="769" t="s">
        <v>17</v>
      </c>
      <c r="W10" s="770">
        <f t="shared" si="2"/>
        <v>101</v>
      </c>
      <c r="X10" s="771"/>
      <c r="Y10" s="3055"/>
      <c r="Z10" s="55" t="str">
        <f t="shared" si="7"/>
        <v>土地使用年限（年）</v>
      </c>
      <c r="AA10" s="772">
        <f t="shared" si="3"/>
        <v>0.99009900990099009</v>
      </c>
      <c r="AB10" s="772">
        <f t="shared" si="4"/>
        <v>0.99009900990099009</v>
      </c>
      <c r="AC10" s="772">
        <f t="shared" si="5"/>
        <v>0.99009900990099009</v>
      </c>
    </row>
    <row r="11" spans="1:30" ht="15.75" thickBot="1">
      <c r="A11" s="427"/>
      <c r="B11" s="421" t="s">
        <v>2553</v>
      </c>
      <c r="C11" s="428">
        <f>'数据-汇总表'!I4</f>
        <v>1.05</v>
      </c>
      <c r="D11" s="136">
        <v>100</v>
      </c>
      <c r="E11" s="428">
        <v>1.1000000000000001</v>
      </c>
      <c r="F11" s="136">
        <f>LOOKUP(E11,80:80,81:81)-LOOKUP(C11,80:80,81:81)+100</f>
        <v>100</v>
      </c>
      <c r="G11" s="429">
        <v>1.53</v>
      </c>
      <c r="H11" s="136">
        <f>LOOKUP(G11,80:80,81:81)-LOOKUP(C11,80:80,81:81)+100</f>
        <v>100</v>
      </c>
      <c r="I11" s="428">
        <v>1.6</v>
      </c>
      <c r="J11" s="136">
        <f>LOOKUP(I11,80:80,81:81)-LOOKUP(C11,80:80,81:81)+100</f>
        <v>100</v>
      </c>
      <c r="K11" s="672">
        <v>2</v>
      </c>
      <c r="L11" s="1137"/>
      <c r="M11" s="1130"/>
      <c r="N11" s="1130"/>
      <c r="O11" s="1138"/>
      <c r="P11" s="3208"/>
      <c r="Q11" s="1784" t="str">
        <f t="shared" si="6"/>
        <v>容积率</v>
      </c>
      <c r="R11" s="769" t="s">
        <v>17</v>
      </c>
      <c r="S11" s="770">
        <f t="shared" si="0"/>
        <v>100</v>
      </c>
      <c r="T11" s="769" t="s">
        <v>17</v>
      </c>
      <c r="U11" s="770">
        <f t="shared" si="1"/>
        <v>100</v>
      </c>
      <c r="V11" s="769" t="s">
        <v>17</v>
      </c>
      <c r="W11" s="770">
        <f t="shared" si="2"/>
        <v>100</v>
      </c>
      <c r="X11" s="771"/>
      <c r="Y11" s="3055"/>
      <c r="Z11" s="55" t="str">
        <f t="shared" si="7"/>
        <v>容积率</v>
      </c>
      <c r="AA11" s="772">
        <f t="shared" si="3"/>
        <v>1</v>
      </c>
      <c r="AB11" s="772">
        <f t="shared" si="4"/>
        <v>1</v>
      </c>
      <c r="AC11" s="772">
        <f t="shared" si="5"/>
        <v>1</v>
      </c>
    </row>
    <row r="12" spans="1:30" s="117" customFormat="1" ht="15" hidden="1">
      <c r="A12" s="430"/>
      <c r="B12" s="2587" t="s">
        <v>2742</v>
      </c>
      <c r="C12" s="431"/>
      <c r="D12" s="432">
        <v>100</v>
      </c>
      <c r="E12" s="464"/>
      <c r="F12" s="136">
        <f>SUMIF(82:82,E12,83:83)-SUMIF(82:82,C12,83:83)+100</f>
        <v>100</v>
      </c>
      <c r="G12" s="462"/>
      <c r="H12" s="136">
        <f>SUMIF(82:82,G12,83:83)-SUMIF(82:82,C12,83:83)+100</f>
        <v>100</v>
      </c>
      <c r="I12" s="464"/>
      <c r="J12" s="136">
        <f>SUMIF(82:82,I12,83:83)-SUMIF(82:82,C12,83:83)+100</f>
        <v>100</v>
      </c>
      <c r="K12" s="671"/>
      <c r="L12" s="1131"/>
      <c r="M12" s="1132"/>
      <c r="N12" s="1132"/>
      <c r="O12" s="1133"/>
      <c r="P12" s="3208"/>
      <c r="Q12" s="1784" t="str">
        <f t="shared" si="6"/>
        <v>配建</v>
      </c>
      <c r="R12" s="769" t="s">
        <v>17</v>
      </c>
      <c r="S12" s="770">
        <f t="shared" si="0"/>
        <v>100</v>
      </c>
      <c r="T12" s="769" t="s">
        <v>17</v>
      </c>
      <c r="U12" s="770">
        <f t="shared" si="1"/>
        <v>100</v>
      </c>
      <c r="V12" s="769" t="s">
        <v>17</v>
      </c>
      <c r="W12" s="770">
        <f t="shared" si="2"/>
        <v>100</v>
      </c>
      <c r="X12" s="771"/>
      <c r="Y12" s="3055"/>
      <c r="Z12" s="55" t="str">
        <f t="shared" si="7"/>
        <v>配建</v>
      </c>
      <c r="AA12" s="772">
        <f>D12/F12</f>
        <v>1</v>
      </c>
      <c r="AB12" s="772">
        <f>D12/H12</f>
        <v>1</v>
      </c>
      <c r="AC12" s="772">
        <f>D12/J12</f>
        <v>1</v>
      </c>
    </row>
    <row r="13" spans="1:30" ht="15" hidden="1">
      <c r="A13" s="427"/>
      <c r="B13" s="2587">
        <v>111</v>
      </c>
      <c r="C13" s="433"/>
      <c r="D13" s="434">
        <v>100</v>
      </c>
      <c r="E13" s="548"/>
      <c r="F13" s="136">
        <f>SUMIF(84:84,E13,85:85)-SUMIF(84:84,C13,85:85)+100</f>
        <v>100</v>
      </c>
      <c r="G13" s="673"/>
      <c r="H13" s="434">
        <f>SUMIF(84:84,G13,85:85)-SUMIF(84:84,C13,85:85)+100</f>
        <v>100</v>
      </c>
      <c r="I13" s="673"/>
      <c r="J13" s="434">
        <f>SUMIF(84:84,I13,85:85)-SUMIF(84:84,C13,85:85)+100</f>
        <v>100</v>
      </c>
      <c r="K13" s="671"/>
      <c r="L13" s="1139"/>
      <c r="M13" s="1130"/>
      <c r="N13" s="1130"/>
      <c r="O13" s="1138"/>
      <c r="P13" s="3208"/>
      <c r="Q13" s="1784">
        <f t="shared" si="6"/>
        <v>111</v>
      </c>
      <c r="R13" s="769" t="s">
        <v>17</v>
      </c>
      <c r="S13" s="770">
        <f t="shared" si="0"/>
        <v>100</v>
      </c>
      <c r="T13" s="769" t="s">
        <v>17</v>
      </c>
      <c r="U13" s="770">
        <f t="shared" si="1"/>
        <v>100</v>
      </c>
      <c r="V13" s="769" t="s">
        <v>17</v>
      </c>
      <c r="W13" s="770">
        <f t="shared" si="2"/>
        <v>100</v>
      </c>
      <c r="X13" s="771"/>
      <c r="Y13" s="3055"/>
      <c r="Z13" s="55">
        <f t="shared" si="7"/>
        <v>111</v>
      </c>
      <c r="AA13" s="772">
        <f>D13/F13</f>
        <v>1</v>
      </c>
      <c r="AB13" s="772">
        <f>D13/H13</f>
        <v>1</v>
      </c>
      <c r="AC13" s="772">
        <f>D13/J13</f>
        <v>1</v>
      </c>
    </row>
    <row r="14" spans="1:30" ht="15.75" hidden="1" thickBot="1">
      <c r="A14" s="435"/>
      <c r="B14" s="2589">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208"/>
      <c r="Q14" s="1784">
        <f t="shared" si="6"/>
        <v>111</v>
      </c>
      <c r="R14" s="769" t="s">
        <v>17</v>
      </c>
      <c r="S14" s="770">
        <f t="shared" si="0"/>
        <v>100</v>
      </c>
      <c r="T14" s="769" t="s">
        <v>17</v>
      </c>
      <c r="U14" s="770">
        <f t="shared" si="1"/>
        <v>100</v>
      </c>
      <c r="V14" s="769" t="s">
        <v>17</v>
      </c>
      <c r="W14" s="770">
        <f t="shared" si="2"/>
        <v>100</v>
      </c>
      <c r="X14" s="771"/>
      <c r="Y14" s="3055"/>
      <c r="Z14" s="55">
        <f t="shared" si="7"/>
        <v>111</v>
      </c>
      <c r="AA14" s="772">
        <f>D14/F14</f>
        <v>1</v>
      </c>
      <c r="AB14" s="772">
        <f>D14/H14</f>
        <v>1</v>
      </c>
      <c r="AC14" s="772">
        <f>D14/J14</f>
        <v>1</v>
      </c>
    </row>
    <row r="15" spans="1:30" ht="99.75">
      <c r="A15" s="439" t="s">
        <v>2554</v>
      </c>
      <c r="B15" s="69" t="s">
        <v>2081</v>
      </c>
      <c r="C15" s="2590"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v>2</v>
      </c>
      <c r="L15" s="1139"/>
      <c r="M15" s="1130"/>
      <c r="N15" s="1130"/>
      <c r="O15" s="1138"/>
      <c r="P15" s="3215" t="s">
        <v>2555</v>
      </c>
      <c r="Q15" s="1799" t="str">
        <f t="shared" si="6"/>
        <v>居住社区成熟度</v>
      </c>
      <c r="R15" s="773" t="s">
        <v>17</v>
      </c>
      <c r="S15" s="774">
        <f t="shared" si="0"/>
        <v>100</v>
      </c>
      <c r="T15" s="773" t="s">
        <v>17</v>
      </c>
      <c r="U15" s="774">
        <f t="shared" si="1"/>
        <v>100</v>
      </c>
      <c r="V15" s="773" t="s">
        <v>17</v>
      </c>
      <c r="W15" s="774">
        <f t="shared" si="2"/>
        <v>100</v>
      </c>
      <c r="X15" s="1802"/>
      <c r="Y15" s="3215" t="s">
        <v>2555</v>
      </c>
      <c r="Z15" s="1803" t="str">
        <f t="shared" si="7"/>
        <v>居住社区成熟度</v>
      </c>
      <c r="AA15" s="1800">
        <f t="shared" si="3"/>
        <v>1</v>
      </c>
      <c r="AB15" s="1800">
        <f t="shared" si="4"/>
        <v>1</v>
      </c>
      <c r="AC15" s="1800">
        <f t="shared" si="5"/>
        <v>1</v>
      </c>
    </row>
    <row r="16" spans="1:30" ht="15">
      <c r="A16" s="427"/>
      <c r="B16" s="445"/>
      <c r="C16" s="2598" t="s">
        <v>3252</v>
      </c>
      <c r="D16" s="447"/>
      <c r="E16" s="2598" t="s">
        <v>3252</v>
      </c>
      <c r="F16" s="447"/>
      <c r="G16" s="2598" t="s">
        <v>3252</v>
      </c>
      <c r="H16" s="449"/>
      <c r="I16" s="2598" t="s">
        <v>3252</v>
      </c>
      <c r="J16" s="447"/>
      <c r="K16" s="671"/>
      <c r="L16" s="1139"/>
      <c r="M16" s="1130"/>
      <c r="N16" s="1130"/>
      <c r="O16" s="1138"/>
      <c r="P16" s="3216"/>
      <c r="Q16" s="1799"/>
      <c r="R16" s="773"/>
      <c r="S16" s="774"/>
      <c r="T16" s="773"/>
      <c r="U16" s="774"/>
      <c r="V16" s="773"/>
      <c r="W16" s="774"/>
      <c r="X16" s="1802"/>
      <c r="Y16" s="3216"/>
      <c r="Z16" s="1803"/>
      <c r="AA16" s="1800">
        <v>1</v>
      </c>
      <c r="AB16" s="1800">
        <v>1</v>
      </c>
      <c r="AC16" s="1800">
        <v>1</v>
      </c>
    </row>
    <row r="17" spans="1:29" ht="71.25" hidden="1">
      <c r="A17" s="427"/>
      <c r="B17" s="450" t="s">
        <v>2648</v>
      </c>
      <c r="C17" s="2649"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v>2</v>
      </c>
      <c r="L17" s="1139"/>
      <c r="M17" s="1130"/>
      <c r="N17" s="1130"/>
      <c r="O17" s="1138"/>
      <c r="P17" s="3216"/>
      <c r="Q17" s="1799" t="str">
        <f>B17</f>
        <v>商业繁华度</v>
      </c>
      <c r="R17" s="773" t="s">
        <v>17</v>
      </c>
      <c r="S17" s="774">
        <f>F17</f>
        <v>100</v>
      </c>
      <c r="T17" s="773" t="s">
        <v>17</v>
      </c>
      <c r="U17" s="774">
        <f>H17</f>
        <v>100</v>
      </c>
      <c r="V17" s="773" t="s">
        <v>17</v>
      </c>
      <c r="W17" s="774">
        <f>J17</f>
        <v>100</v>
      </c>
      <c r="X17" s="1802"/>
      <c r="Y17" s="3216"/>
      <c r="Z17" s="1803" t="str">
        <f>Q17</f>
        <v>商业繁华度</v>
      </c>
      <c r="AA17" s="1800">
        <f t="shared" si="3"/>
        <v>1</v>
      </c>
      <c r="AB17" s="1800">
        <f t="shared" si="4"/>
        <v>1</v>
      </c>
      <c r="AC17" s="1800">
        <f t="shared" si="5"/>
        <v>1</v>
      </c>
    </row>
    <row r="18" spans="1:29" ht="15" hidden="1">
      <c r="A18" s="427"/>
      <c r="B18" s="455"/>
      <c r="C18" s="2595"/>
      <c r="D18" s="449"/>
      <c r="E18" s="2595"/>
      <c r="F18" s="449"/>
      <c r="G18" s="2595"/>
      <c r="H18" s="447"/>
      <c r="I18" s="2595"/>
      <c r="J18" s="447"/>
      <c r="K18" s="671"/>
      <c r="L18" s="1139"/>
      <c r="M18" s="1130"/>
      <c r="N18" s="1130"/>
      <c r="O18" s="1138"/>
      <c r="P18" s="3216"/>
      <c r="Q18" s="1799"/>
      <c r="R18" s="773"/>
      <c r="S18" s="774"/>
      <c r="T18" s="773"/>
      <c r="U18" s="774"/>
      <c r="V18" s="773"/>
      <c r="W18" s="774"/>
      <c r="X18" s="1802"/>
      <c r="Y18" s="3216"/>
      <c r="Z18" s="1803"/>
      <c r="AA18" s="1800">
        <v>1</v>
      </c>
      <c r="AB18" s="1800">
        <v>1</v>
      </c>
      <c r="AC18" s="1800">
        <v>1</v>
      </c>
    </row>
    <row r="19" spans="1:29" ht="71.25" hidden="1">
      <c r="A19" s="427"/>
      <c r="B19" s="450" t="s">
        <v>2682</v>
      </c>
      <c r="C19" s="2649"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16"/>
      <c r="Q19" s="1799" t="str">
        <f>B19</f>
        <v>办公集聚程度</v>
      </c>
      <c r="R19" s="773" t="s">
        <v>17</v>
      </c>
      <c r="S19" s="774">
        <f>F19</f>
        <v>100</v>
      </c>
      <c r="T19" s="773" t="s">
        <v>17</v>
      </c>
      <c r="U19" s="774">
        <f>H19</f>
        <v>100</v>
      </c>
      <c r="V19" s="773" t="s">
        <v>17</v>
      </c>
      <c r="W19" s="774">
        <f>J19</f>
        <v>100</v>
      </c>
      <c r="X19" s="1802"/>
      <c r="Y19" s="3216"/>
      <c r="Z19" s="1803" t="str">
        <f>Q19</f>
        <v>办公集聚程度</v>
      </c>
      <c r="AA19" s="1800">
        <f t="shared" si="3"/>
        <v>1</v>
      </c>
      <c r="AB19" s="1800">
        <f t="shared" si="4"/>
        <v>1</v>
      </c>
      <c r="AC19" s="1800">
        <f t="shared" si="5"/>
        <v>1</v>
      </c>
    </row>
    <row r="20" spans="1:29" ht="15" hidden="1">
      <c r="A20" s="427"/>
      <c r="B20" s="455"/>
      <c r="C20" s="446"/>
      <c r="D20" s="447"/>
      <c r="E20" s="2592"/>
      <c r="F20" s="447"/>
      <c r="G20" s="2592"/>
      <c r="H20" s="447"/>
      <c r="I20" s="2591"/>
      <c r="J20" s="447"/>
      <c r="K20" s="671"/>
      <c r="L20" s="1139"/>
      <c r="M20" s="1130"/>
      <c r="N20" s="1130"/>
      <c r="O20" s="1138"/>
      <c r="P20" s="3216"/>
      <c r="Q20" s="1799"/>
      <c r="R20" s="773"/>
      <c r="S20" s="774"/>
      <c r="T20" s="773"/>
      <c r="U20" s="774"/>
      <c r="V20" s="773"/>
      <c r="W20" s="774"/>
      <c r="X20" s="1802"/>
      <c r="Y20" s="3216"/>
      <c r="Z20" s="1803"/>
      <c r="AA20" s="1800">
        <v>1</v>
      </c>
      <c r="AB20" s="1800">
        <v>1</v>
      </c>
      <c r="AC20" s="1800">
        <v>1</v>
      </c>
    </row>
    <row r="21" spans="1:29" ht="85.5">
      <c r="A21" s="427"/>
      <c r="B21" s="450" t="s">
        <v>2704</v>
      </c>
      <c r="C21" s="2594"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v>2</v>
      </c>
      <c r="L21" s="1139"/>
      <c r="M21" s="1130"/>
      <c r="N21" s="1130"/>
      <c r="O21" s="1138"/>
      <c r="P21" s="3216"/>
      <c r="Q21" s="1799" t="str">
        <f>B21</f>
        <v>交通便捷度</v>
      </c>
      <c r="R21" s="773" t="s">
        <v>17</v>
      </c>
      <c r="S21" s="774">
        <f>F21</f>
        <v>100</v>
      </c>
      <c r="T21" s="773" t="s">
        <v>17</v>
      </c>
      <c r="U21" s="774">
        <f>H21</f>
        <v>100</v>
      </c>
      <c r="V21" s="773" t="s">
        <v>17</v>
      </c>
      <c r="W21" s="774">
        <f>J21</f>
        <v>100</v>
      </c>
      <c r="X21" s="1802"/>
      <c r="Y21" s="3216"/>
      <c r="Z21" s="1803" t="str">
        <f>Q21</f>
        <v>交通便捷度</v>
      </c>
      <c r="AA21" s="1800">
        <f t="shared" si="3"/>
        <v>1</v>
      </c>
      <c r="AB21" s="1800">
        <f t="shared" si="4"/>
        <v>1</v>
      </c>
      <c r="AC21" s="1800">
        <f t="shared" si="5"/>
        <v>1</v>
      </c>
    </row>
    <row r="22" spans="1:29" ht="15">
      <c r="A22" s="427"/>
      <c r="B22" s="1381"/>
      <c r="C22" s="446" t="s">
        <v>3252</v>
      </c>
      <c r="D22" s="449"/>
      <c r="E22" s="446" t="s">
        <v>3252</v>
      </c>
      <c r="F22" s="447"/>
      <c r="G22" s="446" t="s">
        <v>3252</v>
      </c>
      <c r="H22" s="447"/>
      <c r="I22" s="446" t="s">
        <v>3252</v>
      </c>
      <c r="J22" s="447"/>
      <c r="K22" s="671"/>
      <c r="L22" s="1139"/>
      <c r="M22" s="1130"/>
      <c r="N22" s="1130"/>
      <c r="O22" s="1138"/>
      <c r="P22" s="3216"/>
      <c r="Q22" s="1799"/>
      <c r="R22" s="773"/>
      <c r="S22" s="774"/>
      <c r="T22" s="773"/>
      <c r="U22" s="774"/>
      <c r="V22" s="773"/>
      <c r="W22" s="774"/>
      <c r="X22" s="1802"/>
      <c r="Y22" s="3216"/>
      <c r="Z22" s="1803"/>
      <c r="AA22" s="1800">
        <v>1</v>
      </c>
      <c r="AB22" s="1800">
        <v>1</v>
      </c>
      <c r="AC22" s="1800">
        <v>1</v>
      </c>
    </row>
    <row r="23" spans="1:29" ht="15">
      <c r="A23" s="403"/>
      <c r="B23" s="450" t="s">
        <v>2743</v>
      </c>
      <c r="C23" s="1386">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39"/>
      <c r="M23" s="1130"/>
      <c r="N23" s="1130"/>
      <c r="O23" s="1138"/>
      <c r="P23" s="3216"/>
      <c r="Q23" s="1799" t="str">
        <f t="shared" ref="Q23:Q37" si="8">B23</f>
        <v>区域土地利用方向</v>
      </c>
      <c r="R23" s="773" t="s">
        <v>17</v>
      </c>
      <c r="S23" s="774">
        <f>F23</f>
        <v>100</v>
      </c>
      <c r="T23" s="773" t="s">
        <v>17</v>
      </c>
      <c r="U23" s="774">
        <f>H23</f>
        <v>100</v>
      </c>
      <c r="V23" s="773" t="s">
        <v>17</v>
      </c>
      <c r="W23" s="774">
        <f>J23</f>
        <v>100</v>
      </c>
      <c r="X23" s="1802"/>
      <c r="Y23" s="3216"/>
      <c r="Z23" s="1803" t="str">
        <f>Q23</f>
        <v>区域土地利用方向</v>
      </c>
      <c r="AA23" s="1800">
        <f t="shared" si="3"/>
        <v>1</v>
      </c>
      <c r="AB23" s="1800">
        <f t="shared" si="4"/>
        <v>1</v>
      </c>
      <c r="AC23" s="1800">
        <f t="shared" si="5"/>
        <v>1</v>
      </c>
    </row>
    <row r="24" spans="1:29" ht="15">
      <c r="A24" s="403"/>
      <c r="B24" s="455"/>
      <c r="C24" s="2598" t="s">
        <v>3252</v>
      </c>
      <c r="D24" s="447"/>
      <c r="E24" s="2598" t="s">
        <v>3252</v>
      </c>
      <c r="F24" s="447"/>
      <c r="G24" s="2598" t="s">
        <v>3252</v>
      </c>
      <c r="H24" s="447"/>
      <c r="I24" s="2598" t="s">
        <v>3252</v>
      </c>
      <c r="J24" s="447"/>
      <c r="K24" s="811"/>
      <c r="L24" s="1139"/>
      <c r="M24" s="1130"/>
      <c r="N24" s="1130"/>
      <c r="O24" s="1138"/>
      <c r="P24" s="3216"/>
      <c r="Q24" s="1799"/>
      <c r="R24" s="773"/>
      <c r="S24" s="774"/>
      <c r="T24" s="773"/>
      <c r="U24" s="774"/>
      <c r="V24" s="773"/>
      <c r="W24" s="774"/>
      <c r="X24" s="1802"/>
      <c r="Y24" s="3216"/>
      <c r="Z24" s="1803"/>
      <c r="AA24" s="1800"/>
      <c r="AB24" s="1800"/>
      <c r="AC24" s="1800"/>
    </row>
    <row r="25" spans="1:29" ht="57">
      <c r="A25" s="403"/>
      <c r="B25" s="1381" t="s">
        <v>2744</v>
      </c>
      <c r="C25" s="2649"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v>2</v>
      </c>
      <c r="L25" s="1139"/>
      <c r="M25" s="1130"/>
      <c r="N25" s="1130"/>
      <c r="O25" s="1138"/>
      <c r="P25" s="3216"/>
      <c r="Q25" s="1799" t="str">
        <f t="shared" si="8"/>
        <v>自然及人文环境状况</v>
      </c>
      <c r="R25" s="773" t="s">
        <v>17</v>
      </c>
      <c r="S25" s="774">
        <f>F25</f>
        <v>100</v>
      </c>
      <c r="T25" s="773" t="s">
        <v>17</v>
      </c>
      <c r="U25" s="774">
        <f>H25</f>
        <v>100</v>
      </c>
      <c r="V25" s="773" t="s">
        <v>17</v>
      </c>
      <c r="W25" s="774">
        <f>J25</f>
        <v>100</v>
      </c>
      <c r="X25" s="1802"/>
      <c r="Y25" s="3216"/>
      <c r="Z25" s="1803" t="str">
        <f>Q25</f>
        <v>自然及人文环境状况</v>
      </c>
      <c r="AA25" s="1800">
        <f t="shared" si="3"/>
        <v>1</v>
      </c>
      <c r="AB25" s="1800">
        <f t="shared" si="4"/>
        <v>1</v>
      </c>
      <c r="AC25" s="1800">
        <f t="shared" si="5"/>
        <v>1</v>
      </c>
    </row>
    <row r="26" spans="1:29" ht="15">
      <c r="A26" s="403"/>
      <c r="B26" s="455"/>
      <c r="C26" s="446" t="s">
        <v>3251</v>
      </c>
      <c r="D26" s="447"/>
      <c r="E26" s="446" t="s">
        <v>3251</v>
      </c>
      <c r="F26" s="447"/>
      <c r="G26" s="446" t="s">
        <v>3251</v>
      </c>
      <c r="H26" s="447"/>
      <c r="I26" s="446" t="s">
        <v>3251</v>
      </c>
      <c r="J26" s="447"/>
      <c r="K26" s="671"/>
      <c r="L26" s="1139"/>
      <c r="M26" s="1130"/>
      <c r="N26" s="1130"/>
      <c r="O26" s="1138"/>
      <c r="P26" s="3216"/>
      <c r="Q26" s="1799"/>
      <c r="R26" s="773"/>
      <c r="S26" s="774"/>
      <c r="T26" s="773"/>
      <c r="U26" s="774"/>
      <c r="V26" s="773"/>
      <c r="W26" s="774"/>
      <c r="X26" s="1802"/>
      <c r="Y26" s="3216"/>
      <c r="Z26" s="1803"/>
      <c r="AA26" s="1800">
        <v>1</v>
      </c>
      <c r="AB26" s="1800">
        <v>1</v>
      </c>
      <c r="AC26" s="1800">
        <v>1</v>
      </c>
    </row>
    <row r="27" spans="1:29" s="117" customFormat="1" ht="42.75">
      <c r="A27" s="648"/>
      <c r="B27" s="1381" t="s">
        <v>2649</v>
      </c>
      <c r="C27" s="2594"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31"/>
      <c r="M27" s="1132"/>
      <c r="N27" s="1132"/>
      <c r="O27" s="1133"/>
      <c r="P27" s="3216"/>
      <c r="Q27" s="1784" t="str">
        <f t="shared" si="8"/>
        <v>公共配套设施</v>
      </c>
      <c r="R27" s="769" t="s">
        <v>17</v>
      </c>
      <c r="S27" s="770">
        <f>F27</f>
        <v>100</v>
      </c>
      <c r="T27" s="769" t="s">
        <v>17</v>
      </c>
      <c r="U27" s="770">
        <f>H27</f>
        <v>100</v>
      </c>
      <c r="V27" s="769" t="s">
        <v>17</v>
      </c>
      <c r="W27" s="770">
        <f>J27</f>
        <v>100</v>
      </c>
      <c r="X27" s="771"/>
      <c r="Y27" s="3216"/>
      <c r="Z27" s="55" t="str">
        <f>Q27</f>
        <v>公共配套设施</v>
      </c>
      <c r="AA27" s="1800">
        <f>D27/F27</f>
        <v>1</v>
      </c>
      <c r="AB27" s="1800">
        <f>D27/H27</f>
        <v>1</v>
      </c>
      <c r="AC27" s="1800">
        <f>D27/J27</f>
        <v>1</v>
      </c>
    </row>
    <row r="28" spans="1:29" s="117" customFormat="1" ht="15">
      <c r="A28" s="648"/>
      <c r="B28" s="455"/>
      <c r="C28" s="2686" t="s">
        <v>3253</v>
      </c>
      <c r="D28" s="447"/>
      <c r="E28" s="2686" t="s">
        <v>3253</v>
      </c>
      <c r="F28" s="447"/>
      <c r="G28" s="2686" t="s">
        <v>3253</v>
      </c>
      <c r="H28" s="447"/>
      <c r="I28" s="2686" t="s">
        <v>3253</v>
      </c>
      <c r="J28" s="447"/>
      <c r="K28" s="671"/>
      <c r="L28" s="1131"/>
      <c r="M28" s="1132"/>
      <c r="N28" s="1132"/>
      <c r="O28" s="1133"/>
      <c r="P28" s="3216"/>
      <c r="Q28" s="1784"/>
      <c r="R28" s="769"/>
      <c r="S28" s="770"/>
      <c r="T28" s="769"/>
      <c r="U28" s="770"/>
      <c r="V28" s="769"/>
      <c r="W28" s="770"/>
      <c r="X28" s="771"/>
      <c r="Y28" s="3216"/>
      <c r="Z28" s="55"/>
      <c r="AA28" s="1800">
        <v>1</v>
      </c>
      <c r="AB28" s="1800">
        <v>1</v>
      </c>
      <c r="AC28" s="1800">
        <v>1</v>
      </c>
    </row>
    <row r="29" spans="1:29" s="117" customFormat="1" ht="28.5">
      <c r="A29" s="648"/>
      <c r="B29" s="1381" t="s">
        <v>2650</v>
      </c>
      <c r="C29" s="2594"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2</v>
      </c>
      <c r="L29" s="1131"/>
      <c r="M29" s="1132"/>
      <c r="N29" s="1132"/>
      <c r="O29" s="1133"/>
      <c r="P29" s="3216"/>
      <c r="Q29" s="1784" t="str">
        <f t="shared" ref="Q29" si="9">B29</f>
        <v>基础设施水平</v>
      </c>
      <c r="R29" s="769" t="s">
        <v>17</v>
      </c>
      <c r="S29" s="770">
        <f>F29</f>
        <v>100</v>
      </c>
      <c r="T29" s="769" t="s">
        <v>17</v>
      </c>
      <c r="U29" s="770">
        <f>H29</f>
        <v>100</v>
      </c>
      <c r="V29" s="769" t="s">
        <v>17</v>
      </c>
      <c r="W29" s="770">
        <f>J29</f>
        <v>100</v>
      </c>
      <c r="X29" s="771"/>
      <c r="Y29" s="3216"/>
      <c r="Z29" s="55" t="str">
        <f>Q29</f>
        <v>基础设施水平</v>
      </c>
      <c r="AA29" s="1800">
        <f>D29/F29</f>
        <v>1</v>
      </c>
      <c r="AB29" s="1800">
        <f>D29/H29</f>
        <v>1</v>
      </c>
      <c r="AC29" s="1800">
        <f>D29/J29</f>
        <v>1</v>
      </c>
    </row>
    <row r="30" spans="1:29" s="117" customFormat="1" ht="15">
      <c r="A30" s="648"/>
      <c r="B30" s="455"/>
      <c r="C30" s="2685" t="s">
        <v>3239</v>
      </c>
      <c r="D30" s="447"/>
      <c r="E30" s="2685" t="s">
        <v>3239</v>
      </c>
      <c r="F30" s="447"/>
      <c r="G30" s="2685" t="s">
        <v>3239</v>
      </c>
      <c r="H30" s="447"/>
      <c r="I30" s="2685" t="s">
        <v>3239</v>
      </c>
      <c r="J30" s="447"/>
      <c r="K30" s="671"/>
      <c r="L30" s="1131"/>
      <c r="M30" s="1132"/>
      <c r="N30" s="1132"/>
      <c r="O30" s="1133"/>
      <c r="P30" s="3216"/>
      <c r="Q30" s="1784"/>
      <c r="R30" s="769"/>
      <c r="S30" s="770"/>
      <c r="T30" s="769"/>
      <c r="U30" s="770"/>
      <c r="V30" s="769"/>
      <c r="W30" s="770"/>
      <c r="X30" s="771"/>
      <c r="Y30" s="3216"/>
      <c r="Z30" s="55"/>
      <c r="AA30" s="1800">
        <v>1</v>
      </c>
      <c r="AB30" s="1800">
        <v>1</v>
      </c>
      <c r="AC30" s="1800">
        <v>1</v>
      </c>
    </row>
    <row r="31" spans="1:29" ht="15">
      <c r="A31" s="427"/>
      <c r="B31" s="455" t="s">
        <v>2651</v>
      </c>
      <c r="C31" s="615" t="s">
        <v>3254</v>
      </c>
      <c r="D31" s="434">
        <v>100</v>
      </c>
      <c r="E31" s="633" t="s">
        <v>3255</v>
      </c>
      <c r="F31" s="434">
        <f>SUMIF(104:104,E31,105:105)-SUMIF(104:104,C31,105:105)+100</f>
        <v>98</v>
      </c>
      <c r="G31" s="633" t="s">
        <v>3255</v>
      </c>
      <c r="H31" s="434">
        <f>SUMIF(104:104,G31,105:105)-SUMIF(104:104,C31,105:105)+100</f>
        <v>98</v>
      </c>
      <c r="I31" s="633" t="s">
        <v>3255</v>
      </c>
      <c r="J31" s="434">
        <f>SUMIF(104:104,I31,105:105)-SUMIF(104:104,C31,105:105)+100</f>
        <v>98</v>
      </c>
      <c r="K31" s="672">
        <v>1</v>
      </c>
      <c r="L31" s="1139"/>
      <c r="M31" s="1130"/>
      <c r="N31" s="1130"/>
      <c r="O31" s="1138"/>
      <c r="P31" s="3216"/>
      <c r="Q31" s="1799" t="str">
        <f t="shared" si="8"/>
        <v>临街状况</v>
      </c>
      <c r="R31" s="773" t="s">
        <v>17</v>
      </c>
      <c r="S31" s="774">
        <f t="shared" ref="S31:S45" si="10">F31</f>
        <v>98</v>
      </c>
      <c r="T31" s="773" t="s">
        <v>17</v>
      </c>
      <c r="U31" s="774">
        <f t="shared" ref="U31:U45" si="11">H31</f>
        <v>98</v>
      </c>
      <c r="V31" s="773" t="s">
        <v>17</v>
      </c>
      <c r="W31" s="774">
        <f t="shared" ref="W31:W45" si="12">J31</f>
        <v>98</v>
      </c>
      <c r="X31" s="1802"/>
      <c r="Y31" s="3216"/>
      <c r="Z31" s="1803" t="str">
        <f t="shared" ref="Z31:Z45" si="13">Q31</f>
        <v>临街状况</v>
      </c>
      <c r="AA31" s="1800">
        <f t="shared" si="3"/>
        <v>1.0204081632653061</v>
      </c>
      <c r="AB31" s="1800">
        <f t="shared" si="4"/>
        <v>1.0204081632653061</v>
      </c>
      <c r="AC31" s="1800">
        <f t="shared" si="5"/>
        <v>1.0204081632653061</v>
      </c>
    </row>
    <row r="32" spans="1:29" ht="27">
      <c r="A32" s="427"/>
      <c r="B32" s="1381" t="s">
        <v>2686</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v>2</v>
      </c>
      <c r="L32" s="1139"/>
      <c r="M32" s="1130"/>
      <c r="N32" s="1130"/>
      <c r="O32" s="1138"/>
      <c r="P32" s="3216"/>
      <c r="Q32" s="1799" t="str">
        <f t="shared" si="8"/>
        <v>毗邻道路的类型与等级</v>
      </c>
      <c r="R32" s="773" t="s">
        <v>17</v>
      </c>
      <c r="S32" s="774">
        <f t="shared" si="10"/>
        <v>100</v>
      </c>
      <c r="T32" s="773" t="s">
        <v>17</v>
      </c>
      <c r="U32" s="774">
        <f t="shared" si="11"/>
        <v>100</v>
      </c>
      <c r="V32" s="773" t="s">
        <v>17</v>
      </c>
      <c r="W32" s="774">
        <f t="shared" si="12"/>
        <v>100</v>
      </c>
      <c r="X32" s="1802"/>
      <c r="Y32" s="3216"/>
      <c r="Z32" s="1803" t="str">
        <f t="shared" si="13"/>
        <v>毗邻道路的类型与等级</v>
      </c>
      <c r="AA32" s="1800">
        <f t="shared" si="3"/>
        <v>1</v>
      </c>
      <c r="AB32" s="1800">
        <f t="shared" si="4"/>
        <v>1</v>
      </c>
      <c r="AC32" s="1800">
        <f t="shared" si="5"/>
        <v>1</v>
      </c>
    </row>
    <row r="33" spans="1:29" ht="15.75" thickBot="1">
      <c r="A33" s="427"/>
      <c r="B33" s="455"/>
      <c r="C33" s="446" t="s">
        <v>3256</v>
      </c>
      <c r="D33" s="447"/>
      <c r="E33" s="446" t="s">
        <v>3256</v>
      </c>
      <c r="F33" s="447"/>
      <c r="G33" s="446" t="s">
        <v>3256</v>
      </c>
      <c r="H33" s="447"/>
      <c r="I33" s="446" t="s">
        <v>3256</v>
      </c>
      <c r="J33" s="447"/>
      <c r="K33" s="612"/>
      <c r="L33" s="1139"/>
      <c r="M33" s="1130"/>
      <c r="N33" s="1130"/>
      <c r="O33" s="1138"/>
      <c r="P33" s="3216"/>
      <c r="Q33" s="1799"/>
      <c r="R33" s="773"/>
      <c r="S33" s="774"/>
      <c r="T33" s="773"/>
      <c r="U33" s="774"/>
      <c r="V33" s="773"/>
      <c r="W33" s="774"/>
      <c r="X33" s="1802"/>
      <c r="Y33" s="3216"/>
      <c r="Z33" s="1803"/>
      <c r="AA33" s="1800">
        <v>1</v>
      </c>
      <c r="AB33" s="1800">
        <v>1</v>
      </c>
      <c r="AC33" s="1800">
        <v>1</v>
      </c>
    </row>
    <row r="34" spans="1:29" ht="15.75" hidden="1" thickBot="1">
      <c r="A34" s="427"/>
      <c r="B34" s="421" t="s">
        <v>2745</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16"/>
      <c r="Q34" s="1799" t="str">
        <f t="shared" si="8"/>
        <v>土地级别</v>
      </c>
      <c r="R34" s="773" t="s">
        <v>17</v>
      </c>
      <c r="S34" s="774">
        <f t="shared" si="10"/>
        <v>100</v>
      </c>
      <c r="T34" s="773" t="s">
        <v>17</v>
      </c>
      <c r="U34" s="774">
        <f t="shared" si="11"/>
        <v>100</v>
      </c>
      <c r="V34" s="773" t="s">
        <v>17</v>
      </c>
      <c r="W34" s="774">
        <f t="shared" si="12"/>
        <v>100</v>
      </c>
      <c r="X34" s="1802"/>
      <c r="Y34" s="3216"/>
      <c r="Z34" s="1803" t="str">
        <f t="shared" si="13"/>
        <v>土地级别</v>
      </c>
      <c r="AA34" s="1800">
        <f t="shared" si="3"/>
        <v>1</v>
      </c>
      <c r="AB34" s="1800">
        <f t="shared" si="4"/>
        <v>1</v>
      </c>
      <c r="AC34" s="1800">
        <f t="shared" si="5"/>
        <v>1</v>
      </c>
    </row>
    <row r="35" spans="1:29" ht="15" hidden="1">
      <c r="A35" s="403"/>
      <c r="B35" s="1383">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16"/>
      <c r="Q35" s="1799">
        <f t="shared" si="8"/>
        <v>111</v>
      </c>
      <c r="R35" s="773" t="s">
        <v>17</v>
      </c>
      <c r="S35" s="774">
        <f t="shared" si="10"/>
        <v>100</v>
      </c>
      <c r="T35" s="773" t="s">
        <v>17</v>
      </c>
      <c r="U35" s="774">
        <f t="shared" si="11"/>
        <v>100</v>
      </c>
      <c r="V35" s="773" t="s">
        <v>17</v>
      </c>
      <c r="W35" s="774">
        <f t="shared" si="12"/>
        <v>100</v>
      </c>
      <c r="X35" s="1802"/>
      <c r="Y35" s="3216"/>
      <c r="Z35" s="1803">
        <f t="shared" si="13"/>
        <v>111</v>
      </c>
      <c r="AA35" s="1800">
        <f t="shared" si="3"/>
        <v>1</v>
      </c>
      <c r="AB35" s="1800">
        <f t="shared" si="4"/>
        <v>1</v>
      </c>
      <c r="AC35" s="1800">
        <f t="shared" si="5"/>
        <v>1</v>
      </c>
    </row>
    <row r="36" spans="1:29" ht="15" hidden="1">
      <c r="A36" s="674"/>
      <c r="B36" s="1384">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73" t="s">
        <v>2560</v>
      </c>
      <c r="Q36" s="1799">
        <f t="shared" si="8"/>
        <v>111</v>
      </c>
      <c r="R36" s="773" t="s">
        <v>17</v>
      </c>
      <c r="S36" s="774">
        <f t="shared" si="10"/>
        <v>100</v>
      </c>
      <c r="T36" s="773" t="s">
        <v>17</v>
      </c>
      <c r="U36" s="774">
        <f t="shared" si="11"/>
        <v>100</v>
      </c>
      <c r="V36" s="773" t="s">
        <v>17</v>
      </c>
      <c r="W36" s="774">
        <f t="shared" si="12"/>
        <v>100</v>
      </c>
      <c r="X36" s="1802"/>
      <c r="Y36" s="3220" t="s">
        <v>2560</v>
      </c>
      <c r="Z36" s="1803">
        <f t="shared" si="13"/>
        <v>111</v>
      </c>
      <c r="AA36" s="1800">
        <f t="shared" si="3"/>
        <v>1</v>
      </c>
      <c r="AB36" s="1800">
        <f t="shared" si="4"/>
        <v>1</v>
      </c>
      <c r="AC36" s="1800">
        <f t="shared" si="5"/>
        <v>1</v>
      </c>
    </row>
    <row r="37" spans="1:29" s="470" customFormat="1" ht="15.75" hidden="1" thickBot="1">
      <c r="A37" s="675"/>
      <c r="B37" s="1385">
        <v>111</v>
      </c>
      <c r="C37" s="677"/>
      <c r="D37" s="137">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20"/>
      <c r="Q37" s="1799">
        <f t="shared" si="8"/>
        <v>111</v>
      </c>
      <c r="R37" s="776" t="s">
        <v>17</v>
      </c>
      <c r="S37" s="777">
        <f t="shared" si="10"/>
        <v>100</v>
      </c>
      <c r="T37" s="776" t="s">
        <v>17</v>
      </c>
      <c r="U37" s="777">
        <f t="shared" si="11"/>
        <v>100</v>
      </c>
      <c r="V37" s="776" t="s">
        <v>17</v>
      </c>
      <c r="W37" s="777">
        <f t="shared" si="12"/>
        <v>100</v>
      </c>
      <c r="X37" s="778"/>
      <c r="Y37" s="3220"/>
      <c r="Z37" s="779">
        <f t="shared" si="13"/>
        <v>111</v>
      </c>
      <c r="AA37" s="1800">
        <f t="shared" si="3"/>
        <v>1</v>
      </c>
      <c r="AB37" s="1800">
        <f t="shared" si="4"/>
        <v>1</v>
      </c>
      <c r="AC37" s="1800">
        <f t="shared" si="5"/>
        <v>1</v>
      </c>
    </row>
    <row r="38" spans="1:29" ht="15">
      <c r="A38" s="471" t="s">
        <v>2558</v>
      </c>
      <c r="B38" s="455" t="s">
        <v>2746</v>
      </c>
      <c r="C38" s="678">
        <f>'数据-基础表'!A3</f>
        <v>24151.66</v>
      </c>
      <c r="D38" s="466">
        <v>100</v>
      </c>
      <c r="E38" s="678">
        <f>土地案例!H8</f>
        <v>168662.9</v>
      </c>
      <c r="F38" s="466">
        <f>LOOKUP(E38,117:117,118:118)-LOOKUP(C38,117:117,118:118)+100</f>
        <v>106</v>
      </c>
      <c r="G38" s="678">
        <f>土地案例!H13</f>
        <v>55220.72</v>
      </c>
      <c r="H38" s="466">
        <f>LOOKUP(G38,117:117,118:118)-LOOKUP(C38,117:117,118:118)+100</f>
        <v>102</v>
      </c>
      <c r="I38" s="529">
        <f>土地案例!H15</f>
        <v>47849.94</v>
      </c>
      <c r="J38" s="466">
        <f>LOOKUP(I38,117:117,118:118)-LOOKUP(C38,117:117,118:118)+100</f>
        <v>100</v>
      </c>
      <c r="K38" s="612"/>
      <c r="L38" s="1139"/>
      <c r="M38" s="1130"/>
      <c r="N38" s="1130"/>
      <c r="O38" s="1138"/>
      <c r="P38" s="3220"/>
      <c r="Q38" s="1799" t="str">
        <f>B38</f>
        <v>宗地面积</v>
      </c>
      <c r="R38" s="773" t="s">
        <v>17</v>
      </c>
      <c r="S38" s="774">
        <f t="shared" si="10"/>
        <v>106</v>
      </c>
      <c r="T38" s="773" t="s">
        <v>17</v>
      </c>
      <c r="U38" s="774">
        <f t="shared" si="11"/>
        <v>102</v>
      </c>
      <c r="V38" s="773" t="s">
        <v>17</v>
      </c>
      <c r="W38" s="774">
        <f t="shared" si="12"/>
        <v>100</v>
      </c>
      <c r="X38" s="1802"/>
      <c r="Y38" s="3220"/>
      <c r="Z38" s="1803" t="str">
        <f t="shared" si="13"/>
        <v>宗地面积</v>
      </c>
      <c r="AA38" s="1800">
        <f t="shared" si="3"/>
        <v>0.94339622641509435</v>
      </c>
      <c r="AB38" s="1800">
        <f t="shared" si="4"/>
        <v>0.98039215686274506</v>
      </c>
      <c r="AC38" s="1800">
        <f t="shared" si="5"/>
        <v>1</v>
      </c>
    </row>
    <row r="39" spans="1:29" ht="15">
      <c r="A39" s="471"/>
      <c r="B39" s="421" t="s">
        <v>2747</v>
      </c>
      <c r="C39" s="2600" t="s">
        <v>3249</v>
      </c>
      <c r="D39" s="434">
        <v>100</v>
      </c>
      <c r="E39" s="2600" t="s">
        <v>3249</v>
      </c>
      <c r="F39" s="434">
        <f>SUMIF(119:119,E39,120:120)-SUMIF(119:119,C39,120:120)+100</f>
        <v>100</v>
      </c>
      <c r="G39" s="2600" t="s">
        <v>3249</v>
      </c>
      <c r="H39" s="434">
        <f>SUMIF(119:119,G39,120:120)-SUMIF(119:119,C39,120:120)+100</f>
        <v>100</v>
      </c>
      <c r="I39" s="2600" t="s">
        <v>3249</v>
      </c>
      <c r="J39" s="434">
        <f>SUMIF(119:119,I39,120:120)-SUMIF(119:119,C39,120:120)+100</f>
        <v>100</v>
      </c>
      <c r="K39" s="611">
        <v>1</v>
      </c>
      <c r="L39" s="1139"/>
      <c r="M39" s="1130"/>
      <c r="N39" s="1130"/>
      <c r="O39" s="1138"/>
      <c r="P39" s="3220"/>
      <c r="Q39" s="1799" t="str">
        <f t="shared" ref="Q39:Q45" si="14">B39</f>
        <v>宗地形状</v>
      </c>
      <c r="R39" s="773" t="s">
        <v>17</v>
      </c>
      <c r="S39" s="774">
        <f t="shared" si="10"/>
        <v>100</v>
      </c>
      <c r="T39" s="773" t="s">
        <v>17</v>
      </c>
      <c r="U39" s="774">
        <f t="shared" si="11"/>
        <v>100</v>
      </c>
      <c r="V39" s="773" t="s">
        <v>17</v>
      </c>
      <c r="W39" s="774">
        <f t="shared" si="12"/>
        <v>100</v>
      </c>
      <c r="X39" s="1802"/>
      <c r="Y39" s="3220"/>
      <c r="Z39" s="1803" t="str">
        <f t="shared" si="13"/>
        <v>宗地形状</v>
      </c>
      <c r="AA39" s="1800">
        <f t="shared" si="3"/>
        <v>1</v>
      </c>
      <c r="AB39" s="1800">
        <f t="shared" si="4"/>
        <v>1</v>
      </c>
      <c r="AC39" s="1800">
        <f t="shared" si="5"/>
        <v>1</v>
      </c>
    </row>
    <row r="40" spans="1:29" ht="15">
      <c r="A40" s="471"/>
      <c r="B40" s="421" t="s">
        <v>2748</v>
      </c>
      <c r="C40" s="2600" t="s">
        <v>3250</v>
      </c>
      <c r="D40" s="434">
        <v>100</v>
      </c>
      <c r="E40" s="2600" t="s">
        <v>3250</v>
      </c>
      <c r="F40" s="434">
        <f>SUMIF(121:121,E40,122:122)-SUMIF(121:121,C40,122:122)+100</f>
        <v>100</v>
      </c>
      <c r="G40" s="2600" t="s">
        <v>3250</v>
      </c>
      <c r="H40" s="434">
        <f>SUMIF(121:121,G40,122:122)-SUMIF(121:121,C40,122:122)+100</f>
        <v>100</v>
      </c>
      <c r="I40" s="2600" t="s">
        <v>3250</v>
      </c>
      <c r="J40" s="434">
        <f>SUMIF(121:121,I40,122:122)-SUMIF(121:121,C40,122:122)+100</f>
        <v>100</v>
      </c>
      <c r="K40" s="611">
        <v>1</v>
      </c>
      <c r="L40" s="1139"/>
      <c r="M40" s="1130"/>
      <c r="N40" s="1130"/>
      <c r="O40" s="1138"/>
      <c r="P40" s="3220"/>
      <c r="Q40" s="1799" t="str">
        <f t="shared" si="14"/>
        <v>临街宽度及深度</v>
      </c>
      <c r="R40" s="773" t="s">
        <v>17</v>
      </c>
      <c r="S40" s="774">
        <f t="shared" si="10"/>
        <v>100</v>
      </c>
      <c r="T40" s="773" t="s">
        <v>17</v>
      </c>
      <c r="U40" s="774">
        <f t="shared" si="11"/>
        <v>100</v>
      </c>
      <c r="V40" s="773" t="s">
        <v>17</v>
      </c>
      <c r="W40" s="774">
        <f t="shared" si="12"/>
        <v>100</v>
      </c>
      <c r="X40" s="1802"/>
      <c r="Y40" s="3220"/>
      <c r="Z40" s="1803" t="str">
        <f t="shared" si="13"/>
        <v>临街宽度及深度</v>
      </c>
      <c r="AA40" s="1800">
        <f t="shared" si="3"/>
        <v>1</v>
      </c>
      <c r="AB40" s="1800">
        <f t="shared" si="4"/>
        <v>1</v>
      </c>
      <c r="AC40" s="1800">
        <f t="shared" si="5"/>
        <v>1</v>
      </c>
    </row>
    <row r="41" spans="1:29" s="117" customFormat="1" ht="15">
      <c r="A41" s="472"/>
      <c r="B41" s="421" t="s">
        <v>2749</v>
      </c>
      <c r="C41" s="2687" t="s">
        <v>3243</v>
      </c>
      <c r="D41" s="136">
        <v>100</v>
      </c>
      <c r="E41" s="2687" t="s">
        <v>3240</v>
      </c>
      <c r="F41" s="434">
        <f>SUMIF(123:123,E41,124:124)-SUMIF(123:123,C41,124:124)+100</f>
        <v>103</v>
      </c>
      <c r="G41" s="2687" t="s">
        <v>3241</v>
      </c>
      <c r="H41" s="434">
        <f>SUMIF(123:123,G41,124:124)-SUMIF(123:123,C41,124:124)+100</f>
        <v>102</v>
      </c>
      <c r="I41" s="2687" t="s">
        <v>3241</v>
      </c>
      <c r="J41" s="434">
        <f>SUMIF(123:123,I41,124:124)-SUMIF(123:123,C41,124:124)+100</f>
        <v>102</v>
      </c>
      <c r="K41" s="611">
        <v>1</v>
      </c>
      <c r="L41" s="1131"/>
      <c r="M41" s="1132"/>
      <c r="N41" s="1132"/>
      <c r="O41" s="1133"/>
      <c r="P41" s="3220"/>
      <c r="Q41" s="1799" t="str">
        <f t="shared" si="14"/>
        <v>宗地开发程度</v>
      </c>
      <c r="R41" s="769" t="s">
        <v>17</v>
      </c>
      <c r="S41" s="770">
        <f t="shared" si="10"/>
        <v>103</v>
      </c>
      <c r="T41" s="769" t="s">
        <v>17</v>
      </c>
      <c r="U41" s="770">
        <f t="shared" si="11"/>
        <v>102</v>
      </c>
      <c r="V41" s="769" t="s">
        <v>17</v>
      </c>
      <c r="W41" s="770">
        <f t="shared" si="12"/>
        <v>102</v>
      </c>
      <c r="X41" s="771"/>
      <c r="Y41" s="3220"/>
      <c r="Z41" s="55" t="str">
        <f t="shared" si="13"/>
        <v>宗地开发程度</v>
      </c>
      <c r="AA41" s="772">
        <f t="shared" si="3"/>
        <v>0.970873786407767</v>
      </c>
      <c r="AB41" s="772">
        <f t="shared" si="4"/>
        <v>0.98039215686274506</v>
      </c>
      <c r="AC41" s="772">
        <f t="shared" si="5"/>
        <v>0.98039215686274506</v>
      </c>
    </row>
    <row r="42" spans="1:29" ht="15.75" thickBot="1">
      <c r="A42" s="471"/>
      <c r="B42" s="421" t="s">
        <v>2750</v>
      </c>
      <c r="C42" s="2600" t="s">
        <v>3251</v>
      </c>
      <c r="D42" s="434">
        <v>100</v>
      </c>
      <c r="E42" s="2600" t="s">
        <v>3251</v>
      </c>
      <c r="F42" s="434">
        <f>SUMIF(125:125,E42,126:126)-SUMIF(125:125,C42,126:126)+100</f>
        <v>100</v>
      </c>
      <c r="G42" s="2600" t="s">
        <v>3251</v>
      </c>
      <c r="H42" s="434">
        <f>SUMIF(125:125,G42,126:126)-SUMIF(125:125,C42,126:126)+100</f>
        <v>100</v>
      </c>
      <c r="I42" s="2600" t="s">
        <v>3251</v>
      </c>
      <c r="J42" s="434">
        <f>SUMIF(125:125,I42,126:126)-SUMIF(125:125,C42,126:126)+100</f>
        <v>100</v>
      </c>
      <c r="K42" s="611">
        <v>1</v>
      </c>
      <c r="L42" s="1139"/>
      <c r="M42" s="1130"/>
      <c r="N42" s="1130"/>
      <c r="O42" s="1138"/>
      <c r="P42" s="3220" t="s">
        <v>2560</v>
      </c>
      <c r="Q42" s="1799" t="str">
        <f t="shared" si="14"/>
        <v>工程地质条件</v>
      </c>
      <c r="R42" s="773" t="s">
        <v>17</v>
      </c>
      <c r="S42" s="774">
        <f t="shared" si="10"/>
        <v>100</v>
      </c>
      <c r="T42" s="773" t="s">
        <v>17</v>
      </c>
      <c r="U42" s="774">
        <f t="shared" si="11"/>
        <v>100</v>
      </c>
      <c r="V42" s="773" t="s">
        <v>17</v>
      </c>
      <c r="W42" s="774">
        <f t="shared" si="12"/>
        <v>100</v>
      </c>
      <c r="X42" s="1802"/>
      <c r="Y42" s="3220" t="s">
        <v>2560</v>
      </c>
      <c r="Z42" s="1803" t="str">
        <f t="shared" si="13"/>
        <v>工程地质条件</v>
      </c>
      <c r="AA42" s="1800">
        <f t="shared" si="3"/>
        <v>1</v>
      </c>
      <c r="AB42" s="1800">
        <f t="shared" si="4"/>
        <v>1</v>
      </c>
      <c r="AC42" s="1800">
        <f t="shared" si="5"/>
        <v>1</v>
      </c>
    </row>
    <row r="43" spans="1:29" ht="15" hidden="1">
      <c r="A43" s="471"/>
      <c r="B43" s="1384">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20"/>
      <c r="Q43" s="1799">
        <f t="shared" si="14"/>
        <v>111</v>
      </c>
      <c r="R43" s="773" t="s">
        <v>17</v>
      </c>
      <c r="S43" s="774">
        <f t="shared" si="10"/>
        <v>100</v>
      </c>
      <c r="T43" s="773" t="s">
        <v>17</v>
      </c>
      <c r="U43" s="774">
        <f t="shared" si="11"/>
        <v>100</v>
      </c>
      <c r="V43" s="773" t="s">
        <v>17</v>
      </c>
      <c r="W43" s="774">
        <f t="shared" si="12"/>
        <v>100</v>
      </c>
      <c r="X43" s="1802"/>
      <c r="Y43" s="3220"/>
      <c r="Z43" s="1803">
        <f t="shared" si="13"/>
        <v>111</v>
      </c>
      <c r="AA43" s="1800">
        <f t="shared" si="3"/>
        <v>1</v>
      </c>
      <c r="AB43" s="1800">
        <f t="shared" si="4"/>
        <v>1</v>
      </c>
      <c r="AC43" s="1800">
        <f t="shared" si="5"/>
        <v>1</v>
      </c>
    </row>
    <row r="44" spans="1:29" ht="15" hidden="1">
      <c r="A44" s="471"/>
      <c r="B44" s="1384">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20"/>
      <c r="Q44" s="1799">
        <f t="shared" si="14"/>
        <v>111</v>
      </c>
      <c r="R44" s="773" t="s">
        <v>17</v>
      </c>
      <c r="S44" s="774">
        <f t="shared" si="10"/>
        <v>100</v>
      </c>
      <c r="T44" s="773" t="s">
        <v>17</v>
      </c>
      <c r="U44" s="774">
        <f t="shared" si="11"/>
        <v>100</v>
      </c>
      <c r="V44" s="773" t="s">
        <v>17</v>
      </c>
      <c r="W44" s="774">
        <f t="shared" si="12"/>
        <v>100</v>
      </c>
      <c r="X44" s="1802"/>
      <c r="Y44" s="3220"/>
      <c r="Z44" s="1803">
        <f t="shared" si="13"/>
        <v>111</v>
      </c>
      <c r="AA44" s="1800">
        <f t="shared" si="3"/>
        <v>1</v>
      </c>
      <c r="AB44" s="1800">
        <f t="shared" si="4"/>
        <v>1</v>
      </c>
      <c r="AC44" s="1800">
        <f t="shared" si="5"/>
        <v>1</v>
      </c>
    </row>
    <row r="45" spans="1:29" s="470" customFormat="1" ht="15.75" hidden="1" thickBot="1">
      <c r="A45" s="467"/>
      <c r="B45" s="1384">
        <v>111</v>
      </c>
      <c r="C45" s="2688"/>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20"/>
      <c r="Q45" s="1799">
        <f t="shared" si="14"/>
        <v>111</v>
      </c>
      <c r="R45" s="776" t="s">
        <v>17</v>
      </c>
      <c r="S45" s="777">
        <f t="shared" si="10"/>
        <v>100</v>
      </c>
      <c r="T45" s="776" t="s">
        <v>17</v>
      </c>
      <c r="U45" s="777">
        <f t="shared" si="11"/>
        <v>100</v>
      </c>
      <c r="V45" s="776" t="s">
        <v>17</v>
      </c>
      <c r="W45" s="777">
        <f t="shared" si="12"/>
        <v>100</v>
      </c>
      <c r="X45" s="778"/>
      <c r="Y45" s="3220"/>
      <c r="Z45" s="779">
        <f t="shared" si="13"/>
        <v>111</v>
      </c>
      <c r="AA45" s="1800">
        <f t="shared" si="3"/>
        <v>1</v>
      </c>
      <c r="AB45" s="1800">
        <f t="shared" si="4"/>
        <v>1</v>
      </c>
      <c r="AC45" s="1800">
        <f t="shared" si="5"/>
        <v>1</v>
      </c>
    </row>
    <row r="46" spans="1:29" ht="15">
      <c r="A46" s="478" t="s">
        <v>2715</v>
      </c>
      <c r="B46" s="2689" t="s">
        <v>2751</v>
      </c>
      <c r="C46" s="681" t="s">
        <v>1</v>
      </c>
      <c r="D46" s="480"/>
      <c r="E46" s="481">
        <f>ROUND(土地案例!O8,0)</f>
        <v>23354</v>
      </c>
      <c r="F46" s="482"/>
      <c r="G46" s="483">
        <f>ROUND(土地案例!O13,0)</f>
        <v>13640</v>
      </c>
      <c r="H46" s="484"/>
      <c r="I46" s="481">
        <f>ROUND(土地案例!O15,0)</f>
        <v>22858</v>
      </c>
      <c r="J46" s="484"/>
      <c r="K46" s="782"/>
      <c r="L46" s="1142"/>
      <c r="M46" s="1143"/>
      <c r="N46" s="1130"/>
      <c r="O46" s="1143"/>
      <c r="P46" s="3208" t="str">
        <f>A46</f>
        <v>成交单价</v>
      </c>
      <c r="Q46" s="3208"/>
      <c r="R46" s="3225">
        <f>E46</f>
        <v>23354</v>
      </c>
      <c r="S46" s="3225"/>
      <c r="T46" s="3225">
        <f>G46</f>
        <v>13640</v>
      </c>
      <c r="U46" s="3225"/>
      <c r="V46" s="3225">
        <f>I46</f>
        <v>22858</v>
      </c>
      <c r="W46" s="3225"/>
      <c r="X46" s="758"/>
      <c r="Y46" s="780"/>
      <c r="Z46" s="758"/>
      <c r="AA46" s="758"/>
      <c r="AB46" s="758"/>
      <c r="AC46" s="758"/>
    </row>
    <row r="47" spans="1:29" ht="15.75" thickBot="1">
      <c r="A47" s="485" t="s">
        <v>2664</v>
      </c>
      <c r="B47" s="682"/>
      <c r="C47" s="489">
        <f>R48</f>
        <v>21521</v>
      </c>
      <c r="D47" s="488"/>
      <c r="E47" s="489">
        <f>R47</f>
        <v>23945</v>
      </c>
      <c r="F47" s="490"/>
      <c r="G47" s="487">
        <f>T47</f>
        <v>14992</v>
      </c>
      <c r="H47" s="488"/>
      <c r="I47" s="489">
        <f>V47</f>
        <v>25626</v>
      </c>
      <c r="J47" s="488"/>
      <c r="K47" s="783"/>
      <c r="L47" s="1142"/>
      <c r="M47" s="1143"/>
      <c r="N47" s="1143"/>
      <c r="O47" s="1143"/>
      <c r="P47" s="3208" t="str">
        <f>A47</f>
        <v>比较价值（元/平方米）</v>
      </c>
      <c r="Q47" s="3208"/>
      <c r="R47" s="3274">
        <f>ROUND(PRODUCT(R46,AA7:AA45),0)</f>
        <v>23945</v>
      </c>
      <c r="S47" s="3274"/>
      <c r="T47" s="3274">
        <f>ROUND(PRODUCT(T46,AB7:AB45),0)</f>
        <v>14992</v>
      </c>
      <c r="U47" s="3274"/>
      <c r="V47" s="3274">
        <f>ROUND(PRODUCT(V46,AC7:AC45),0)</f>
        <v>25626</v>
      </c>
      <c r="W47" s="3274"/>
      <c r="X47" s="758"/>
      <c r="Y47" s="758"/>
      <c r="Z47" s="758"/>
      <c r="AA47" s="758"/>
      <c r="AB47" s="758"/>
      <c r="AC47" s="758"/>
    </row>
    <row r="48" spans="1:29" ht="15.75" thickBot="1">
      <c r="A48" s="491" t="s">
        <v>2752</v>
      </c>
      <c r="B48" s="492"/>
      <c r="C48" s="493">
        <f>R48</f>
        <v>21521</v>
      </c>
      <c r="D48" s="493"/>
      <c r="E48" s="493"/>
      <c r="F48" s="493"/>
      <c r="G48" s="493"/>
      <c r="H48" s="493"/>
      <c r="I48" s="493"/>
      <c r="J48" s="493"/>
      <c r="K48" s="784"/>
      <c r="L48" s="1142"/>
      <c r="M48" s="1143"/>
      <c r="N48" s="1143"/>
      <c r="O48" s="1143"/>
      <c r="P48" s="3210" t="str">
        <f>A48</f>
        <v>估价对象XX用房的比较价值（楼面单价，元/平方米）</v>
      </c>
      <c r="Q48" s="3211"/>
      <c r="R48" s="3275">
        <f>ROUND(AVERAGE(R47:V47),0)</f>
        <v>21521</v>
      </c>
      <c r="S48" s="3275"/>
      <c r="T48" s="3275"/>
      <c r="U48" s="3275"/>
      <c r="V48" s="3275"/>
      <c r="W48" s="3275"/>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2666</v>
      </c>
      <c r="D51" s="497"/>
      <c r="E51" s="498">
        <f>IF(E46&lt;E47,E47/E46-1,E46/E47-1)</f>
        <v>2.5306157403442775E-2</v>
      </c>
      <c r="F51" s="499" t="str">
        <f>IF(OR(E51&gt;=0.3,E51&lt;=-0.3),"超过30%","")</f>
        <v/>
      </c>
      <c r="G51" s="498">
        <f>IF(G46&lt;G47,G47/G46-1,G46/G47-1)</f>
        <v>9.9120234604105573E-2</v>
      </c>
      <c r="H51" s="499" t="str">
        <f>IF(OR(G51&gt;=0.3,G51&lt;=-0.3),"超过30%","")</f>
        <v/>
      </c>
      <c r="I51" s="498">
        <f>IF(I46&lt;I47,I47/I46-1,I46/I47-1)</f>
        <v>0.12109545892029039</v>
      </c>
      <c r="J51" s="499" t="str">
        <f>IF(OR(I51&gt;=0.3,I51&lt;=-0.3),"超过30%","")</f>
        <v/>
      </c>
      <c r="K51" s="1104"/>
      <c r="L51" s="1105"/>
      <c r="M51" s="1143"/>
      <c r="N51" s="1143"/>
      <c r="O51" s="1143"/>
    </row>
    <row r="52" spans="1:15" ht="13.5" customHeight="1">
      <c r="A52" s="1143"/>
      <c r="B52" s="1143"/>
      <c r="C52" s="496" t="s">
        <v>2667</v>
      </c>
      <c r="D52" s="500"/>
      <c r="E52" s="498">
        <f>IF(E47&lt;G47,G47/E47-1,E47/G47-1)</f>
        <v>0.59718516542155808</v>
      </c>
      <c r="F52" s="499" t="str">
        <f>IF(OR(E52&gt;=0.2,E52&lt;=-0.2),"超过20%","")</f>
        <v>超过20%</v>
      </c>
      <c r="G52" s="498">
        <f>IF(G47&lt;I47,I47/G47-1,G47/I47-1)</f>
        <v>0.70931163287086441</v>
      </c>
      <c r="H52" s="499" t="str">
        <f>IF(OR(G52&gt;=0.2,G52&lt;=-0.2),"超过20%","")</f>
        <v>超过20%</v>
      </c>
      <c r="I52" s="498">
        <f>IF(I47&lt;E47,E47/I47-1,I47/E47-1)</f>
        <v>7.0202547504698343E-2</v>
      </c>
      <c r="J52" s="499" t="str">
        <f>IF(OR(I52&gt;=0.2,I52&lt;=-0.2),"超过20%","")</f>
        <v/>
      </c>
      <c r="K52" s="1104"/>
      <c r="L52" s="1105"/>
      <c r="M52" s="1143"/>
      <c r="N52" s="1143"/>
      <c r="O52" s="1143"/>
    </row>
    <row r="53" spans="1:15" s="501" customFormat="1" ht="13.5" customHeight="1">
      <c r="A53" s="1144"/>
      <c r="B53" s="1144"/>
      <c r="C53" s="496" t="s">
        <v>2668</v>
      </c>
      <c r="D53" s="500"/>
      <c r="E53" s="498">
        <f>IF(E46&lt;G46,G46/E46-1,E46/G46-1)</f>
        <v>0.71217008797653958</v>
      </c>
      <c r="F53" s="499" t="str">
        <f>IF(OR(E53&gt;=0.3,E53&lt;=-0.3),"超过30%","")</f>
        <v>超过30%</v>
      </c>
      <c r="G53" s="498">
        <f>IF(G46&lt;I46,I46/G46-1,G46/I46-1)</f>
        <v>0.6758064516129032</v>
      </c>
      <c r="H53" s="499" t="str">
        <f>IF(OR(G53&gt;=0.3,G53&lt;=-0.3),"超过30%","")</f>
        <v>超过30%</v>
      </c>
      <c r="I53" s="498">
        <f>IF(I46&lt;E46,E46/I46-1,I46/E46-1)</f>
        <v>2.1699186280514482E-2</v>
      </c>
      <c r="J53" s="499" t="str">
        <f>IF(OR(I53&gt;=0.3,I53&lt;=-0.3),"超过30%","")</f>
        <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2753</v>
      </c>
      <c r="B55" s="684" t="s">
        <v>2754</v>
      </c>
      <c r="C55" s="2690" t="s">
        <v>2755</v>
      </c>
      <c r="D55" s="2691" t="s">
        <v>2756</v>
      </c>
      <c r="E55" s="685" t="s">
        <v>2757</v>
      </c>
      <c r="F55" s="1106" t="s">
        <v>2758</v>
      </c>
      <c r="G55" s="3236" t="s">
        <v>2759</v>
      </c>
      <c r="H55" s="3276"/>
      <c r="I55" s="144" t="s">
        <v>2760</v>
      </c>
      <c r="J55" s="2692">
        <f>项目基本情况!F35</f>
        <v>0</v>
      </c>
      <c r="K55" s="2693" t="s">
        <v>2761</v>
      </c>
      <c r="L55" s="1105"/>
      <c r="M55" s="1143"/>
      <c r="N55" s="1143"/>
      <c r="O55" s="1143"/>
    </row>
    <row r="56" spans="1:15" s="691" customFormat="1">
      <c r="A56" s="687" t="s">
        <v>2762</v>
      </c>
      <c r="B56" s="688">
        <f>C48</f>
        <v>21521</v>
      </c>
      <c r="C56" s="689">
        <v>1</v>
      </c>
      <c r="D56" s="1162">
        <v>1</v>
      </c>
      <c r="E56" s="689">
        <f>'数据-汇总表'!E8+'数据-汇总表'!E9</f>
        <v>25219.909999999996</v>
      </c>
      <c r="F56" s="1102">
        <f t="shared" ref="F56:F65" si="15">ROUND(B56*E56/10000,0)</f>
        <v>54276</v>
      </c>
      <c r="G56" s="3224"/>
      <c r="H56" s="3208"/>
      <c r="I56" s="1107">
        <v>1</v>
      </c>
      <c r="J56" s="1110">
        <v>1</v>
      </c>
      <c r="K56" s="1144"/>
      <c r="L56" s="940"/>
      <c r="M56" s="940"/>
      <c r="N56" s="940"/>
      <c r="O56" s="940"/>
    </row>
    <row r="57" spans="1:15" s="691" customFormat="1">
      <c r="A57" s="692" t="s">
        <v>2763</v>
      </c>
      <c r="B57" s="262">
        <f>ROUND($C$48*C57*D57,0)</f>
        <v>3228</v>
      </c>
      <c r="C57" s="200">
        <f t="shared" ref="C57:C65" si="16">IF($C$55="北京市系数",I57,J57)</f>
        <v>0.6</v>
      </c>
      <c r="D57" s="1163">
        <v>0.25</v>
      </c>
      <c r="E57" s="693"/>
      <c r="F57" s="1102">
        <f t="shared" si="15"/>
        <v>0</v>
      </c>
      <c r="G57" s="3277" t="s">
        <v>2764</v>
      </c>
      <c r="H57" s="1103" t="str">
        <f>项目基本情况!B37</f>
        <v>九级</v>
      </c>
      <c r="I57" s="1107">
        <f>SUMIF(修正!A45:A56,H57,修正!B45:B56)</f>
        <v>0.6</v>
      </c>
      <c r="J57" s="1111"/>
      <c r="K57" s="1143"/>
      <c r="L57" s="940"/>
      <c r="M57" s="940"/>
      <c r="N57" s="940"/>
      <c r="O57" s="940"/>
    </row>
    <row r="58" spans="1:15" s="691" customFormat="1">
      <c r="A58" s="692" t="s">
        <v>2765</v>
      </c>
      <c r="B58" s="262">
        <f t="shared" ref="B58:B65" si="17">ROUND($C$48*C58*D58,0)</f>
        <v>1614</v>
      </c>
      <c r="C58" s="200">
        <f t="shared" si="16"/>
        <v>0.3</v>
      </c>
      <c r="D58" s="1163">
        <v>0.25</v>
      </c>
      <c r="E58" s="693"/>
      <c r="F58" s="1102">
        <f t="shared" si="15"/>
        <v>0</v>
      </c>
      <c r="G58" s="3277"/>
      <c r="H58" s="1103" t="str">
        <f>项目基本情况!B37</f>
        <v>九级</v>
      </c>
      <c r="I58" s="1107">
        <f>SUMIF(修正!A45:A56,H58,修正!C45:C56)</f>
        <v>0.3</v>
      </c>
      <c r="J58" s="1111"/>
      <c r="K58" s="1144"/>
      <c r="L58" s="940"/>
      <c r="M58" s="940"/>
      <c r="N58" s="940"/>
      <c r="O58" s="940"/>
    </row>
    <row r="59" spans="1:15" s="691" customFormat="1">
      <c r="A59" s="692" t="s">
        <v>2766</v>
      </c>
      <c r="B59" s="262">
        <f t="shared" si="17"/>
        <v>1076</v>
      </c>
      <c r="C59" s="200">
        <f t="shared" si="16"/>
        <v>0.2</v>
      </c>
      <c r="D59" s="1163">
        <v>0.25</v>
      </c>
      <c r="E59" s="693"/>
      <c r="F59" s="1102">
        <f t="shared" si="15"/>
        <v>0</v>
      </c>
      <c r="G59" s="3277"/>
      <c r="H59" s="1103" t="str">
        <f>项目基本情况!B37</f>
        <v>九级</v>
      </c>
      <c r="I59" s="1107">
        <f>SUMIF(修正!A45:A56,H59,修正!D45:D56)</f>
        <v>0.2</v>
      </c>
      <c r="J59" s="1111"/>
      <c r="K59" s="1143"/>
      <c r="L59" s="940"/>
      <c r="M59" s="940"/>
      <c r="N59" s="940"/>
      <c r="O59" s="940"/>
    </row>
    <row r="60" spans="1:15" s="691" customFormat="1">
      <c r="A60" s="692" t="s">
        <v>2767</v>
      </c>
      <c r="B60" s="262">
        <f t="shared" si="17"/>
        <v>1076</v>
      </c>
      <c r="C60" s="200">
        <f t="shared" si="16"/>
        <v>0.2</v>
      </c>
      <c r="D60" s="1163">
        <v>0.25</v>
      </c>
      <c r="E60" s="693"/>
      <c r="F60" s="1102">
        <f t="shared" si="15"/>
        <v>0</v>
      </c>
      <c r="G60" s="3277"/>
      <c r="H60" s="1103" t="str">
        <f>项目基本情况!B37</f>
        <v>九级</v>
      </c>
      <c r="I60" s="1107">
        <f>SUMIF(修正!A45:A56,H60,修正!E45:E56)</f>
        <v>0.2</v>
      </c>
      <c r="J60" s="1111"/>
      <c r="K60" s="1144"/>
      <c r="L60" s="940"/>
      <c r="M60" s="940"/>
      <c r="N60" s="940"/>
      <c r="O60" s="940"/>
    </row>
    <row r="61" spans="1:15" s="691" customFormat="1">
      <c r="A61" s="692" t="s">
        <v>2768</v>
      </c>
      <c r="B61" s="262">
        <f t="shared" si="17"/>
        <v>1076</v>
      </c>
      <c r="C61" s="200">
        <f t="shared" si="16"/>
        <v>0.2</v>
      </c>
      <c r="D61" s="1163">
        <v>0.25</v>
      </c>
      <c r="E61" s="261">
        <f>'数据-汇总表'!E11</f>
        <v>0</v>
      </c>
      <c r="F61" s="1102">
        <f t="shared" si="15"/>
        <v>0</v>
      </c>
      <c r="G61" s="2694" t="s">
        <v>2769</v>
      </c>
      <c r="H61" s="1103" t="str">
        <f>项目基本情况!C37</f>
        <v>九级</v>
      </c>
      <c r="I61" s="1107">
        <f>SUMIF(修正!A45:A56,H61,修正!F45:F56)</f>
        <v>0.2</v>
      </c>
      <c r="J61" s="1111"/>
      <c r="K61" s="1143"/>
      <c r="L61" s="940"/>
      <c r="M61" s="940"/>
      <c r="N61" s="940"/>
      <c r="O61" s="940"/>
    </row>
    <row r="62" spans="1:15" s="691" customFormat="1">
      <c r="A62" s="692" t="s">
        <v>2770</v>
      </c>
      <c r="B62" s="262">
        <f t="shared" si="17"/>
        <v>1076</v>
      </c>
      <c r="C62" s="200">
        <f t="shared" si="16"/>
        <v>0.2</v>
      </c>
      <c r="D62" s="1163">
        <v>0.25</v>
      </c>
      <c r="E62" s="261">
        <f>'数据-汇总表'!E12</f>
        <v>13513.800000000003</v>
      </c>
      <c r="F62" s="1102">
        <f t="shared" si="15"/>
        <v>1454</v>
      </c>
      <c r="G62" s="1108" t="s">
        <v>2771</v>
      </c>
      <c r="H62" s="1103" t="str">
        <f>IF(G62="商业",项目基本情况!B37,IF(G62="办公",项目基本情况!C37,IF(G62="住宅",项目基本情况!D37,项目基本情况!E37)))</f>
        <v>九级</v>
      </c>
      <c r="I62" s="1107">
        <f>SUMIF(修正!A45:A56,H62,修正!G45:G56)</f>
        <v>0.2</v>
      </c>
      <c r="J62" s="1111"/>
      <c r="K62" s="1144"/>
      <c r="L62" s="940"/>
      <c r="M62" s="940"/>
      <c r="N62" s="940"/>
      <c r="O62" s="940"/>
    </row>
    <row r="63" spans="1:15" s="691" customFormat="1">
      <c r="A63" s="692" t="s">
        <v>2772</v>
      </c>
      <c r="B63" s="262">
        <f t="shared" si="17"/>
        <v>807</v>
      </c>
      <c r="C63" s="200">
        <f t="shared" si="16"/>
        <v>0.15</v>
      </c>
      <c r="D63" s="1163">
        <v>0.25</v>
      </c>
      <c r="E63" s="261">
        <f>'数据-汇总表'!E13</f>
        <v>4756.67</v>
      </c>
      <c r="F63" s="1102">
        <f t="shared" si="15"/>
        <v>384</v>
      </c>
      <c r="G63" s="1108" t="s">
        <v>2773</v>
      </c>
      <c r="H63" s="1103" t="str">
        <f>IF(G63="商业",项目基本情况!B37,IF(G63="办公",项目基本情况!C37,IF(G63="住宅",项目基本情况!D37,项目基本情况!E37)))</f>
        <v>九级</v>
      </c>
      <c r="I63" s="1107">
        <f>SUMIF(修正!A45:A56,H63,修正!H45:H56)</f>
        <v>0.15</v>
      </c>
      <c r="J63" s="1111"/>
      <c r="K63" s="1143"/>
      <c r="L63" s="940"/>
      <c r="M63" s="940"/>
      <c r="N63" s="940"/>
      <c r="O63" s="940"/>
    </row>
    <row r="64" spans="1:15" s="691" customFormat="1">
      <c r="A64" s="692" t="s">
        <v>2774</v>
      </c>
      <c r="B64" s="262">
        <f t="shared" si="17"/>
        <v>807</v>
      </c>
      <c r="C64" s="200">
        <f t="shared" si="16"/>
        <v>0.15</v>
      </c>
      <c r="D64" s="1163">
        <v>0.25</v>
      </c>
      <c r="E64" s="261">
        <f>'数据-汇总表'!E14</f>
        <v>0</v>
      </c>
      <c r="F64" s="1102">
        <f t="shared" si="15"/>
        <v>0</v>
      </c>
      <c r="G64" s="2694" t="s">
        <v>2764</v>
      </c>
      <c r="H64" s="1103" t="str">
        <f>项目基本情况!B37</f>
        <v>九级</v>
      </c>
      <c r="I64" s="1107">
        <f>SUMIF(修正!A45:A56,H64,修正!H45:H56)</f>
        <v>0.15</v>
      </c>
      <c r="J64" s="1111"/>
      <c r="K64" s="1144"/>
      <c r="L64" s="940"/>
      <c r="M64" s="940"/>
      <c r="N64" s="940"/>
      <c r="O64" s="940"/>
    </row>
    <row r="65" spans="1:17" s="691" customFormat="1" ht="15" thickBot="1">
      <c r="A65" s="692" t="s">
        <v>2775</v>
      </c>
      <c r="B65" s="262">
        <f t="shared" si="17"/>
        <v>807</v>
      </c>
      <c r="C65" s="200">
        <f t="shared" si="16"/>
        <v>0.15</v>
      </c>
      <c r="D65" s="1163">
        <v>0.25</v>
      </c>
      <c r="E65" s="261">
        <f>'数据-汇总表'!E15</f>
        <v>0</v>
      </c>
      <c r="F65" s="1102">
        <f t="shared" si="15"/>
        <v>0</v>
      </c>
      <c r="G65" s="2695" t="s">
        <v>2769</v>
      </c>
      <c r="H65" s="1113" t="str">
        <f>项目基本情况!C37</f>
        <v>九级</v>
      </c>
      <c r="I65" s="1109">
        <f>SUMIF(修正!A45:A56,H65,修正!H45:H56)</f>
        <v>0.15</v>
      </c>
      <c r="J65" s="1112"/>
      <c r="K65" s="1143"/>
      <c r="L65" s="940"/>
      <c r="M65" s="940"/>
      <c r="N65" s="940"/>
      <c r="O65" s="940"/>
    </row>
    <row r="66" spans="1:17" s="691" customFormat="1" ht="13.5" thickBot="1">
      <c r="A66" s="694" t="s">
        <v>2776</v>
      </c>
      <c r="B66" s="695" t="s">
        <v>28</v>
      </c>
      <c r="C66" s="695" t="s">
        <v>29</v>
      </c>
      <c r="D66" s="695" t="s">
        <v>1025</v>
      </c>
      <c r="E66" s="695">
        <f>IF(B46="楼面地价",SUM(E56:E65),'数据-汇总表'!D3)</f>
        <v>43490.38</v>
      </c>
      <c r="F66" s="696">
        <f>IF(B46="楼面地价",SUM(F56:F65),ROUND(C48*E66/10000,0))</f>
        <v>56114</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2020-5-1</v>
      </c>
      <c r="D68" s="760">
        <f>EDATE(C68,-3)</f>
        <v>43862</v>
      </c>
      <c r="E68" s="760">
        <f>EDATE(D68,-3)</f>
        <v>43770</v>
      </c>
      <c r="F68" s="760">
        <f t="shared" ref="F68:O68" si="18">EDATE(E68,-3)</f>
        <v>43678</v>
      </c>
      <c r="G68" s="760">
        <f t="shared" si="18"/>
        <v>43586</v>
      </c>
      <c r="H68" s="760">
        <f t="shared" si="18"/>
        <v>43497</v>
      </c>
      <c r="I68" s="760">
        <f t="shared" si="18"/>
        <v>43405</v>
      </c>
      <c r="J68" s="760">
        <f t="shared" si="18"/>
        <v>43313</v>
      </c>
      <c r="K68" s="760">
        <f t="shared" si="18"/>
        <v>43221</v>
      </c>
      <c r="L68" s="760">
        <f t="shared" si="18"/>
        <v>43132</v>
      </c>
      <c r="M68" s="760">
        <f t="shared" si="18"/>
        <v>43040</v>
      </c>
      <c r="N68" s="760">
        <f t="shared" si="18"/>
        <v>42948</v>
      </c>
      <c r="O68" s="760">
        <f t="shared" si="18"/>
        <v>42856</v>
      </c>
    </row>
    <row r="69" spans="1:17" ht="21.75" thickBot="1">
      <c r="A69" s="762" t="s">
        <v>2669</v>
      </c>
      <c r="B69" s="758"/>
      <c r="C69" s="763"/>
      <c r="D69" s="763"/>
      <c r="E69" s="763"/>
      <c r="F69" s="764"/>
      <c r="G69" s="764"/>
      <c r="H69" s="763"/>
      <c r="I69" s="763"/>
      <c r="J69" s="1158"/>
      <c r="K69" s="1159"/>
      <c r="L69" s="1160"/>
      <c r="M69" s="1158"/>
      <c r="N69" s="1158"/>
      <c r="O69" s="1158"/>
      <c r="P69" s="502"/>
      <c r="Q69" s="503"/>
    </row>
    <row r="70" spans="1:17" s="507" customFormat="1" ht="15">
      <c r="A70" s="2696" t="s">
        <v>2777</v>
      </c>
      <c r="B70" s="1356"/>
      <c r="C70" s="1569" t="str">
        <f>YEAR(C68)&amp;"-"&amp;ROUNDUP(MONTH(C68)/3,0)</f>
        <v>2020-2</v>
      </c>
      <c r="D70" s="1569" t="str">
        <f>YEAR(D68)&amp;"-"&amp;ROUNDUP(MONTH(D68)/3,0)</f>
        <v>2020-1</v>
      </c>
      <c r="E70" s="1569" t="str">
        <f t="shared" ref="E70:O70" si="19">YEAR(E68)&amp;"-"&amp;ROUNDUP(MONTH(E68)/3,0)</f>
        <v>2019-4</v>
      </c>
      <c r="F70" s="1569" t="str">
        <f t="shared" si="19"/>
        <v>2019-3</v>
      </c>
      <c r="G70" s="1569" t="str">
        <f t="shared" si="19"/>
        <v>2019-2</v>
      </c>
      <c r="H70" s="1569" t="str">
        <f t="shared" si="19"/>
        <v>2019-1</v>
      </c>
      <c r="I70" s="1569" t="str">
        <f t="shared" si="19"/>
        <v>2018-4</v>
      </c>
      <c r="J70" s="1569" t="str">
        <f t="shared" si="19"/>
        <v>2018-3</v>
      </c>
      <c r="K70" s="1569" t="str">
        <f t="shared" si="19"/>
        <v>2018-2</v>
      </c>
      <c r="L70" s="1569" t="str">
        <f t="shared" si="19"/>
        <v>2018-1</v>
      </c>
      <c r="M70" s="1569" t="str">
        <f t="shared" si="19"/>
        <v>2017-4</v>
      </c>
      <c r="N70" s="1569" t="str">
        <f t="shared" si="19"/>
        <v>2017-3</v>
      </c>
      <c r="O70" s="1569" t="str">
        <f t="shared" si="19"/>
        <v>2017-2</v>
      </c>
      <c r="P70" s="506"/>
    </row>
    <row r="71" spans="1:17" s="117" customFormat="1" ht="30" customHeight="1">
      <c r="A71" s="2697" t="s">
        <v>2778</v>
      </c>
      <c r="B71" s="332" t="str">
        <f>"北京市平均增长率"&amp;TEXT(SUMIF(基准地价修正!N21:N25,A71,基准地价修正!P21:P25),"0.00%")</f>
        <v>北京市平均增长率2.03%</v>
      </c>
      <c r="C71" s="602">
        <v>100</v>
      </c>
      <c r="D71" s="594">
        <f>C71-$C$72</f>
        <v>99</v>
      </c>
      <c r="E71" s="594">
        <f t="shared" ref="E71:N71" si="20">D71-$C$72</f>
        <v>98</v>
      </c>
      <c r="F71" s="594">
        <f t="shared" si="20"/>
        <v>97</v>
      </c>
      <c r="G71" s="594">
        <f t="shared" si="20"/>
        <v>96</v>
      </c>
      <c r="H71" s="594">
        <f t="shared" si="20"/>
        <v>95</v>
      </c>
      <c r="I71" s="594">
        <f t="shared" si="20"/>
        <v>94</v>
      </c>
      <c r="J71" s="594">
        <f t="shared" si="20"/>
        <v>93</v>
      </c>
      <c r="K71" s="594">
        <f t="shared" si="20"/>
        <v>92</v>
      </c>
      <c r="L71" s="594">
        <f t="shared" si="20"/>
        <v>91</v>
      </c>
      <c r="M71" s="594">
        <f t="shared" si="20"/>
        <v>90</v>
      </c>
      <c r="N71" s="594">
        <f t="shared" si="20"/>
        <v>89</v>
      </c>
      <c r="O71" s="1565"/>
      <c r="P71" s="503"/>
    </row>
    <row r="72" spans="1:17" s="117" customFormat="1" ht="15.75" thickBot="1">
      <c r="A72" s="514" t="s">
        <v>2580</v>
      </c>
      <c r="B72" s="515"/>
      <c r="C72" s="516">
        <v>1</v>
      </c>
      <c r="D72" s="517"/>
      <c r="E72" s="517"/>
      <c r="F72" s="517"/>
      <c r="G72" s="517"/>
      <c r="H72" s="517"/>
      <c r="I72" s="517"/>
      <c r="J72" s="517"/>
      <c r="K72" s="517"/>
      <c r="L72" s="517"/>
      <c r="M72" s="518"/>
      <c r="N72" s="517"/>
      <c r="O72" s="1161"/>
      <c r="P72" s="503"/>
      <c r="Q72" s="503"/>
    </row>
    <row r="73" spans="1:17" s="117" customFormat="1" ht="15">
      <c r="A73" s="520" t="s">
        <v>2545</v>
      </c>
      <c r="B73" s="509"/>
      <c r="C73" s="521" t="s">
        <v>2647</v>
      </c>
      <c r="D73" s="522"/>
      <c r="E73" s="522"/>
      <c r="F73" s="522"/>
      <c r="G73" s="522"/>
      <c r="H73" s="522"/>
      <c r="I73" s="522"/>
      <c r="J73" s="522"/>
      <c r="K73" s="522"/>
      <c r="L73" s="523"/>
      <c r="M73" s="524"/>
      <c r="N73" s="1150"/>
      <c r="O73" s="1150"/>
      <c r="P73" s="525"/>
      <c r="Q73" s="503"/>
    </row>
    <row r="74" spans="1:17" s="117"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2583</v>
      </c>
      <c r="B75" s="527" t="s">
        <v>2549</v>
      </c>
      <c r="C75" s="2960" t="s">
        <v>3278</v>
      </c>
      <c r="D75" s="2960" t="s">
        <v>3223</v>
      </c>
      <c r="E75" s="529"/>
      <c r="F75" s="529"/>
      <c r="G75" s="529"/>
      <c r="H75" s="529"/>
      <c r="I75" s="529"/>
      <c r="J75" s="529"/>
      <c r="K75" s="530"/>
      <c r="L75" s="531"/>
      <c r="M75" s="532"/>
      <c r="N75" s="1151"/>
      <c r="O75" s="1151"/>
      <c r="P75" s="45"/>
      <c r="Q75" s="503"/>
    </row>
    <row r="76" spans="1:17" ht="15.75" thickBot="1">
      <c r="A76" s="533"/>
      <c r="B76" s="534"/>
      <c r="C76" s="535">
        <v>100</v>
      </c>
      <c r="D76" s="535">
        <v>95</v>
      </c>
      <c r="E76" s="535"/>
      <c r="F76" s="535"/>
      <c r="G76" s="535"/>
      <c r="H76" s="535"/>
      <c r="I76" s="535"/>
      <c r="J76" s="535"/>
      <c r="K76" s="535"/>
      <c r="L76" s="535"/>
      <c r="M76" s="536"/>
      <c r="N76" s="1152"/>
      <c r="O76" s="1152"/>
      <c r="P76" s="45"/>
      <c r="Q76" s="503"/>
    </row>
    <row r="77" spans="1:17" ht="27.75" thickTop="1">
      <c r="A77" s="533"/>
      <c r="B77" s="537" t="s">
        <v>2552</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2553</v>
      </c>
      <c r="C79" s="546" t="str">
        <f>C80&amp;"（含）"&amp;"-"&amp;D80</f>
        <v>0（含）-1</v>
      </c>
      <c r="D79" s="546" t="str">
        <f t="shared" ref="D79:L79" si="21">D80&amp;"（含）"&amp;"-"&amp;E80</f>
        <v>1（含）-2</v>
      </c>
      <c r="E79" s="546" t="str">
        <f t="shared" si="21"/>
        <v>2（含）-3</v>
      </c>
      <c r="F79" s="546" t="str">
        <f t="shared" si="21"/>
        <v>3（含）-4</v>
      </c>
      <c r="G79" s="546" t="str">
        <f t="shared" si="21"/>
        <v>4（含）-5</v>
      </c>
      <c r="H79" s="546" t="str">
        <f t="shared" si="21"/>
        <v>5（含）-</v>
      </c>
      <c r="I79" s="546" t="str">
        <f t="shared" si="21"/>
        <v>（含）-</v>
      </c>
      <c r="J79" s="546" t="str">
        <f t="shared" si="21"/>
        <v>（含）-</v>
      </c>
      <c r="K79" s="546" t="str">
        <f t="shared" si="21"/>
        <v>（含）-</v>
      </c>
      <c r="L79" s="546" t="str">
        <f t="shared" si="21"/>
        <v>（含）-</v>
      </c>
      <c r="M79" s="447" t="str">
        <f>M80&amp;"（含）"&amp;"-"&amp;P80</f>
        <v>（含）-</v>
      </c>
      <c r="N79" s="1152"/>
      <c r="O79" s="1152"/>
      <c r="P79" s="45"/>
      <c r="Q79" s="503"/>
    </row>
    <row r="80" spans="1:17" ht="15">
      <c r="A80" s="533"/>
      <c r="B80" s="547"/>
      <c r="C80" s="548">
        <v>0</v>
      </c>
      <c r="D80" s="548">
        <v>1</v>
      </c>
      <c r="E80" s="548">
        <v>2</v>
      </c>
      <c r="F80" s="548">
        <v>3</v>
      </c>
      <c r="G80" s="548">
        <v>4</v>
      </c>
      <c r="H80" s="548">
        <v>5</v>
      </c>
      <c r="I80" s="548"/>
      <c r="J80" s="548"/>
      <c r="K80" s="549"/>
      <c r="L80" s="550"/>
      <c r="M80" s="551"/>
      <c r="N80" s="1151"/>
      <c r="O80" s="1151"/>
      <c r="P80" s="45"/>
      <c r="Q80" s="503"/>
    </row>
    <row r="81" spans="1:17" ht="15.75" thickBot="1">
      <c r="A81" s="533"/>
      <c r="B81" s="534"/>
      <c r="C81" s="543">
        <v>100</v>
      </c>
      <c r="D81" s="543">
        <f t="shared" ref="D81:M81" si="22">IF($B$46="单位面积地价",C81+$K11,C81-$K11)</f>
        <v>98</v>
      </c>
      <c r="E81" s="543">
        <f t="shared" si="22"/>
        <v>96</v>
      </c>
      <c r="F81" s="543">
        <f t="shared" si="22"/>
        <v>94</v>
      </c>
      <c r="G81" s="543">
        <f t="shared" si="22"/>
        <v>92</v>
      </c>
      <c r="H81" s="543">
        <f t="shared" si="22"/>
        <v>90</v>
      </c>
      <c r="I81" s="543">
        <f t="shared" si="22"/>
        <v>88</v>
      </c>
      <c r="J81" s="543">
        <f t="shared" si="22"/>
        <v>86</v>
      </c>
      <c r="K81" s="543">
        <f t="shared" si="22"/>
        <v>84</v>
      </c>
      <c r="L81" s="543">
        <f t="shared" si="22"/>
        <v>82</v>
      </c>
      <c r="M81" s="543">
        <f t="shared" si="22"/>
        <v>80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2554</v>
      </c>
      <c r="B88" s="527" t="s">
        <v>2591</v>
      </c>
      <c r="C88" s="572" t="s">
        <v>2592</v>
      </c>
      <c r="D88" s="572" t="s">
        <v>2593</v>
      </c>
      <c r="E88" s="572" t="s">
        <v>2594</v>
      </c>
      <c r="F88" s="572" t="s">
        <v>2595</v>
      </c>
      <c r="G88" s="572" t="s">
        <v>2596</v>
      </c>
      <c r="H88" s="528"/>
      <c r="I88" s="528"/>
      <c r="J88" s="528"/>
      <c r="K88" s="573"/>
      <c r="L88" s="574"/>
      <c r="M88" s="575"/>
      <c r="N88" s="1151"/>
      <c r="O88" s="1151"/>
      <c r="P88" s="576"/>
      <c r="Q88" s="503"/>
    </row>
    <row r="89" spans="1:17" ht="15.75" thickBot="1">
      <c r="A89" s="533"/>
      <c r="B89" s="542"/>
      <c r="C89" s="543">
        <v>100</v>
      </c>
      <c r="D89" s="543">
        <f>C89-$K15</f>
        <v>98</v>
      </c>
      <c r="E89" s="543">
        <f>D89-$K15</f>
        <v>96</v>
      </c>
      <c r="F89" s="543">
        <f>E89-$K15</f>
        <v>94</v>
      </c>
      <c r="G89" s="543">
        <f>F89-$K15</f>
        <v>92</v>
      </c>
      <c r="H89" s="543"/>
      <c r="I89" s="543"/>
      <c r="J89" s="543"/>
      <c r="K89" s="543"/>
      <c r="L89" s="543"/>
      <c r="M89" s="544"/>
      <c r="N89" s="1152"/>
      <c r="O89" s="1152"/>
      <c r="P89" s="45"/>
      <c r="Q89" s="503"/>
    </row>
    <row r="90" spans="1:17" ht="15.75" thickTop="1">
      <c r="A90" s="533"/>
      <c r="B90" s="537" t="s">
        <v>2779</v>
      </c>
      <c r="C90" s="577" t="s">
        <v>2592</v>
      </c>
      <c r="D90" s="577" t="s">
        <v>2593</v>
      </c>
      <c r="E90" s="577" t="s">
        <v>2594</v>
      </c>
      <c r="F90" s="577" t="s">
        <v>2595</v>
      </c>
      <c r="G90" s="577" t="s">
        <v>2596</v>
      </c>
      <c r="H90" s="538"/>
      <c r="I90" s="538"/>
      <c r="J90" s="538"/>
      <c r="K90" s="539"/>
      <c r="L90" s="540"/>
      <c r="M90" s="541"/>
      <c r="N90" s="1151"/>
      <c r="O90" s="1151"/>
      <c r="P90" s="45"/>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2"/>
      <c r="O91" s="1152"/>
      <c r="P91" s="45"/>
      <c r="Q91" s="503"/>
    </row>
    <row r="92" spans="1:17" ht="15.75" thickTop="1">
      <c r="A92" s="533"/>
      <c r="B92" s="537" t="s">
        <v>2692</v>
      </c>
      <c r="C92" s="577" t="s">
        <v>2592</v>
      </c>
      <c r="D92" s="577" t="s">
        <v>2593</v>
      </c>
      <c r="E92" s="577" t="s">
        <v>2594</v>
      </c>
      <c r="F92" s="577" t="s">
        <v>2595</v>
      </c>
      <c r="G92" s="577" t="s">
        <v>2596</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2597</v>
      </c>
      <c r="C94" s="577" t="s">
        <v>2592</v>
      </c>
      <c r="D94" s="577" t="s">
        <v>2593</v>
      </c>
      <c r="E94" s="577" t="s">
        <v>2594</v>
      </c>
      <c r="F94" s="577" t="s">
        <v>2595</v>
      </c>
      <c r="G94" s="577" t="s">
        <v>2596</v>
      </c>
      <c r="H94" s="538"/>
      <c r="I94" s="538"/>
      <c r="J94" s="538"/>
      <c r="K94" s="539"/>
      <c r="L94" s="540"/>
      <c r="M94" s="541"/>
      <c r="N94" s="1151"/>
      <c r="O94" s="1151"/>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2"/>
      <c r="O95" s="1152"/>
      <c r="P95" s="45"/>
      <c r="Q95" s="503"/>
    </row>
    <row r="96" spans="1:17" s="117" customFormat="1" ht="15.75" thickTop="1">
      <c r="A96" s="578"/>
      <c r="B96" s="537" t="s">
        <v>2780</v>
      </c>
      <c r="C96" s="577" t="s">
        <v>2592</v>
      </c>
      <c r="D96" s="577" t="s">
        <v>2593</v>
      </c>
      <c r="E96" s="577" t="s">
        <v>2594</v>
      </c>
      <c r="F96" s="577" t="s">
        <v>2595</v>
      </c>
      <c r="G96" s="577" t="s">
        <v>2596</v>
      </c>
      <c r="H96" s="577"/>
      <c r="I96" s="577"/>
      <c r="J96" s="577"/>
      <c r="K96" s="577"/>
      <c r="L96" s="697"/>
      <c r="M96" s="621"/>
      <c r="N96" s="1150"/>
      <c r="O96" s="1150"/>
      <c r="P96" s="45"/>
      <c r="Q96" s="503"/>
    </row>
    <row r="97" spans="1:17" s="117" customFormat="1" ht="15.75" thickBot="1">
      <c r="A97" s="578"/>
      <c r="B97" s="542"/>
      <c r="C97" s="581">
        <v>100</v>
      </c>
      <c r="D97" s="543">
        <f>C97-$K23</f>
        <v>98</v>
      </c>
      <c r="E97" s="543">
        <f>D97-$K23</f>
        <v>96</v>
      </c>
      <c r="F97" s="543">
        <f>E97-$K23</f>
        <v>94</v>
      </c>
      <c r="G97" s="543">
        <f>F97-$K23</f>
        <v>92</v>
      </c>
      <c r="H97" s="543"/>
      <c r="I97" s="543"/>
      <c r="J97" s="543"/>
      <c r="K97" s="543"/>
      <c r="L97" s="543"/>
      <c r="M97" s="544"/>
      <c r="N97" s="1152"/>
      <c r="O97" s="1152"/>
      <c r="P97" s="45"/>
      <c r="Q97" s="503"/>
    </row>
    <row r="98" spans="1:17" s="117" customFormat="1" ht="27.75" thickTop="1">
      <c r="A98" s="578"/>
      <c r="B98" s="537" t="s">
        <v>2781</v>
      </c>
      <c r="C98" s="572" t="s">
        <v>2592</v>
      </c>
      <c r="D98" s="572" t="s">
        <v>2593</v>
      </c>
      <c r="E98" s="572" t="s">
        <v>2594</v>
      </c>
      <c r="F98" s="572" t="s">
        <v>2595</v>
      </c>
      <c r="G98" s="572" t="s">
        <v>2596</v>
      </c>
      <c r="H98" s="577"/>
      <c r="I98" s="577"/>
      <c r="J98" s="577"/>
      <c r="K98" s="577"/>
      <c r="L98" s="577"/>
      <c r="M98" s="621"/>
      <c r="N98" s="1150"/>
      <c r="O98" s="1150"/>
      <c r="P98" s="45"/>
      <c r="Q98" s="503"/>
    </row>
    <row r="99" spans="1:17" s="117" customFormat="1" ht="15.75" thickBot="1">
      <c r="A99" s="578"/>
      <c r="B99" s="542"/>
      <c r="C99" s="543">
        <v>100</v>
      </c>
      <c r="D99" s="543">
        <f>C99-$K25</f>
        <v>98</v>
      </c>
      <c r="E99" s="543">
        <f>D99-$K25</f>
        <v>96</v>
      </c>
      <c r="F99" s="543">
        <f>E99-$K25</f>
        <v>94</v>
      </c>
      <c r="G99" s="543">
        <f>F99-$K25</f>
        <v>92</v>
      </c>
      <c r="H99" s="543"/>
      <c r="I99" s="543"/>
      <c r="J99" s="543"/>
      <c r="K99" s="543"/>
      <c r="L99" s="543"/>
      <c r="M99" s="544"/>
      <c r="N99" s="1152"/>
      <c r="O99" s="1152"/>
      <c r="P99" s="45"/>
      <c r="Q99" s="503"/>
    </row>
    <row r="100" spans="1:17" s="470" customFormat="1" ht="15.75" thickTop="1">
      <c r="A100" s="552"/>
      <c r="B100" s="537" t="s">
        <v>2649</v>
      </c>
      <c r="C100" s="572" t="s">
        <v>2592</v>
      </c>
      <c r="D100" s="572" t="s">
        <v>2593</v>
      </c>
      <c r="E100" s="572" t="s">
        <v>2594</v>
      </c>
      <c r="F100" s="572" t="s">
        <v>2595</v>
      </c>
      <c r="G100" s="572" t="s">
        <v>2596</v>
      </c>
      <c r="H100" s="599"/>
      <c r="I100" s="599"/>
      <c r="J100" s="599"/>
      <c r="K100" s="599"/>
      <c r="L100" s="600"/>
      <c r="M100" s="601"/>
      <c r="N100" s="1153"/>
      <c r="O100" s="1153"/>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3"/>
      <c r="O101" s="1153"/>
      <c r="P101" s="557"/>
      <c r="Q101" s="558"/>
    </row>
    <row r="102" spans="1:17" s="470" customFormat="1" ht="15.75" thickTop="1">
      <c r="A102" s="552"/>
      <c r="B102" s="545" t="s">
        <v>2650</v>
      </c>
      <c r="C102" s="659" t="s">
        <v>2670</v>
      </c>
      <c r="D102" s="659" t="s">
        <v>2671</v>
      </c>
      <c r="E102" s="659" t="s">
        <v>2672</v>
      </c>
      <c r="F102" s="659" t="s">
        <v>2673</v>
      </c>
      <c r="G102" s="659" t="s">
        <v>2674</v>
      </c>
      <c r="H102" s="599"/>
      <c r="I102" s="599"/>
      <c r="J102" s="599"/>
      <c r="K102" s="599"/>
      <c r="L102" s="599"/>
      <c r="M102" s="1382"/>
      <c r="N102" s="1153"/>
      <c r="O102" s="1153"/>
      <c r="P102" s="557"/>
      <c r="Q102" s="558"/>
    </row>
    <row r="103" spans="1:17" s="470" customFormat="1" ht="15.75" thickBot="1">
      <c r="A103" s="552"/>
      <c r="B103" s="545"/>
      <c r="C103" s="543">
        <v>100</v>
      </c>
      <c r="D103" s="543">
        <f>C103-$K29</f>
        <v>98</v>
      </c>
      <c r="E103" s="543">
        <f>D103-$K29</f>
        <v>96</v>
      </c>
      <c r="F103" s="543">
        <f>E103-$K29</f>
        <v>94</v>
      </c>
      <c r="G103" s="543">
        <f>F103-$K29</f>
        <v>92</v>
      </c>
      <c r="H103" s="547"/>
      <c r="I103" s="547"/>
      <c r="J103" s="547"/>
      <c r="K103" s="547"/>
      <c r="L103" s="547"/>
      <c r="M103" s="1382"/>
      <c r="N103" s="1153"/>
      <c r="O103" s="1153"/>
      <c r="P103" s="557"/>
      <c r="Q103" s="558"/>
    </row>
    <row r="104" spans="1:17" ht="15.75" thickTop="1">
      <c r="A104" s="533"/>
      <c r="B104" s="537" t="str">
        <f>B31</f>
        <v>临街状况</v>
      </c>
      <c r="C104" s="538" t="s">
        <v>2782</v>
      </c>
      <c r="D104" s="538" t="s">
        <v>2783</v>
      </c>
      <c r="E104" s="538" t="s">
        <v>2784</v>
      </c>
      <c r="F104" s="538" t="s">
        <v>2785</v>
      </c>
      <c r="G104" s="538"/>
      <c r="H104" s="538"/>
      <c r="I104" s="538"/>
      <c r="J104" s="538"/>
      <c r="K104" s="539"/>
      <c r="L104" s="540"/>
      <c r="M104" s="541"/>
      <c r="N104" s="1151"/>
      <c r="O104" s="1151"/>
      <c r="P104" s="45"/>
      <c r="Q104" s="503"/>
    </row>
    <row r="105" spans="1:17" ht="15.75" thickBot="1">
      <c r="A105" s="533"/>
      <c r="B105" s="542"/>
      <c r="C105" s="543">
        <v>100</v>
      </c>
      <c r="D105" s="543">
        <f>C105-$K31</f>
        <v>99</v>
      </c>
      <c r="E105" s="543">
        <f t="shared" ref="E105:M105" si="23">D105-$K31</f>
        <v>98</v>
      </c>
      <c r="F105" s="543">
        <f t="shared" si="23"/>
        <v>97</v>
      </c>
      <c r="G105" s="543">
        <f t="shared" si="23"/>
        <v>96</v>
      </c>
      <c r="H105" s="543">
        <f t="shared" si="23"/>
        <v>95</v>
      </c>
      <c r="I105" s="543">
        <f t="shared" si="23"/>
        <v>94</v>
      </c>
      <c r="J105" s="543">
        <f t="shared" si="23"/>
        <v>93</v>
      </c>
      <c r="K105" s="543">
        <f t="shared" si="23"/>
        <v>92</v>
      </c>
      <c r="L105" s="543">
        <f t="shared" si="23"/>
        <v>91</v>
      </c>
      <c r="M105" s="543">
        <f t="shared" si="23"/>
        <v>90</v>
      </c>
      <c r="N105" s="1152"/>
      <c r="O105" s="1152"/>
      <c r="P105" s="45"/>
      <c r="Q105" s="503"/>
    </row>
    <row r="106" spans="1:17" ht="27.75" thickTop="1">
      <c r="A106" s="533"/>
      <c r="B106" s="537" t="s">
        <v>2686</v>
      </c>
      <c r="C106" s="2961" t="s">
        <v>3225</v>
      </c>
      <c r="D106" s="2961" t="s">
        <v>3226</v>
      </c>
      <c r="E106" s="2961" t="s">
        <v>3227</v>
      </c>
      <c r="F106" s="2961" t="s">
        <v>3228</v>
      </c>
      <c r="G106" s="2961" t="s">
        <v>3229</v>
      </c>
      <c r="H106" s="582"/>
      <c r="I106" s="582"/>
      <c r="J106" s="582"/>
      <c r="K106" s="583"/>
      <c r="L106" s="584"/>
      <c r="M106" s="585"/>
      <c r="N106" s="1151"/>
      <c r="O106" s="1151"/>
      <c r="P106" s="45"/>
      <c r="Q106" s="503"/>
    </row>
    <row r="107" spans="1:17" ht="15.75" thickBot="1">
      <c r="A107" s="533"/>
      <c r="B107" s="542"/>
      <c r="C107" s="543">
        <v>100</v>
      </c>
      <c r="D107" s="543">
        <f>C107-$K32</f>
        <v>98</v>
      </c>
      <c r="E107" s="543">
        <f t="shared" ref="E107:M107" si="24">D107-$K32</f>
        <v>96</v>
      </c>
      <c r="F107" s="543">
        <f t="shared" si="24"/>
        <v>94</v>
      </c>
      <c r="G107" s="543">
        <f t="shared" si="24"/>
        <v>92</v>
      </c>
      <c r="H107" s="543">
        <f t="shared" si="24"/>
        <v>90</v>
      </c>
      <c r="I107" s="543">
        <f t="shared" si="24"/>
        <v>88</v>
      </c>
      <c r="J107" s="543">
        <f t="shared" si="24"/>
        <v>86</v>
      </c>
      <c r="K107" s="543">
        <f t="shared" si="24"/>
        <v>84</v>
      </c>
      <c r="L107" s="543">
        <f t="shared" si="24"/>
        <v>82</v>
      </c>
      <c r="M107" s="543">
        <f t="shared" si="24"/>
        <v>80</v>
      </c>
      <c r="N107" s="1152"/>
      <c r="O107" s="1152"/>
      <c r="P107" s="45"/>
      <c r="Q107" s="503"/>
    </row>
    <row r="108" spans="1:17" ht="15.75" thickTop="1">
      <c r="A108" s="533"/>
      <c r="B108" s="537" t="s">
        <v>2745</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4"/>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ht="28.5">
      <c r="A116" s="526" t="s">
        <v>2558</v>
      </c>
      <c r="B116" s="527" t="s">
        <v>2786</v>
      </c>
      <c r="C116" s="528" t="str">
        <f>C117&amp;"(含)"&amp;"-"&amp;D117</f>
        <v>0(含)-50000</v>
      </c>
      <c r="D116" s="528" t="str">
        <f t="shared" ref="D116:M116" si="26">D117&amp;"(含)"&amp;"-"&amp;E117</f>
        <v>50000(含)-100000</v>
      </c>
      <c r="E116" s="528" t="str">
        <f t="shared" si="26"/>
        <v>100000(含)-150000</v>
      </c>
      <c r="F116" s="528" t="str">
        <f t="shared" si="26"/>
        <v>150000(含)-200000</v>
      </c>
      <c r="G116" s="528" t="str">
        <f t="shared" si="26"/>
        <v>200000(含)-250000</v>
      </c>
      <c r="H116" s="528" t="str">
        <f t="shared" si="26"/>
        <v>250000(含)-</v>
      </c>
      <c r="I116" s="528" t="str">
        <f t="shared" si="26"/>
        <v>(含)-</v>
      </c>
      <c r="J116" s="528" t="str">
        <f t="shared" si="26"/>
        <v>(含)-</v>
      </c>
      <c r="K116" s="528" t="str">
        <f t="shared" si="26"/>
        <v>(含)-</v>
      </c>
      <c r="L116" s="528" t="str">
        <f t="shared" si="26"/>
        <v>(含)-</v>
      </c>
      <c r="M116" s="528" t="str">
        <f t="shared" si="26"/>
        <v>(含)-</v>
      </c>
      <c r="N116" s="1151"/>
      <c r="O116" s="1151"/>
      <c r="P116" s="45"/>
      <c r="Q116" s="503"/>
    </row>
    <row r="117" spans="1:17" ht="15">
      <c r="A117" s="533"/>
      <c r="B117" s="545"/>
      <c r="C117" s="594">
        <v>0</v>
      </c>
      <c r="D117" s="594">
        <f>C117+50000</f>
        <v>50000</v>
      </c>
      <c r="E117" s="594">
        <f t="shared" ref="E117:G117" si="27">D117+50000</f>
        <v>100000</v>
      </c>
      <c r="F117" s="594">
        <f t="shared" si="27"/>
        <v>150000</v>
      </c>
      <c r="G117" s="594">
        <f t="shared" si="27"/>
        <v>200000</v>
      </c>
      <c r="H117" s="594">
        <f>G117+50000</f>
        <v>250000</v>
      </c>
      <c r="I117" s="594"/>
      <c r="J117" s="595"/>
      <c r="K117" s="595"/>
      <c r="L117" s="596"/>
      <c r="M117" s="597"/>
      <c r="N117" s="1151"/>
      <c r="O117" s="1151"/>
      <c r="P117" s="45"/>
      <c r="Q117" s="503"/>
    </row>
    <row r="118" spans="1:17" ht="15.75" thickBot="1">
      <c r="A118" s="533"/>
      <c r="B118" s="542"/>
      <c r="C118" s="569">
        <v>100</v>
      </c>
      <c r="D118" s="590">
        <f>C118+2</f>
        <v>102</v>
      </c>
      <c r="E118" s="590">
        <f t="shared" ref="E118:H118" si="28">D118+2</f>
        <v>104</v>
      </c>
      <c r="F118" s="590">
        <f t="shared" si="28"/>
        <v>106</v>
      </c>
      <c r="G118" s="590">
        <f t="shared" si="28"/>
        <v>108</v>
      </c>
      <c r="H118" s="590">
        <f t="shared" si="28"/>
        <v>110</v>
      </c>
      <c r="I118" s="590"/>
      <c r="J118" s="590"/>
      <c r="K118" s="590"/>
      <c r="L118" s="590"/>
      <c r="M118" s="591"/>
      <c r="N118" s="1152"/>
      <c r="O118" s="1152"/>
      <c r="P118" s="45"/>
      <c r="Q118" s="503"/>
    </row>
    <row r="119" spans="1:17" ht="15" thickTop="1">
      <c r="A119" s="598"/>
      <c r="B119" s="537" t="s">
        <v>2787</v>
      </c>
      <c r="C119" s="2962" t="s">
        <v>3230</v>
      </c>
      <c r="D119" s="2962" t="s">
        <v>3231</v>
      </c>
      <c r="E119" s="2962" t="s">
        <v>3232</v>
      </c>
      <c r="F119" s="2962" t="s">
        <v>3233</v>
      </c>
      <c r="G119" s="582"/>
      <c r="H119" s="582"/>
      <c r="I119" s="582"/>
      <c r="J119" s="582"/>
      <c r="K119" s="583"/>
      <c r="L119" s="584"/>
      <c r="M119" s="585"/>
      <c r="N119" s="1151"/>
      <c r="O119" s="1151"/>
      <c r="P119" s="45"/>
      <c r="Q119" s="503"/>
    </row>
    <row r="120" spans="1:17" ht="15.75" thickBot="1">
      <c r="A120" s="533"/>
      <c r="B120" s="542"/>
      <c r="C120" s="543">
        <v>100</v>
      </c>
      <c r="D120" s="543">
        <f t="shared" ref="D120:M120" si="29">C120-$K39</f>
        <v>99</v>
      </c>
      <c r="E120" s="543">
        <f t="shared" si="29"/>
        <v>98</v>
      </c>
      <c r="F120" s="543">
        <f t="shared" si="29"/>
        <v>97</v>
      </c>
      <c r="G120" s="543">
        <f t="shared" si="29"/>
        <v>96</v>
      </c>
      <c r="H120" s="543">
        <f t="shared" si="29"/>
        <v>95</v>
      </c>
      <c r="I120" s="543">
        <f t="shared" si="29"/>
        <v>94</v>
      </c>
      <c r="J120" s="543">
        <f t="shared" si="29"/>
        <v>93</v>
      </c>
      <c r="K120" s="543">
        <f t="shared" si="29"/>
        <v>92</v>
      </c>
      <c r="L120" s="543">
        <f t="shared" si="29"/>
        <v>91</v>
      </c>
      <c r="M120" s="544">
        <f t="shared" si="29"/>
        <v>90</v>
      </c>
      <c r="N120" s="1152"/>
      <c r="O120" s="1152"/>
      <c r="P120" s="45"/>
      <c r="Q120" s="503"/>
    </row>
    <row r="121" spans="1:17" ht="15" thickTop="1">
      <c r="A121" s="598"/>
      <c r="B121" s="537" t="s">
        <v>2788</v>
      </c>
      <c r="C121" s="2961" t="s">
        <v>3234</v>
      </c>
      <c r="D121" s="2961" t="s">
        <v>3235</v>
      </c>
      <c r="E121" s="2961" t="s">
        <v>3236</v>
      </c>
      <c r="F121" s="2962" t="s">
        <v>3237</v>
      </c>
      <c r="G121" s="2962" t="s">
        <v>3238</v>
      </c>
      <c r="H121" s="582"/>
      <c r="I121" s="582"/>
      <c r="J121" s="582"/>
      <c r="K121" s="583"/>
      <c r="L121" s="584"/>
      <c r="M121" s="585"/>
      <c r="N121" s="1151"/>
      <c r="O121" s="1151"/>
      <c r="P121" s="45"/>
      <c r="Q121" s="503"/>
    </row>
    <row r="122" spans="1:17" ht="15.75" thickBot="1">
      <c r="A122" s="533"/>
      <c r="B122" s="542"/>
      <c r="C122" s="543">
        <v>100</v>
      </c>
      <c r="D122" s="543">
        <f t="shared" ref="D122:M122" si="30">C122-$K40</f>
        <v>99</v>
      </c>
      <c r="E122" s="543">
        <f t="shared" si="30"/>
        <v>98</v>
      </c>
      <c r="F122" s="543">
        <f t="shared" si="30"/>
        <v>97</v>
      </c>
      <c r="G122" s="543">
        <f t="shared" si="30"/>
        <v>96</v>
      </c>
      <c r="H122" s="543">
        <f t="shared" si="30"/>
        <v>95</v>
      </c>
      <c r="I122" s="543">
        <f t="shared" si="30"/>
        <v>94</v>
      </c>
      <c r="J122" s="543">
        <f t="shared" si="30"/>
        <v>93</v>
      </c>
      <c r="K122" s="543">
        <f t="shared" si="30"/>
        <v>92</v>
      </c>
      <c r="L122" s="543">
        <f t="shared" si="30"/>
        <v>91</v>
      </c>
      <c r="M122" s="544">
        <f t="shared" si="30"/>
        <v>90</v>
      </c>
      <c r="N122" s="1152"/>
      <c r="O122" s="1152"/>
      <c r="P122" s="45"/>
      <c r="Q122" s="503"/>
    </row>
    <row r="123" spans="1:17" s="470" customFormat="1" ht="15" thickTop="1">
      <c r="A123" s="592"/>
      <c r="B123" s="537" t="s">
        <v>2789</v>
      </c>
      <c r="C123" s="2963" t="s">
        <v>3239</v>
      </c>
      <c r="D123" s="2963" t="s">
        <v>3240</v>
      </c>
      <c r="E123" s="2963" t="s">
        <v>3241</v>
      </c>
      <c r="F123" s="2963" t="s">
        <v>3242</v>
      </c>
      <c r="G123" s="2963" t="s">
        <v>3243</v>
      </c>
      <c r="H123" s="582"/>
      <c r="I123" s="582"/>
      <c r="J123" s="582"/>
      <c r="K123" s="583"/>
      <c r="L123" s="584"/>
      <c r="M123" s="585"/>
      <c r="N123" s="1153"/>
      <c r="O123" s="1153"/>
      <c r="P123" s="557"/>
      <c r="Q123" s="558"/>
    </row>
    <row r="124" spans="1:17" s="470" customFormat="1" ht="15.75" thickBot="1">
      <c r="A124" s="552"/>
      <c r="B124" s="542"/>
      <c r="C124" s="543">
        <v>100</v>
      </c>
      <c r="D124" s="543">
        <f>C124-$K41</f>
        <v>99</v>
      </c>
      <c r="E124" s="543">
        <f t="shared" ref="E124:M124" si="31">D124-$K41</f>
        <v>98</v>
      </c>
      <c r="F124" s="543">
        <f t="shared" si="31"/>
        <v>97</v>
      </c>
      <c r="G124" s="543">
        <f t="shared" si="31"/>
        <v>96</v>
      </c>
      <c r="H124" s="543">
        <f t="shared" si="31"/>
        <v>95</v>
      </c>
      <c r="I124" s="543">
        <f t="shared" si="31"/>
        <v>94</v>
      </c>
      <c r="J124" s="543">
        <f t="shared" si="31"/>
        <v>93</v>
      </c>
      <c r="K124" s="543">
        <f t="shared" si="31"/>
        <v>92</v>
      </c>
      <c r="L124" s="543">
        <f t="shared" si="31"/>
        <v>91</v>
      </c>
      <c r="M124" s="544">
        <f t="shared" si="31"/>
        <v>90</v>
      </c>
      <c r="N124" s="1153"/>
      <c r="O124" s="1153"/>
      <c r="P124" s="557"/>
      <c r="Q124" s="558"/>
    </row>
    <row r="125" spans="1:17" ht="15" thickTop="1">
      <c r="A125" s="598"/>
      <c r="B125" s="537" t="s">
        <v>2790</v>
      </c>
      <c r="C125" s="2963" t="s">
        <v>3244</v>
      </c>
      <c r="D125" s="2963" t="s">
        <v>3245</v>
      </c>
      <c r="E125" s="2963" t="s">
        <v>3246</v>
      </c>
      <c r="F125" s="2963" t="s">
        <v>3247</v>
      </c>
      <c r="G125" s="2963" t="s">
        <v>3248</v>
      </c>
      <c r="H125" s="582"/>
      <c r="I125" s="582"/>
      <c r="J125" s="582"/>
      <c r="K125" s="583"/>
      <c r="L125" s="584"/>
      <c r="M125" s="585"/>
      <c r="N125" s="1151"/>
      <c r="O125" s="1151"/>
      <c r="P125" s="45"/>
      <c r="Q125" s="503"/>
    </row>
    <row r="126" spans="1:17" ht="15.75" thickBot="1">
      <c r="A126" s="533"/>
      <c r="B126" s="542"/>
      <c r="C126" s="543">
        <v>100</v>
      </c>
      <c r="D126" s="543">
        <f t="shared" ref="D126:M126" si="32">C126-$K42</f>
        <v>99</v>
      </c>
      <c r="E126" s="543">
        <f t="shared" si="32"/>
        <v>98</v>
      </c>
      <c r="F126" s="543">
        <f t="shared" si="32"/>
        <v>97</v>
      </c>
      <c r="G126" s="543">
        <f t="shared" si="32"/>
        <v>96</v>
      </c>
      <c r="H126" s="543">
        <f t="shared" si="32"/>
        <v>95</v>
      </c>
      <c r="I126" s="543">
        <f t="shared" si="32"/>
        <v>94</v>
      </c>
      <c r="J126" s="543">
        <f t="shared" si="32"/>
        <v>93</v>
      </c>
      <c r="K126" s="543">
        <f t="shared" si="32"/>
        <v>92</v>
      </c>
      <c r="L126" s="543">
        <f t="shared" si="32"/>
        <v>91</v>
      </c>
      <c r="M126" s="544">
        <f t="shared" si="32"/>
        <v>90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22" sqref="B22"/>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2739</v>
      </c>
      <c r="B1" s="394"/>
      <c r="C1" s="395" t="s">
        <v>2791</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5" t="s">
        <v>2325</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7" t="s">
        <v>2327</v>
      </c>
      <c r="B3" s="608" t="e">
        <f>ROUND(IF(D3="",B2*10000/'数据-汇总表'!E3,B2*10000/D3),0)</f>
        <v>#DIV/0!</v>
      </c>
      <c r="C3" s="247" t="s">
        <v>2741</v>
      </c>
      <c r="D3" s="1580"/>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2640</v>
      </c>
      <c r="B4" s="401"/>
      <c r="C4" s="3236" t="s">
        <v>2641</v>
      </c>
      <c r="D4" s="3237"/>
      <c r="E4" s="3238" t="s">
        <v>2642</v>
      </c>
      <c r="F4" s="3239"/>
      <c r="G4" s="3236" t="s">
        <v>2643</v>
      </c>
      <c r="H4" s="3237"/>
      <c r="I4" s="3236" t="s">
        <v>2644</v>
      </c>
      <c r="J4" s="3237"/>
      <c r="K4" s="609" t="s">
        <v>2645</v>
      </c>
      <c r="L4" s="1129"/>
      <c r="M4" s="1130"/>
      <c r="N4" s="1130"/>
      <c r="O4" s="1130"/>
      <c r="P4" s="3240" t="s">
        <v>2646</v>
      </c>
      <c r="Q4" s="3241"/>
      <c r="R4" s="3226" t="s">
        <v>2642</v>
      </c>
      <c r="S4" s="3227"/>
      <c r="T4" s="3226" t="s">
        <v>2643</v>
      </c>
      <c r="U4" s="3227"/>
      <c r="V4" s="3225" t="s">
        <v>2644</v>
      </c>
      <c r="W4" s="3225"/>
      <c r="X4" s="1802"/>
      <c r="Y4" s="3226" t="s">
        <v>2646</v>
      </c>
      <c r="Z4" s="3227"/>
      <c r="AA4" s="3232" t="s">
        <v>2642</v>
      </c>
      <c r="AB4" s="3233" t="s">
        <v>2643</v>
      </c>
      <c r="AC4" s="3232" t="s">
        <v>2644</v>
      </c>
    </row>
    <row r="5" spans="1:29" ht="15">
      <c r="A5" s="403"/>
      <c r="B5" s="404"/>
      <c r="C5" s="3256" t="s">
        <v>2537</v>
      </c>
      <c r="D5" s="3247"/>
      <c r="E5" s="3255" t="s">
        <v>2538</v>
      </c>
      <c r="F5" s="3249"/>
      <c r="G5" s="3256" t="s">
        <v>2539</v>
      </c>
      <c r="H5" s="3247"/>
      <c r="I5" s="3256" t="s">
        <v>2540</v>
      </c>
      <c r="J5" s="3247"/>
      <c r="K5" s="609"/>
      <c r="L5" s="1129"/>
      <c r="M5" s="1130"/>
      <c r="N5" s="1130"/>
      <c r="O5" s="1130"/>
      <c r="P5" s="3242"/>
      <c r="Q5" s="3243"/>
      <c r="R5" s="3228"/>
      <c r="S5" s="3229"/>
      <c r="T5" s="3228"/>
      <c r="U5" s="3229"/>
      <c r="V5" s="3225"/>
      <c r="W5" s="3225"/>
      <c r="X5" s="1802"/>
      <c r="Y5" s="3228"/>
      <c r="Z5" s="3229"/>
      <c r="AA5" s="3233"/>
      <c r="AB5" s="3233"/>
      <c r="AC5" s="3233"/>
    </row>
    <row r="6" spans="1:29" ht="15.75" thickBot="1">
      <c r="A6" s="405"/>
      <c r="B6" s="406"/>
      <c r="C6" s="3278" t="s">
        <v>2792</v>
      </c>
      <c r="D6" s="3279"/>
      <c r="E6" s="3280" t="s">
        <v>2792</v>
      </c>
      <c r="F6" s="3281"/>
      <c r="G6" s="3278" t="s">
        <v>2792</v>
      </c>
      <c r="H6" s="3279"/>
      <c r="I6" s="3278" t="s">
        <v>2792</v>
      </c>
      <c r="J6" s="3279"/>
      <c r="K6" s="609" t="s">
        <v>2542</v>
      </c>
      <c r="L6" s="1129"/>
      <c r="M6" s="1130"/>
      <c r="N6" s="1130"/>
      <c r="O6" s="1130"/>
      <c r="P6" s="3244"/>
      <c r="Q6" s="3245"/>
      <c r="R6" s="3228"/>
      <c r="S6" s="3229"/>
      <c r="T6" s="3230"/>
      <c r="U6" s="3231"/>
      <c r="V6" s="3225"/>
      <c r="W6" s="3225"/>
      <c r="X6" s="1802"/>
      <c r="Y6" s="3230"/>
      <c r="Z6" s="3231"/>
      <c r="AA6" s="3234"/>
      <c r="AB6" s="3234"/>
      <c r="AC6" s="3234"/>
    </row>
    <row r="7" spans="1:29" s="117" customFormat="1" ht="15.75" thickBot="1">
      <c r="A7" s="407" t="s">
        <v>2543</v>
      </c>
      <c r="B7" s="408"/>
      <c r="C7" s="409">
        <f>'数据-取费表'!B2</f>
        <v>43962</v>
      </c>
      <c r="D7" s="410">
        <v>100</v>
      </c>
      <c r="E7" s="411"/>
      <c r="F7" s="412">
        <f>SUMIF(65:65,YEAR(E7)&amp;"-"&amp;INT((MONTH(E7)+2)/3),66:66)</f>
        <v>0</v>
      </c>
      <c r="G7" s="2681"/>
      <c r="H7" s="410">
        <f>SUMIF(65:65,YEAR(G7)&amp;"-"&amp;INT((MONTH(G7)+2)/3),66:66)</f>
        <v>0</v>
      </c>
      <c r="I7" s="2681"/>
      <c r="J7" s="410">
        <f>SUMIF(65:65,YEAR(I7)&amp;"-"&amp;INT((MONTH(I7)+2)/3),66:66)</f>
        <v>0</v>
      </c>
      <c r="K7" s="610"/>
      <c r="L7" s="1131"/>
      <c r="M7" s="1132"/>
      <c r="N7" s="1132"/>
      <c r="O7" s="1132"/>
      <c r="P7" s="3222" t="s">
        <v>2544</v>
      </c>
      <c r="Q7" s="3235"/>
      <c r="R7" s="769" t="s">
        <v>17</v>
      </c>
      <c r="S7" s="770">
        <f t="shared" ref="S7:S15" si="0">F7</f>
        <v>0</v>
      </c>
      <c r="T7" s="769" t="s">
        <v>17</v>
      </c>
      <c r="U7" s="770">
        <f t="shared" ref="U7:U15" si="1">H7</f>
        <v>0</v>
      </c>
      <c r="V7" s="769" t="s">
        <v>17</v>
      </c>
      <c r="W7" s="770">
        <f t="shared" ref="W7:W15" si="2">J7</f>
        <v>0</v>
      </c>
      <c r="X7" s="771"/>
      <c r="Y7" s="3222" t="s">
        <v>2544</v>
      </c>
      <c r="Z7" s="3223"/>
      <c r="AA7" s="772" t="e">
        <f>D7/F7</f>
        <v>#DIV/0!</v>
      </c>
      <c r="AB7" s="772" t="e">
        <f>D7/H7</f>
        <v>#DIV/0!</v>
      </c>
      <c r="AC7" s="772" t="e">
        <f>D7/J7</f>
        <v>#DIV/0!</v>
      </c>
    </row>
    <row r="8" spans="1:29" s="117" customFormat="1" ht="15.75" thickBot="1">
      <c r="A8" s="407" t="s">
        <v>2545</v>
      </c>
      <c r="B8" s="408"/>
      <c r="C8" s="413" t="s">
        <v>2546</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22" t="s">
        <v>2547</v>
      </c>
      <c r="Q8" s="3223"/>
      <c r="R8" s="769" t="s">
        <v>17</v>
      </c>
      <c r="S8" s="770">
        <f t="shared" si="0"/>
        <v>0</v>
      </c>
      <c r="T8" s="769" t="s">
        <v>17</v>
      </c>
      <c r="U8" s="770">
        <f t="shared" si="1"/>
        <v>0</v>
      </c>
      <c r="V8" s="769" t="s">
        <v>17</v>
      </c>
      <c r="W8" s="770">
        <f t="shared" si="2"/>
        <v>0</v>
      </c>
      <c r="X8" s="771"/>
      <c r="Y8" s="3222" t="s">
        <v>2547</v>
      </c>
      <c r="Z8" s="3223"/>
      <c r="AA8" s="772" t="e">
        <f t="shared" ref="AA8:AA40" si="3">D8/F8</f>
        <v>#DIV/0!</v>
      </c>
      <c r="AB8" s="772" t="e">
        <f t="shared" ref="AB8:AB40" si="4">D8/H8</f>
        <v>#DIV/0!</v>
      </c>
      <c r="AC8" s="772" t="e">
        <f t="shared" ref="AC8:AC40" si="5">D8/J8</f>
        <v>#DIV/0!</v>
      </c>
    </row>
    <row r="9" spans="1:29" s="117" customFormat="1">
      <c r="A9" s="414" t="s">
        <v>2548</v>
      </c>
      <c r="B9" s="71" t="s">
        <v>2549</v>
      </c>
      <c r="C9" s="2684"/>
      <c r="D9" s="135">
        <v>100</v>
      </c>
      <c r="E9" s="2684"/>
      <c r="F9" s="135">
        <f>SUMIF(70:70,E9,71:71)-SUMIF(70:70,C9,71:71)+100</f>
        <v>100</v>
      </c>
      <c r="G9" s="2684"/>
      <c r="H9" s="135">
        <f>SUMIF(70:70,G9,71:71)-SUMIF(70:70,C9,71:71)+100</f>
        <v>100</v>
      </c>
      <c r="I9" s="2684"/>
      <c r="J9" s="135">
        <f>SUMIF(70:70,I9,71:71)-SUMIF(70:70,C9,71:71)+100</f>
        <v>100</v>
      </c>
      <c r="K9" s="610"/>
      <c r="L9" s="1131"/>
      <c r="M9" s="1132"/>
      <c r="N9" s="1132"/>
      <c r="O9" s="1133"/>
      <c r="P9" s="3208" t="s">
        <v>2550</v>
      </c>
      <c r="Q9" s="1784" t="str">
        <f t="shared" ref="Q9:Q15" si="6">B9</f>
        <v>用途</v>
      </c>
      <c r="R9" s="769" t="s">
        <v>17</v>
      </c>
      <c r="S9" s="770">
        <f t="shared" si="0"/>
        <v>100</v>
      </c>
      <c r="T9" s="769" t="s">
        <v>17</v>
      </c>
      <c r="U9" s="770">
        <f t="shared" si="1"/>
        <v>100</v>
      </c>
      <c r="V9" s="769" t="s">
        <v>17</v>
      </c>
      <c r="W9" s="770">
        <f t="shared" si="2"/>
        <v>100</v>
      </c>
      <c r="X9" s="771"/>
      <c r="Y9" s="3055" t="s">
        <v>2551</v>
      </c>
      <c r="Z9" s="55" t="str">
        <f t="shared" ref="Z9:Z15" si="7">Q9</f>
        <v>用途</v>
      </c>
      <c r="AA9" s="772">
        <f t="shared" si="3"/>
        <v>1</v>
      </c>
      <c r="AB9" s="772">
        <f t="shared" si="4"/>
        <v>1</v>
      </c>
      <c r="AC9" s="772">
        <f t="shared" si="5"/>
        <v>1</v>
      </c>
    </row>
    <row r="10" spans="1:29" s="426" customFormat="1" ht="27">
      <c r="A10" s="420"/>
      <c r="B10" s="421" t="s">
        <v>2552</v>
      </c>
      <c r="C10" s="431"/>
      <c r="D10" s="136">
        <v>100</v>
      </c>
      <c r="E10" s="431"/>
      <c r="F10" s="136">
        <f>ROUND(100/'数据-取费表'!G16,0)</f>
        <v>101</v>
      </c>
      <c r="G10" s="431"/>
      <c r="H10" s="136">
        <f>ROUND(100/'数据-取费表'!G16,0)</f>
        <v>101</v>
      </c>
      <c r="I10" s="431"/>
      <c r="J10" s="136">
        <f>ROUND(100/'数据-取费表'!G16,0)</f>
        <v>101</v>
      </c>
      <c r="K10" s="671"/>
      <c r="L10" s="1134"/>
      <c r="M10" s="1135"/>
      <c r="N10" s="1135"/>
      <c r="O10" s="1136"/>
      <c r="P10" s="3208"/>
      <c r="Q10" s="1784" t="str">
        <f t="shared" si="6"/>
        <v>土地使用年限（年）</v>
      </c>
      <c r="R10" s="769" t="s">
        <v>17</v>
      </c>
      <c r="S10" s="770">
        <f t="shared" si="0"/>
        <v>101</v>
      </c>
      <c r="T10" s="769" t="s">
        <v>17</v>
      </c>
      <c r="U10" s="770">
        <f t="shared" si="1"/>
        <v>101</v>
      </c>
      <c r="V10" s="769" t="s">
        <v>17</v>
      </c>
      <c r="W10" s="770">
        <f t="shared" si="2"/>
        <v>101</v>
      </c>
      <c r="X10" s="771"/>
      <c r="Y10" s="3055"/>
      <c r="Z10" s="55" t="str">
        <f t="shared" si="7"/>
        <v>土地使用年限（年）</v>
      </c>
      <c r="AA10" s="772">
        <f t="shared" si="3"/>
        <v>0.99009900990099009</v>
      </c>
      <c r="AB10" s="772">
        <f t="shared" si="4"/>
        <v>0.99009900990099009</v>
      </c>
      <c r="AC10" s="772">
        <f t="shared" si="5"/>
        <v>0.99009900990099009</v>
      </c>
    </row>
    <row r="11" spans="1:29" ht="15">
      <c r="A11" s="427"/>
      <c r="B11" s="421" t="s">
        <v>2553</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37"/>
      <c r="M11" s="1130"/>
      <c r="N11" s="1130"/>
      <c r="O11" s="1138"/>
      <c r="P11" s="3208"/>
      <c r="Q11" s="1784" t="str">
        <f t="shared" si="6"/>
        <v>容积率</v>
      </c>
      <c r="R11" s="769" t="s">
        <v>17</v>
      </c>
      <c r="S11" s="770" t="e">
        <f t="shared" si="0"/>
        <v>#N/A</v>
      </c>
      <c r="T11" s="769" t="s">
        <v>17</v>
      </c>
      <c r="U11" s="770" t="e">
        <f t="shared" si="1"/>
        <v>#N/A</v>
      </c>
      <c r="V11" s="769" t="s">
        <v>17</v>
      </c>
      <c r="W11" s="770" t="e">
        <f t="shared" si="2"/>
        <v>#N/A</v>
      </c>
      <c r="X11" s="771"/>
      <c r="Y11" s="3055"/>
      <c r="Z11" s="55" t="str">
        <f t="shared" si="7"/>
        <v>容积率</v>
      </c>
      <c r="AA11" s="772" t="e">
        <f t="shared" si="3"/>
        <v>#N/A</v>
      </c>
      <c r="AB11" s="772" t="e">
        <f t="shared" si="4"/>
        <v>#N/A</v>
      </c>
      <c r="AC11" s="772" t="e">
        <f t="shared" si="5"/>
        <v>#N/A</v>
      </c>
    </row>
    <row r="12" spans="1:29" s="117" customFormat="1" ht="15">
      <c r="A12" s="430"/>
      <c r="B12" s="2587">
        <v>111</v>
      </c>
      <c r="C12" s="431"/>
      <c r="D12" s="432">
        <v>100</v>
      </c>
      <c r="E12" s="548"/>
      <c r="F12" s="136">
        <f>SUMIF(77:77,E12,78:78)-SUMIF(77:77,C12,78:78)+100</f>
        <v>100</v>
      </c>
      <c r="G12" s="673"/>
      <c r="H12" s="136">
        <f>SUMIF(77:77,G12,78:78)-SUMIF(77:77,C12,78:78)+100</f>
        <v>100</v>
      </c>
      <c r="I12" s="548"/>
      <c r="J12" s="136">
        <f>SUMIF(77:77,I12,78:78)-SUMIF(77:77,C12,78:78)+100</f>
        <v>100</v>
      </c>
      <c r="K12" s="671"/>
      <c r="L12" s="1131"/>
      <c r="M12" s="1132"/>
      <c r="N12" s="1132"/>
      <c r="O12" s="1133"/>
      <c r="P12" s="3208"/>
      <c r="Q12" s="1784">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
      <c r="A13" s="427"/>
      <c r="B13" s="2587">
        <v>111</v>
      </c>
      <c r="C13" s="433"/>
      <c r="D13" s="434">
        <v>100</v>
      </c>
      <c r="E13" s="548"/>
      <c r="F13" s="136">
        <f>SUMIF(79:79,E13,80:80)-SUMIF(79:79,C13,80:80)+100</f>
        <v>100</v>
      </c>
      <c r="G13" s="673"/>
      <c r="H13" s="434">
        <f>SUMIF(79:79,G13,80:80)-SUMIF(79:79,C13,80:80)+100</f>
        <v>100</v>
      </c>
      <c r="I13" s="548"/>
      <c r="J13" s="434">
        <f>SUMIF(79:79,I13,80:80)-SUMIF(79:79,C13,80:80)+100</f>
        <v>100</v>
      </c>
      <c r="K13" s="671"/>
      <c r="L13" s="1139"/>
      <c r="M13" s="1130"/>
      <c r="N13" s="1130"/>
      <c r="O13" s="1138"/>
      <c r="P13" s="3208"/>
      <c r="Q13" s="1784">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15.75" thickBot="1">
      <c r="A14" s="435"/>
      <c r="B14" s="2589">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208"/>
      <c r="Q14" s="1784">
        <f t="shared" si="6"/>
        <v>111</v>
      </c>
      <c r="R14" s="769" t="s">
        <v>17</v>
      </c>
      <c r="S14" s="770">
        <f t="shared" si="0"/>
        <v>100</v>
      </c>
      <c r="T14" s="769" t="s">
        <v>17</v>
      </c>
      <c r="U14" s="770">
        <f t="shared" si="1"/>
        <v>100</v>
      </c>
      <c r="V14" s="769" t="s">
        <v>17</v>
      </c>
      <c r="W14" s="770">
        <f t="shared" si="2"/>
        <v>100</v>
      </c>
      <c r="X14" s="771"/>
      <c r="Y14" s="3055"/>
      <c r="Z14" s="55">
        <f t="shared" si="7"/>
        <v>111</v>
      </c>
      <c r="AA14" s="772">
        <f t="shared" si="3"/>
        <v>1</v>
      </c>
      <c r="AB14" s="772">
        <f t="shared" si="4"/>
        <v>1</v>
      </c>
      <c r="AC14" s="772">
        <f t="shared" si="5"/>
        <v>1</v>
      </c>
    </row>
    <row r="15" spans="1:29" ht="57">
      <c r="A15" s="439" t="s">
        <v>2554</v>
      </c>
      <c r="B15" s="628" t="s">
        <v>2793</v>
      </c>
      <c r="C15" s="2678"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15" t="s">
        <v>2555</v>
      </c>
      <c r="Q15" s="1799" t="str">
        <f t="shared" si="6"/>
        <v>产业集聚程度</v>
      </c>
      <c r="R15" s="773" t="s">
        <v>17</v>
      </c>
      <c r="S15" s="774">
        <f t="shared" si="0"/>
        <v>100</v>
      </c>
      <c r="T15" s="773" t="s">
        <v>17</v>
      </c>
      <c r="U15" s="774">
        <f t="shared" si="1"/>
        <v>100</v>
      </c>
      <c r="V15" s="773" t="s">
        <v>17</v>
      </c>
      <c r="W15" s="774">
        <f t="shared" si="2"/>
        <v>100</v>
      </c>
      <c r="X15" s="1802"/>
      <c r="Y15" s="3215" t="s">
        <v>2555</v>
      </c>
      <c r="Z15" s="1803" t="str">
        <f t="shared" si="7"/>
        <v>产业集聚程度</v>
      </c>
      <c r="AA15" s="1800">
        <f t="shared" si="3"/>
        <v>1</v>
      </c>
      <c r="AB15" s="1800">
        <f t="shared" si="4"/>
        <v>1</v>
      </c>
      <c r="AC15" s="1800">
        <f t="shared" si="5"/>
        <v>1</v>
      </c>
    </row>
    <row r="16" spans="1:29" ht="15">
      <c r="A16" s="427"/>
      <c r="B16" s="629"/>
      <c r="C16" s="446"/>
      <c r="D16" s="447"/>
      <c r="E16" s="2598"/>
      <c r="F16" s="447"/>
      <c r="G16" s="2598"/>
      <c r="H16" s="449"/>
      <c r="I16" s="2598"/>
      <c r="J16" s="447"/>
      <c r="K16" s="671"/>
      <c r="L16" s="1139"/>
      <c r="M16" s="1130"/>
      <c r="N16" s="1130"/>
      <c r="O16" s="1138"/>
      <c r="P16" s="3216"/>
      <c r="Q16" s="1799"/>
      <c r="R16" s="773"/>
      <c r="S16" s="774"/>
      <c r="T16" s="773"/>
      <c r="U16" s="774"/>
      <c r="V16" s="773"/>
      <c r="W16" s="774"/>
      <c r="X16" s="1802"/>
      <c r="Y16" s="3216"/>
      <c r="Z16" s="1803"/>
      <c r="AA16" s="1800">
        <v>1</v>
      </c>
      <c r="AB16" s="1800">
        <v>1</v>
      </c>
      <c r="AC16" s="1800">
        <v>1</v>
      </c>
    </row>
    <row r="17" spans="1:29" ht="85.5">
      <c r="A17" s="427"/>
      <c r="B17" s="630" t="s">
        <v>2704</v>
      </c>
      <c r="C17" s="2594"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16"/>
      <c r="Q17" s="1799" t="str">
        <f>B17</f>
        <v>交通便捷度</v>
      </c>
      <c r="R17" s="773" t="s">
        <v>17</v>
      </c>
      <c r="S17" s="774">
        <f>F17</f>
        <v>100</v>
      </c>
      <c r="T17" s="773" t="s">
        <v>17</v>
      </c>
      <c r="U17" s="774">
        <f>H17</f>
        <v>100</v>
      </c>
      <c r="V17" s="773" t="s">
        <v>17</v>
      </c>
      <c r="W17" s="774">
        <f>J17</f>
        <v>100</v>
      </c>
      <c r="X17" s="1802"/>
      <c r="Y17" s="3216"/>
      <c r="Z17" s="1803" t="str">
        <f>Q17</f>
        <v>交通便捷度</v>
      </c>
      <c r="AA17" s="1800">
        <f t="shared" si="3"/>
        <v>1</v>
      </c>
      <c r="AB17" s="1800">
        <f t="shared" si="4"/>
        <v>1</v>
      </c>
      <c r="AC17" s="1800">
        <f t="shared" si="5"/>
        <v>1</v>
      </c>
    </row>
    <row r="18" spans="1:29" ht="15">
      <c r="A18" s="427"/>
      <c r="B18" s="631"/>
      <c r="C18" s="446"/>
      <c r="D18" s="447"/>
      <c r="E18" s="2592"/>
      <c r="F18" s="447"/>
      <c r="G18" s="2592"/>
      <c r="H18" s="447"/>
      <c r="I18" s="2591"/>
      <c r="J18" s="447"/>
      <c r="K18" s="671"/>
      <c r="L18" s="1139"/>
      <c r="M18" s="1130"/>
      <c r="N18" s="1130"/>
      <c r="O18" s="1138"/>
      <c r="P18" s="3216"/>
      <c r="Q18" s="1799"/>
      <c r="R18" s="773"/>
      <c r="S18" s="774"/>
      <c r="T18" s="773"/>
      <c r="U18" s="774"/>
      <c r="V18" s="773"/>
      <c r="W18" s="774"/>
      <c r="X18" s="1802"/>
      <c r="Y18" s="3216"/>
      <c r="Z18" s="1803"/>
      <c r="AA18" s="1800">
        <v>1</v>
      </c>
      <c r="AB18" s="1800">
        <v>1</v>
      </c>
      <c r="AC18" s="1800">
        <v>1</v>
      </c>
    </row>
    <row r="19" spans="1:29" ht="15">
      <c r="A19" s="427"/>
      <c r="B19" s="630" t="s">
        <v>2743</v>
      </c>
      <c r="C19" s="2594">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16"/>
      <c r="Q19" s="1799" t="str">
        <f t="shared" ref="Q19:Q33" si="8">B19</f>
        <v>区域土地利用方向</v>
      </c>
      <c r="R19" s="773" t="s">
        <v>17</v>
      </c>
      <c r="S19" s="774">
        <f>F19</f>
        <v>100</v>
      </c>
      <c r="T19" s="773" t="s">
        <v>17</v>
      </c>
      <c r="U19" s="774">
        <f>H19</f>
        <v>100</v>
      </c>
      <c r="V19" s="773" t="s">
        <v>17</v>
      </c>
      <c r="W19" s="774">
        <f>J19</f>
        <v>100</v>
      </c>
      <c r="X19" s="1802"/>
      <c r="Y19" s="3216"/>
      <c r="Z19" s="1803" t="str">
        <f>Q19</f>
        <v>区域土地利用方向</v>
      </c>
      <c r="AA19" s="1800">
        <f t="shared" si="3"/>
        <v>1</v>
      </c>
      <c r="AB19" s="1800">
        <f t="shared" si="4"/>
        <v>1</v>
      </c>
      <c r="AC19" s="1800">
        <f t="shared" si="5"/>
        <v>1</v>
      </c>
    </row>
    <row r="20" spans="1:29" ht="15">
      <c r="A20" s="403"/>
      <c r="B20" s="631"/>
      <c r="C20" s="446"/>
      <c r="D20" s="447"/>
      <c r="E20" s="2592"/>
      <c r="F20" s="447"/>
      <c r="G20" s="2592"/>
      <c r="H20" s="447"/>
      <c r="I20" s="2592"/>
      <c r="J20" s="447"/>
      <c r="K20" s="811"/>
      <c r="L20" s="1139"/>
      <c r="M20" s="1130"/>
      <c r="N20" s="1130"/>
      <c r="O20" s="1138"/>
      <c r="P20" s="3216"/>
      <c r="Q20" s="1799"/>
      <c r="R20" s="773"/>
      <c r="S20" s="774"/>
      <c r="T20" s="773"/>
      <c r="U20" s="774"/>
      <c r="V20" s="773"/>
      <c r="W20" s="774"/>
      <c r="X20" s="1802"/>
      <c r="Y20" s="3216"/>
      <c r="Z20" s="1803"/>
      <c r="AA20" s="1800"/>
      <c r="AB20" s="1800"/>
      <c r="AC20" s="1800"/>
    </row>
    <row r="21" spans="1:29" ht="71.25">
      <c r="A21" s="403"/>
      <c r="B21" s="630" t="s">
        <v>2794</v>
      </c>
      <c r="C21" s="2594"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16"/>
      <c r="Q21" s="1799" t="str">
        <f t="shared" si="8"/>
        <v>环境状况</v>
      </c>
      <c r="R21" s="773" t="s">
        <v>17</v>
      </c>
      <c r="S21" s="774">
        <f>F21</f>
        <v>100</v>
      </c>
      <c r="T21" s="773" t="s">
        <v>17</v>
      </c>
      <c r="U21" s="774">
        <f>H21</f>
        <v>100</v>
      </c>
      <c r="V21" s="773" t="s">
        <v>17</v>
      </c>
      <c r="W21" s="774">
        <f>J21</f>
        <v>100</v>
      </c>
      <c r="X21" s="1802"/>
      <c r="Y21" s="3216"/>
      <c r="Z21" s="1803" t="str">
        <f>Q21</f>
        <v>环境状况</v>
      </c>
      <c r="AA21" s="1800">
        <f t="shared" si="3"/>
        <v>1</v>
      </c>
      <c r="AB21" s="1800">
        <f t="shared" si="4"/>
        <v>1</v>
      </c>
      <c r="AC21" s="1800">
        <f t="shared" si="5"/>
        <v>1</v>
      </c>
    </row>
    <row r="22" spans="1:29" ht="15">
      <c r="A22" s="403"/>
      <c r="B22" s="631"/>
      <c r="C22" s="446"/>
      <c r="D22" s="447"/>
      <c r="E22" s="2598"/>
      <c r="F22" s="447"/>
      <c r="G22" s="2598"/>
      <c r="H22" s="447"/>
      <c r="I22" s="446"/>
      <c r="J22" s="447"/>
      <c r="K22" s="671"/>
      <c r="L22" s="1139"/>
      <c r="M22" s="1130"/>
      <c r="N22" s="1130"/>
      <c r="O22" s="1138"/>
      <c r="P22" s="3216"/>
      <c r="Q22" s="1799"/>
      <c r="R22" s="773"/>
      <c r="S22" s="774"/>
      <c r="T22" s="773"/>
      <c r="U22" s="774"/>
      <c r="V22" s="773"/>
      <c r="W22" s="774"/>
      <c r="X22" s="1802"/>
      <c r="Y22" s="3216"/>
      <c r="Z22" s="1803"/>
      <c r="AA22" s="1800">
        <v>1</v>
      </c>
      <c r="AB22" s="1800">
        <v>1</v>
      </c>
      <c r="AC22" s="1800">
        <v>1</v>
      </c>
    </row>
    <row r="23" spans="1:29" s="117" customFormat="1" ht="42.75">
      <c r="A23" s="648"/>
      <c r="B23" s="632" t="s">
        <v>2649</v>
      </c>
      <c r="C23" s="2594"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16"/>
      <c r="Q23" s="1784" t="str">
        <f t="shared" si="8"/>
        <v>公共配套设施</v>
      </c>
      <c r="R23" s="769" t="s">
        <v>17</v>
      </c>
      <c r="S23" s="770">
        <f>F23</f>
        <v>100</v>
      </c>
      <c r="T23" s="769" t="s">
        <v>17</v>
      </c>
      <c r="U23" s="770">
        <f>H23</f>
        <v>100</v>
      </c>
      <c r="V23" s="769" t="s">
        <v>17</v>
      </c>
      <c r="W23" s="770">
        <f>J23</f>
        <v>100</v>
      </c>
      <c r="X23" s="771"/>
      <c r="Y23" s="3216"/>
      <c r="Z23" s="55" t="str">
        <f>Q23</f>
        <v>公共配套设施</v>
      </c>
      <c r="AA23" s="1800">
        <f>D23/F23</f>
        <v>1</v>
      </c>
      <c r="AB23" s="1800">
        <f>D23/H23</f>
        <v>1</v>
      </c>
      <c r="AC23" s="1800">
        <f>D23/J23</f>
        <v>1</v>
      </c>
    </row>
    <row r="24" spans="1:29" s="117" customFormat="1" ht="15">
      <c r="A24" s="648"/>
      <c r="B24" s="631"/>
      <c r="C24" s="2685"/>
      <c r="D24" s="447"/>
      <c r="E24" s="2598"/>
      <c r="F24" s="447"/>
      <c r="G24" s="2598"/>
      <c r="H24" s="447"/>
      <c r="I24" s="446"/>
      <c r="J24" s="447"/>
      <c r="K24" s="671"/>
      <c r="L24" s="1131"/>
      <c r="M24" s="1132"/>
      <c r="N24" s="1132"/>
      <c r="O24" s="1133"/>
      <c r="P24" s="3216"/>
      <c r="Q24" s="1784"/>
      <c r="R24" s="769"/>
      <c r="S24" s="770"/>
      <c r="T24" s="769"/>
      <c r="U24" s="770"/>
      <c r="V24" s="769"/>
      <c r="W24" s="770"/>
      <c r="X24" s="771"/>
      <c r="Y24" s="3216"/>
      <c r="Z24" s="55"/>
      <c r="AA24" s="772">
        <v>1</v>
      </c>
      <c r="AB24" s="772">
        <v>1</v>
      </c>
      <c r="AC24" s="772">
        <v>1</v>
      </c>
    </row>
    <row r="25" spans="1:29" s="117" customFormat="1" ht="28.5">
      <c r="A25" s="648"/>
      <c r="B25" s="632" t="s">
        <v>2650</v>
      </c>
      <c r="C25" s="2594"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16"/>
      <c r="Q25" s="1784" t="str">
        <f t="shared" ref="Q25" si="9">B25</f>
        <v>基础设施水平</v>
      </c>
      <c r="R25" s="769" t="s">
        <v>17</v>
      </c>
      <c r="S25" s="770">
        <f>F25</f>
        <v>100</v>
      </c>
      <c r="T25" s="769" t="s">
        <v>17</v>
      </c>
      <c r="U25" s="770">
        <f>H25</f>
        <v>100</v>
      </c>
      <c r="V25" s="769" t="s">
        <v>17</v>
      </c>
      <c r="W25" s="770">
        <f>J25</f>
        <v>100</v>
      </c>
      <c r="X25" s="771"/>
      <c r="Y25" s="3216"/>
      <c r="Z25" s="55" t="str">
        <f>Q25</f>
        <v>基础设施水平</v>
      </c>
      <c r="AA25" s="1800">
        <f>D25/F25</f>
        <v>1</v>
      </c>
      <c r="AB25" s="1800">
        <f>D25/H25</f>
        <v>1</v>
      </c>
      <c r="AC25" s="1800">
        <f>D25/J25</f>
        <v>1</v>
      </c>
    </row>
    <row r="26" spans="1:29" s="117" customFormat="1" ht="15">
      <c r="A26" s="648"/>
      <c r="B26" s="631"/>
      <c r="C26" s="2685"/>
      <c r="D26" s="447"/>
      <c r="E26" s="2686"/>
      <c r="F26" s="447"/>
      <c r="G26" s="2686"/>
      <c r="H26" s="447"/>
      <c r="I26" s="2686"/>
      <c r="J26" s="447"/>
      <c r="K26" s="671"/>
      <c r="L26" s="1131"/>
      <c r="M26" s="1132"/>
      <c r="N26" s="1132"/>
      <c r="O26" s="1133"/>
      <c r="P26" s="3216"/>
      <c r="Q26" s="1784"/>
      <c r="R26" s="769"/>
      <c r="S26" s="770"/>
      <c r="T26" s="769"/>
      <c r="U26" s="770"/>
      <c r="V26" s="769"/>
      <c r="W26" s="770"/>
      <c r="X26" s="771"/>
      <c r="Y26" s="3216"/>
      <c r="Z26" s="55"/>
      <c r="AA26" s="772">
        <v>1</v>
      </c>
      <c r="AB26" s="772">
        <v>1</v>
      </c>
      <c r="AC26" s="772">
        <v>1</v>
      </c>
    </row>
    <row r="27" spans="1:29" ht="15">
      <c r="A27" s="427"/>
      <c r="B27" s="631" t="s">
        <v>2651</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16"/>
      <c r="Q27" s="1799" t="str">
        <f t="shared" si="8"/>
        <v>临街状况</v>
      </c>
      <c r="R27" s="773" t="s">
        <v>17</v>
      </c>
      <c r="S27" s="774">
        <f t="shared" ref="S27:S40" si="10">F27</f>
        <v>100</v>
      </c>
      <c r="T27" s="773" t="s">
        <v>17</v>
      </c>
      <c r="U27" s="774">
        <f t="shared" ref="U27:U40" si="11">H27</f>
        <v>100</v>
      </c>
      <c r="V27" s="773" t="s">
        <v>17</v>
      </c>
      <c r="W27" s="774">
        <f t="shared" ref="W27:W40" si="12">J27</f>
        <v>100</v>
      </c>
      <c r="X27" s="1802"/>
      <c r="Y27" s="3216"/>
      <c r="Z27" s="1803" t="str">
        <f t="shared" ref="Z27:Z40" si="13">Q27</f>
        <v>临街状况</v>
      </c>
      <c r="AA27" s="1800">
        <f t="shared" si="3"/>
        <v>1</v>
      </c>
      <c r="AB27" s="1800">
        <f t="shared" si="4"/>
        <v>1</v>
      </c>
      <c r="AC27" s="1800">
        <f t="shared" si="5"/>
        <v>1</v>
      </c>
    </row>
    <row r="28" spans="1:29" ht="27">
      <c r="A28" s="427"/>
      <c r="B28" s="632" t="s">
        <v>2686</v>
      </c>
      <c r="C28" s="2698">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16"/>
      <c r="Q28" s="1799" t="str">
        <f t="shared" si="8"/>
        <v>毗邻道路的类型与等级</v>
      </c>
      <c r="R28" s="773" t="s">
        <v>17</v>
      </c>
      <c r="S28" s="774">
        <f t="shared" si="10"/>
        <v>100</v>
      </c>
      <c r="T28" s="773" t="s">
        <v>17</v>
      </c>
      <c r="U28" s="774">
        <f t="shared" si="11"/>
        <v>100</v>
      </c>
      <c r="V28" s="773" t="s">
        <v>17</v>
      </c>
      <c r="W28" s="774">
        <f t="shared" si="12"/>
        <v>100</v>
      </c>
      <c r="X28" s="1802"/>
      <c r="Y28" s="3216"/>
      <c r="Z28" s="1803" t="str">
        <f t="shared" si="13"/>
        <v>毗邻道路的类型与等级</v>
      </c>
      <c r="AA28" s="1800">
        <f t="shared" si="3"/>
        <v>1</v>
      </c>
      <c r="AB28" s="1800">
        <f t="shared" si="4"/>
        <v>1</v>
      </c>
      <c r="AC28" s="1800">
        <f t="shared" si="5"/>
        <v>1</v>
      </c>
    </row>
    <row r="29" spans="1:29" ht="15">
      <c r="A29" s="427"/>
      <c r="B29" s="631"/>
      <c r="C29" s="446"/>
      <c r="D29" s="447"/>
      <c r="E29" s="2598"/>
      <c r="F29" s="447"/>
      <c r="G29" s="2598"/>
      <c r="H29" s="447"/>
      <c r="I29" s="2598"/>
      <c r="J29" s="447"/>
      <c r="K29" s="612"/>
      <c r="L29" s="1139"/>
      <c r="M29" s="1130"/>
      <c r="N29" s="1130"/>
      <c r="O29" s="1138"/>
      <c r="P29" s="3216"/>
      <c r="Q29" s="1799"/>
      <c r="R29" s="773"/>
      <c r="S29" s="774"/>
      <c r="T29" s="773"/>
      <c r="U29" s="774"/>
      <c r="V29" s="773"/>
      <c r="W29" s="774"/>
      <c r="X29" s="1802"/>
      <c r="Y29" s="3216"/>
      <c r="Z29" s="1803"/>
      <c r="AA29" s="1800">
        <v>1</v>
      </c>
      <c r="AB29" s="1800">
        <v>1</v>
      </c>
      <c r="AC29" s="1800">
        <v>1</v>
      </c>
    </row>
    <row r="30" spans="1:29" ht="15">
      <c r="A30" s="427"/>
      <c r="B30" s="653" t="s">
        <v>2745</v>
      </c>
      <c r="C30" s="1386">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16"/>
      <c r="Q30" s="1799" t="str">
        <f t="shared" si="8"/>
        <v>土地级别</v>
      </c>
      <c r="R30" s="773" t="s">
        <v>17</v>
      </c>
      <c r="S30" s="774">
        <f t="shared" si="10"/>
        <v>100</v>
      </c>
      <c r="T30" s="773" t="s">
        <v>17</v>
      </c>
      <c r="U30" s="774">
        <f t="shared" si="11"/>
        <v>100</v>
      </c>
      <c r="V30" s="773" t="s">
        <v>17</v>
      </c>
      <c r="W30" s="774">
        <f t="shared" si="12"/>
        <v>100</v>
      </c>
      <c r="X30" s="1802"/>
      <c r="Y30" s="3216"/>
      <c r="Z30" s="1803" t="str">
        <f t="shared" si="13"/>
        <v>土地级别</v>
      </c>
      <c r="AA30" s="1800">
        <f t="shared" si="3"/>
        <v>1</v>
      </c>
      <c r="AB30" s="1800">
        <f t="shared" si="4"/>
        <v>1</v>
      </c>
      <c r="AC30" s="1800">
        <f t="shared" si="5"/>
        <v>1</v>
      </c>
    </row>
    <row r="31" spans="1:29" ht="15">
      <c r="A31" s="403"/>
      <c r="B31" s="2663">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16"/>
      <c r="Q31" s="1799">
        <f t="shared" si="8"/>
        <v>111</v>
      </c>
      <c r="R31" s="773" t="s">
        <v>17</v>
      </c>
      <c r="S31" s="774">
        <f t="shared" si="10"/>
        <v>100</v>
      </c>
      <c r="T31" s="773" t="s">
        <v>17</v>
      </c>
      <c r="U31" s="774">
        <f t="shared" si="11"/>
        <v>100</v>
      </c>
      <c r="V31" s="773" t="s">
        <v>17</v>
      </c>
      <c r="W31" s="774">
        <f t="shared" si="12"/>
        <v>100</v>
      </c>
      <c r="X31" s="1802"/>
      <c r="Y31" s="3216"/>
      <c r="Z31" s="1803">
        <f t="shared" si="13"/>
        <v>111</v>
      </c>
      <c r="AA31" s="1800">
        <f t="shared" si="3"/>
        <v>1</v>
      </c>
      <c r="AB31" s="1800">
        <f t="shared" si="4"/>
        <v>1</v>
      </c>
      <c r="AC31" s="1800">
        <f t="shared" si="5"/>
        <v>1</v>
      </c>
    </row>
    <row r="32" spans="1:29" ht="15">
      <c r="A32" s="674"/>
      <c r="B32" s="2699">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73" t="s">
        <v>2560</v>
      </c>
      <c r="Q32" s="1799">
        <f t="shared" si="8"/>
        <v>111</v>
      </c>
      <c r="R32" s="773" t="s">
        <v>17</v>
      </c>
      <c r="S32" s="774">
        <f t="shared" si="10"/>
        <v>100</v>
      </c>
      <c r="T32" s="773" t="s">
        <v>17</v>
      </c>
      <c r="U32" s="774">
        <f t="shared" si="11"/>
        <v>100</v>
      </c>
      <c r="V32" s="773" t="s">
        <v>17</v>
      </c>
      <c r="W32" s="774">
        <f t="shared" si="12"/>
        <v>100</v>
      </c>
      <c r="X32" s="1802"/>
      <c r="Y32" s="3220" t="s">
        <v>2560</v>
      </c>
      <c r="Z32" s="1803">
        <f t="shared" si="13"/>
        <v>111</v>
      </c>
      <c r="AA32" s="1800">
        <f t="shared" si="3"/>
        <v>1</v>
      </c>
      <c r="AB32" s="1800">
        <f t="shared" si="4"/>
        <v>1</v>
      </c>
      <c r="AC32" s="1800">
        <f t="shared" si="5"/>
        <v>1</v>
      </c>
    </row>
    <row r="33" spans="1:29" s="470" customFormat="1" ht="15.75" thickBot="1">
      <c r="A33" s="675"/>
      <c r="B33" s="2700">
        <v>111</v>
      </c>
      <c r="C33" s="677"/>
      <c r="D33" s="137">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20"/>
      <c r="Q33" s="1799">
        <f t="shared" si="8"/>
        <v>111</v>
      </c>
      <c r="R33" s="776" t="s">
        <v>17</v>
      </c>
      <c r="S33" s="777">
        <f t="shared" si="10"/>
        <v>100</v>
      </c>
      <c r="T33" s="776" t="s">
        <v>17</v>
      </c>
      <c r="U33" s="777">
        <f t="shared" si="11"/>
        <v>100</v>
      </c>
      <c r="V33" s="776" t="s">
        <v>17</v>
      </c>
      <c r="W33" s="777">
        <f t="shared" si="12"/>
        <v>100</v>
      </c>
      <c r="X33" s="778"/>
      <c r="Y33" s="3220"/>
      <c r="Z33" s="779">
        <f t="shared" si="13"/>
        <v>111</v>
      </c>
      <c r="AA33" s="1800">
        <f t="shared" si="3"/>
        <v>1</v>
      </c>
      <c r="AB33" s="1800">
        <f t="shared" si="4"/>
        <v>1</v>
      </c>
      <c r="AC33" s="1800">
        <f t="shared" si="5"/>
        <v>1</v>
      </c>
    </row>
    <row r="34" spans="1:29" ht="15">
      <c r="A34" s="439" t="s">
        <v>2558</v>
      </c>
      <c r="B34" s="455" t="s">
        <v>2746</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20"/>
      <c r="Q34" s="1799" t="str">
        <f>B34</f>
        <v>宗地面积</v>
      </c>
      <c r="R34" s="773" t="s">
        <v>17</v>
      </c>
      <c r="S34" s="774" t="e">
        <f t="shared" si="10"/>
        <v>#N/A</v>
      </c>
      <c r="T34" s="773" t="s">
        <v>17</v>
      </c>
      <c r="U34" s="774" t="e">
        <f t="shared" si="11"/>
        <v>#N/A</v>
      </c>
      <c r="V34" s="773" t="s">
        <v>17</v>
      </c>
      <c r="W34" s="774" t="e">
        <f t="shared" si="12"/>
        <v>#N/A</v>
      </c>
      <c r="X34" s="1802"/>
      <c r="Y34" s="3220"/>
      <c r="Z34" s="1803" t="str">
        <f t="shared" si="13"/>
        <v>宗地面积</v>
      </c>
      <c r="AA34" s="1800" t="e">
        <f t="shared" si="3"/>
        <v>#N/A</v>
      </c>
      <c r="AB34" s="1800" t="e">
        <f t="shared" si="4"/>
        <v>#N/A</v>
      </c>
      <c r="AC34" s="1800" t="e">
        <f t="shared" si="5"/>
        <v>#N/A</v>
      </c>
    </row>
    <row r="35" spans="1:29" ht="15">
      <c r="A35" s="471"/>
      <c r="B35" s="421" t="s">
        <v>2747</v>
      </c>
      <c r="C35" s="2600"/>
      <c r="D35" s="434">
        <v>100</v>
      </c>
      <c r="E35" s="2600"/>
      <c r="F35" s="434">
        <f>SUMIF(110:110,E35,111:111)-SUMIF(110:110,C35,111:111)+100</f>
        <v>100</v>
      </c>
      <c r="G35" s="2600"/>
      <c r="H35" s="434">
        <f>SUMIF(110:110,G35,111:111)-SUMIF(110:110,C35,111:111)+100</f>
        <v>100</v>
      </c>
      <c r="I35" s="2600"/>
      <c r="J35" s="434">
        <f>SUMIF(110:110,I35,111:111)-SUMIF(110:110,C35,111:111)+100</f>
        <v>100</v>
      </c>
      <c r="K35" s="611"/>
      <c r="L35" s="1139"/>
      <c r="M35" s="1130"/>
      <c r="N35" s="1130"/>
      <c r="O35" s="1138"/>
      <c r="P35" s="3220"/>
      <c r="Q35" s="1799" t="str">
        <f t="shared" ref="Q35:Q40" si="14">B35</f>
        <v>宗地形状</v>
      </c>
      <c r="R35" s="773" t="s">
        <v>17</v>
      </c>
      <c r="S35" s="774">
        <f t="shared" si="10"/>
        <v>100</v>
      </c>
      <c r="T35" s="773" t="s">
        <v>17</v>
      </c>
      <c r="U35" s="774">
        <f t="shared" si="11"/>
        <v>100</v>
      </c>
      <c r="V35" s="773" t="s">
        <v>17</v>
      </c>
      <c r="W35" s="774">
        <f t="shared" si="12"/>
        <v>100</v>
      </c>
      <c r="X35" s="1802"/>
      <c r="Y35" s="3220"/>
      <c r="Z35" s="1803" t="str">
        <f t="shared" si="13"/>
        <v>宗地形状</v>
      </c>
      <c r="AA35" s="1800">
        <f t="shared" si="3"/>
        <v>1</v>
      </c>
      <c r="AB35" s="1800">
        <f t="shared" si="4"/>
        <v>1</v>
      </c>
      <c r="AC35" s="1800">
        <f t="shared" si="5"/>
        <v>1</v>
      </c>
    </row>
    <row r="36" spans="1:29" s="117" customFormat="1" ht="15">
      <c r="A36" s="472"/>
      <c r="B36" s="421" t="s">
        <v>2749</v>
      </c>
      <c r="C36" s="2687"/>
      <c r="D36" s="136">
        <v>100</v>
      </c>
      <c r="E36" s="2687"/>
      <c r="F36" s="434">
        <f>SUMIF(112:112,E36,113:113)-SUMIF(112:112,C36,113:113)+100</f>
        <v>100</v>
      </c>
      <c r="G36" s="2687"/>
      <c r="H36" s="434">
        <f>SUMIF(112:112,G36,113:113)-SUMIF(112:112,C36,113:113)+100</f>
        <v>100</v>
      </c>
      <c r="I36" s="2687"/>
      <c r="J36" s="434">
        <f>SUMIF(112:112,I36,113:113)-SUMIF(112:112,C36,113:113)+100</f>
        <v>100</v>
      </c>
      <c r="K36" s="611"/>
      <c r="L36" s="1131"/>
      <c r="M36" s="1132"/>
      <c r="N36" s="1132"/>
      <c r="O36" s="1133"/>
      <c r="P36" s="3220"/>
      <c r="Q36" s="1799" t="str">
        <f t="shared" si="14"/>
        <v>宗地开发程度</v>
      </c>
      <c r="R36" s="769" t="s">
        <v>17</v>
      </c>
      <c r="S36" s="770">
        <f t="shared" si="10"/>
        <v>100</v>
      </c>
      <c r="T36" s="769" t="s">
        <v>17</v>
      </c>
      <c r="U36" s="770">
        <f t="shared" si="11"/>
        <v>100</v>
      </c>
      <c r="V36" s="769" t="s">
        <v>17</v>
      </c>
      <c r="W36" s="770">
        <f t="shared" si="12"/>
        <v>100</v>
      </c>
      <c r="X36" s="771"/>
      <c r="Y36" s="3220"/>
      <c r="Z36" s="55" t="str">
        <f t="shared" si="13"/>
        <v>宗地开发程度</v>
      </c>
      <c r="AA36" s="772">
        <f t="shared" si="3"/>
        <v>1</v>
      </c>
      <c r="AB36" s="772">
        <f t="shared" si="4"/>
        <v>1</v>
      </c>
      <c r="AC36" s="772">
        <f t="shared" si="5"/>
        <v>1</v>
      </c>
    </row>
    <row r="37" spans="1:29" ht="15">
      <c r="A37" s="471"/>
      <c r="B37" s="421" t="s">
        <v>2750</v>
      </c>
      <c r="C37" s="2600"/>
      <c r="D37" s="434">
        <v>100</v>
      </c>
      <c r="E37" s="2600"/>
      <c r="F37" s="434">
        <f>SUMIF(114:114,E37,115:115)-SUMIF(114:114,C37,115:115)+100</f>
        <v>100</v>
      </c>
      <c r="G37" s="2600"/>
      <c r="H37" s="434">
        <f>SUMIF(114:114,G37,115:115)-SUMIF(114:114,C37,115:115)+100</f>
        <v>100</v>
      </c>
      <c r="I37" s="2600"/>
      <c r="J37" s="434">
        <f>SUMIF(114:114,I37,115:115)-SUMIF(114:114,C37,115:115)+100</f>
        <v>100</v>
      </c>
      <c r="K37" s="611"/>
      <c r="L37" s="1139"/>
      <c r="M37" s="1130"/>
      <c r="N37" s="1130"/>
      <c r="O37" s="1138"/>
      <c r="P37" s="3220" t="s">
        <v>2560</v>
      </c>
      <c r="Q37" s="1799" t="str">
        <f t="shared" si="14"/>
        <v>工程地质条件</v>
      </c>
      <c r="R37" s="773" t="s">
        <v>17</v>
      </c>
      <c r="S37" s="774">
        <f t="shared" si="10"/>
        <v>100</v>
      </c>
      <c r="T37" s="773" t="s">
        <v>17</v>
      </c>
      <c r="U37" s="774">
        <f t="shared" si="11"/>
        <v>100</v>
      </c>
      <c r="V37" s="773" t="s">
        <v>17</v>
      </c>
      <c r="W37" s="774">
        <f t="shared" si="12"/>
        <v>100</v>
      </c>
      <c r="X37" s="1802"/>
      <c r="Y37" s="3220" t="s">
        <v>2560</v>
      </c>
      <c r="Z37" s="1803" t="str">
        <f t="shared" si="13"/>
        <v>工程地质条件</v>
      </c>
      <c r="AA37" s="1800">
        <f t="shared" si="3"/>
        <v>1</v>
      </c>
      <c r="AB37" s="1800">
        <f t="shared" si="4"/>
        <v>1</v>
      </c>
      <c r="AC37" s="1800">
        <f t="shared" si="5"/>
        <v>1</v>
      </c>
    </row>
    <row r="38" spans="1:29" ht="15">
      <c r="A38" s="471"/>
      <c r="B38" s="1384">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20"/>
      <c r="Q38" s="1799">
        <f t="shared" si="14"/>
        <v>111</v>
      </c>
      <c r="R38" s="773" t="s">
        <v>17</v>
      </c>
      <c r="S38" s="774">
        <f t="shared" si="10"/>
        <v>100</v>
      </c>
      <c r="T38" s="773" t="s">
        <v>17</v>
      </c>
      <c r="U38" s="774">
        <f t="shared" si="11"/>
        <v>100</v>
      </c>
      <c r="V38" s="773" t="s">
        <v>17</v>
      </c>
      <c r="W38" s="774">
        <f t="shared" si="12"/>
        <v>100</v>
      </c>
      <c r="X38" s="1802"/>
      <c r="Y38" s="3220"/>
      <c r="Z38" s="1803">
        <f t="shared" si="13"/>
        <v>111</v>
      </c>
      <c r="AA38" s="1800">
        <f t="shared" si="3"/>
        <v>1</v>
      </c>
      <c r="AB38" s="1800">
        <f t="shared" si="4"/>
        <v>1</v>
      </c>
      <c r="AC38" s="1800">
        <f t="shared" si="5"/>
        <v>1</v>
      </c>
    </row>
    <row r="39" spans="1:29" ht="15">
      <c r="A39" s="471"/>
      <c r="B39" s="1384">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20"/>
      <c r="Q39" s="1799">
        <f t="shared" si="14"/>
        <v>111</v>
      </c>
      <c r="R39" s="773" t="s">
        <v>17</v>
      </c>
      <c r="S39" s="774">
        <f t="shared" si="10"/>
        <v>100</v>
      </c>
      <c r="T39" s="773" t="s">
        <v>17</v>
      </c>
      <c r="U39" s="774">
        <f t="shared" si="11"/>
        <v>100</v>
      </c>
      <c r="V39" s="773" t="s">
        <v>17</v>
      </c>
      <c r="W39" s="774">
        <f t="shared" si="12"/>
        <v>100</v>
      </c>
      <c r="X39" s="1802"/>
      <c r="Y39" s="3220"/>
      <c r="Z39" s="1803">
        <f t="shared" si="13"/>
        <v>111</v>
      </c>
      <c r="AA39" s="1800">
        <f t="shared" si="3"/>
        <v>1</v>
      </c>
      <c r="AB39" s="1800">
        <f t="shared" si="4"/>
        <v>1</v>
      </c>
      <c r="AC39" s="1800">
        <f t="shared" si="5"/>
        <v>1</v>
      </c>
    </row>
    <row r="40" spans="1:29" s="470" customFormat="1" ht="15.75" thickBot="1">
      <c r="A40" s="467"/>
      <c r="B40" s="1384">
        <v>111</v>
      </c>
      <c r="C40" s="2688"/>
      <c r="D40" s="137">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20"/>
      <c r="Q40" s="1799">
        <f t="shared" si="14"/>
        <v>111</v>
      </c>
      <c r="R40" s="776" t="s">
        <v>17</v>
      </c>
      <c r="S40" s="777">
        <f t="shared" si="10"/>
        <v>100</v>
      </c>
      <c r="T40" s="776" t="s">
        <v>17</v>
      </c>
      <c r="U40" s="777">
        <f t="shared" si="11"/>
        <v>100</v>
      </c>
      <c r="V40" s="776" t="s">
        <v>17</v>
      </c>
      <c r="W40" s="777">
        <f t="shared" si="12"/>
        <v>100</v>
      </c>
      <c r="X40" s="778"/>
      <c r="Y40" s="3220"/>
      <c r="Z40" s="779">
        <f t="shared" si="13"/>
        <v>111</v>
      </c>
      <c r="AA40" s="1800">
        <f t="shared" si="3"/>
        <v>1</v>
      </c>
      <c r="AB40" s="1800">
        <f t="shared" si="4"/>
        <v>1</v>
      </c>
      <c r="AC40" s="1800">
        <f t="shared" si="5"/>
        <v>1</v>
      </c>
    </row>
    <row r="41" spans="1:29" ht="15">
      <c r="A41" s="478" t="s">
        <v>2715</v>
      </c>
      <c r="B41" s="2689" t="s">
        <v>2795</v>
      </c>
      <c r="C41" s="681" t="s">
        <v>1</v>
      </c>
      <c r="D41" s="480"/>
      <c r="E41" s="481"/>
      <c r="F41" s="482"/>
      <c r="G41" s="483"/>
      <c r="H41" s="484"/>
      <c r="I41" s="481"/>
      <c r="J41" s="484"/>
      <c r="K41" s="782"/>
      <c r="L41" s="1142"/>
      <c r="M41" s="1130"/>
      <c r="N41" s="1130"/>
      <c r="O41" s="1143"/>
      <c r="P41" s="3208" t="str">
        <f>A41</f>
        <v>成交单价</v>
      </c>
      <c r="Q41" s="3208"/>
      <c r="R41" s="3225">
        <f>E41</f>
        <v>0</v>
      </c>
      <c r="S41" s="3225"/>
      <c r="T41" s="3225">
        <f>G41</f>
        <v>0</v>
      </c>
      <c r="U41" s="3225"/>
      <c r="V41" s="3225">
        <f>I41</f>
        <v>0</v>
      </c>
      <c r="W41" s="3225"/>
      <c r="X41" s="758"/>
      <c r="Y41" s="780"/>
      <c r="Z41" s="758"/>
      <c r="AA41" s="758"/>
      <c r="AB41" s="758"/>
      <c r="AC41" s="758"/>
    </row>
    <row r="42" spans="1:29" ht="15.75" thickBot="1">
      <c r="A42" s="485" t="s">
        <v>2664</v>
      </c>
      <c r="B42" s="682"/>
      <c r="C42" s="489" t="e">
        <f>R43</f>
        <v>#DIV/0!</v>
      </c>
      <c r="D42" s="488"/>
      <c r="E42" s="489" t="e">
        <f>R42</f>
        <v>#DIV/0!</v>
      </c>
      <c r="F42" s="490"/>
      <c r="G42" s="487" t="e">
        <f>T42</f>
        <v>#DIV/0!</v>
      </c>
      <c r="H42" s="488"/>
      <c r="I42" s="489" t="e">
        <f>V42</f>
        <v>#DIV/0!</v>
      </c>
      <c r="J42" s="488"/>
      <c r="K42" s="783"/>
      <c r="L42" s="1142"/>
      <c r="M42" s="1130"/>
      <c r="N42" s="1130"/>
      <c r="O42" s="1143"/>
      <c r="P42" s="3208" t="str">
        <f>A42</f>
        <v>比较价值（元/平方米）</v>
      </c>
      <c r="Q42" s="3208"/>
      <c r="R42" s="3274" t="e">
        <f>ROUND(PRODUCT(R41,AA7:AA40),0)</f>
        <v>#DIV/0!</v>
      </c>
      <c r="S42" s="3274"/>
      <c r="T42" s="3274" t="e">
        <f>ROUND(PRODUCT(T41,AB7:AB40),0)</f>
        <v>#DIV/0!</v>
      </c>
      <c r="U42" s="3274"/>
      <c r="V42" s="3274" t="e">
        <f>ROUND(PRODUCT(V41,AC7:AC40),0)</f>
        <v>#DIV/0!</v>
      </c>
      <c r="W42" s="3274"/>
      <c r="X42" s="758"/>
      <c r="Y42" s="758"/>
      <c r="Z42" s="758"/>
      <c r="AA42" s="758"/>
      <c r="AB42" s="758"/>
      <c r="AC42" s="758"/>
    </row>
    <row r="43" spans="1:29" ht="15.75" thickBot="1">
      <c r="A43" s="491" t="s">
        <v>2665</v>
      </c>
      <c r="B43" s="492"/>
      <c r="C43" s="493" t="e">
        <f>R43</f>
        <v>#DIV/0!</v>
      </c>
      <c r="D43" s="493"/>
      <c r="E43" s="493"/>
      <c r="F43" s="493"/>
      <c r="G43" s="493"/>
      <c r="H43" s="493"/>
      <c r="I43" s="493"/>
      <c r="J43" s="493"/>
      <c r="K43" s="784"/>
      <c r="L43" s="1142"/>
      <c r="M43" s="1130"/>
      <c r="N43" s="1130"/>
      <c r="O43" s="1143"/>
      <c r="P43" s="3210" t="str">
        <f>A43</f>
        <v>估价对象XX用房的比较价值（楼面单价，元/平方米）</v>
      </c>
      <c r="Q43" s="3211"/>
      <c r="R43" s="3275" t="e">
        <f>ROUND(AVERAGE(R42:V42),0)</f>
        <v>#DIV/0!</v>
      </c>
      <c r="S43" s="3275"/>
      <c r="T43" s="3275"/>
      <c r="U43" s="3275"/>
      <c r="V43" s="3275"/>
      <c r="W43" s="3275"/>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2666</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2667</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2668</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2753</v>
      </c>
      <c r="B50" s="684" t="s">
        <v>2754</v>
      </c>
      <c r="C50" s="2690" t="s">
        <v>2755</v>
      </c>
      <c r="D50" s="2691" t="s">
        <v>2756</v>
      </c>
      <c r="E50" s="685" t="s">
        <v>2757</v>
      </c>
      <c r="F50" s="686" t="s">
        <v>2758</v>
      </c>
      <c r="G50" s="3236" t="s">
        <v>2759</v>
      </c>
      <c r="H50" s="3276"/>
      <c r="I50" s="1803" t="s">
        <v>2796</v>
      </c>
      <c r="J50" s="1803">
        <f>项目基本情况!F35</f>
        <v>0</v>
      </c>
      <c r="K50" s="2693" t="s">
        <v>2761</v>
      </c>
      <c r="L50" s="1105"/>
      <c r="M50" s="1143"/>
      <c r="N50" s="1143"/>
      <c r="O50" s="1143"/>
    </row>
    <row r="51" spans="1:17" s="691" customFormat="1">
      <c r="A51" s="687" t="s">
        <v>2762</v>
      </c>
      <c r="B51" s="688" t="e">
        <f>C43</f>
        <v>#DIV/0!</v>
      </c>
      <c r="C51" s="689">
        <v>1</v>
      </c>
      <c r="D51" s="1162">
        <v>1</v>
      </c>
      <c r="E51" s="689">
        <f>'数据-汇总表'!E8+'数据-汇总表'!E9</f>
        <v>25219.909999999996</v>
      </c>
      <c r="F51" s="690" t="e">
        <f t="shared" ref="F51:F60" si="15">ROUND(B51*E51/10000,0)</f>
        <v>#DIV/0!</v>
      </c>
      <c r="G51" s="3224"/>
      <c r="H51" s="3208"/>
      <c r="I51" s="941">
        <v>1</v>
      </c>
      <c r="J51" s="941">
        <v>1</v>
      </c>
      <c r="K51" s="1144"/>
      <c r="L51" s="940"/>
      <c r="M51" s="940"/>
      <c r="N51" s="940"/>
      <c r="O51" s="940"/>
    </row>
    <row r="52" spans="1:17" s="691" customFormat="1">
      <c r="A52" s="692" t="s">
        <v>2763</v>
      </c>
      <c r="B52" s="262" t="e">
        <f>ROUND($C$43*C52*D52,0)</f>
        <v>#DIV/0!</v>
      </c>
      <c r="C52" s="200">
        <f t="shared" ref="C52:C60" si="16">IF($C$50="北京市系数",I52,J52)</f>
        <v>0.6</v>
      </c>
      <c r="D52" s="1163">
        <v>0.25</v>
      </c>
      <c r="E52" s="693"/>
      <c r="F52" s="690" t="e">
        <f t="shared" si="15"/>
        <v>#DIV/0!</v>
      </c>
      <c r="G52" s="3277" t="s">
        <v>2764</v>
      </c>
      <c r="H52" s="1103" t="str">
        <f>项目基本情况!B37</f>
        <v>九级</v>
      </c>
      <c r="I52" s="941">
        <f>SUMIF(修正!A45:A56,H52,修正!B45:B56)</f>
        <v>0.6</v>
      </c>
      <c r="J52" s="942"/>
      <c r="K52" s="1143"/>
      <c r="L52" s="940"/>
      <c r="M52" s="940"/>
      <c r="N52" s="940"/>
      <c r="O52" s="940"/>
    </row>
    <row r="53" spans="1:17" s="691" customFormat="1">
      <c r="A53" s="692" t="s">
        <v>2765</v>
      </c>
      <c r="B53" s="262" t="e">
        <f t="shared" ref="B53:B60" si="17">ROUND($C$43*C53*D53,0)</f>
        <v>#DIV/0!</v>
      </c>
      <c r="C53" s="200">
        <f t="shared" si="16"/>
        <v>0.3</v>
      </c>
      <c r="D53" s="1163">
        <v>0.25</v>
      </c>
      <c r="E53" s="693"/>
      <c r="F53" s="690" t="e">
        <f t="shared" si="15"/>
        <v>#DIV/0!</v>
      </c>
      <c r="G53" s="3277"/>
      <c r="H53" s="1103" t="str">
        <f>项目基本情况!B37</f>
        <v>九级</v>
      </c>
      <c r="I53" s="941">
        <f>SUMIF(修正!A45:A56,H53,修正!C45:C56)</f>
        <v>0.3</v>
      </c>
      <c r="J53" s="942"/>
      <c r="K53" s="1144"/>
      <c r="L53" s="940"/>
      <c r="M53" s="940"/>
      <c r="N53" s="940"/>
      <c r="O53" s="940"/>
    </row>
    <row r="54" spans="1:17" s="691" customFormat="1">
      <c r="A54" s="692" t="s">
        <v>2766</v>
      </c>
      <c r="B54" s="262" t="e">
        <f t="shared" si="17"/>
        <v>#DIV/0!</v>
      </c>
      <c r="C54" s="200">
        <f t="shared" si="16"/>
        <v>0.2</v>
      </c>
      <c r="D54" s="1163">
        <v>0.25</v>
      </c>
      <c r="E54" s="693"/>
      <c r="F54" s="690" t="e">
        <f t="shared" si="15"/>
        <v>#DIV/0!</v>
      </c>
      <c r="G54" s="3277"/>
      <c r="H54" s="1103" t="str">
        <f>项目基本情况!B37</f>
        <v>九级</v>
      </c>
      <c r="I54" s="941">
        <f>SUMIF(修正!A45:A56,H54,修正!D45:D56)</f>
        <v>0.2</v>
      </c>
      <c r="J54" s="942"/>
      <c r="K54" s="1143"/>
      <c r="L54" s="940"/>
      <c r="M54" s="940"/>
      <c r="N54" s="940"/>
      <c r="O54" s="940"/>
    </row>
    <row r="55" spans="1:17" s="691" customFormat="1">
      <c r="A55" s="692" t="s">
        <v>2767</v>
      </c>
      <c r="B55" s="262" t="e">
        <f t="shared" si="17"/>
        <v>#DIV/0!</v>
      </c>
      <c r="C55" s="200">
        <f t="shared" si="16"/>
        <v>0.2</v>
      </c>
      <c r="D55" s="1163">
        <v>0.25</v>
      </c>
      <c r="E55" s="693"/>
      <c r="F55" s="690" t="e">
        <f t="shared" si="15"/>
        <v>#DIV/0!</v>
      </c>
      <c r="G55" s="3277"/>
      <c r="H55" s="1103" t="str">
        <f>项目基本情况!B37</f>
        <v>九级</v>
      </c>
      <c r="I55" s="941">
        <f>SUMIF(修正!A45:A56,H55,修正!E45:E56)</f>
        <v>0.2</v>
      </c>
      <c r="J55" s="942"/>
      <c r="K55" s="1144"/>
      <c r="L55" s="940"/>
      <c r="M55" s="940"/>
      <c r="N55" s="940"/>
      <c r="O55" s="940"/>
    </row>
    <row r="56" spans="1:17" s="691" customFormat="1">
      <c r="A56" s="692" t="s">
        <v>2768</v>
      </c>
      <c r="B56" s="262" t="e">
        <f t="shared" si="17"/>
        <v>#DIV/0!</v>
      </c>
      <c r="C56" s="200">
        <f t="shared" si="16"/>
        <v>0.2</v>
      </c>
      <c r="D56" s="1163">
        <v>0.25</v>
      </c>
      <c r="E56" s="261">
        <f>'数据-汇总表'!E11</f>
        <v>0</v>
      </c>
      <c r="F56" s="690" t="e">
        <f t="shared" si="15"/>
        <v>#DIV/0!</v>
      </c>
      <c r="G56" s="2694" t="s">
        <v>2769</v>
      </c>
      <c r="H56" s="1103" t="str">
        <f>项目基本情况!C37</f>
        <v>九级</v>
      </c>
      <c r="I56" s="941">
        <f>SUMIF(修正!A45:A56,H56,修正!F45:F56)</f>
        <v>0.2</v>
      </c>
      <c r="J56" s="942"/>
      <c r="K56" s="1143"/>
      <c r="L56" s="940"/>
      <c r="M56" s="940"/>
      <c r="N56" s="940"/>
      <c r="O56" s="940"/>
    </row>
    <row r="57" spans="1:17" s="691" customFormat="1">
      <c r="A57" s="692" t="s">
        <v>2770</v>
      </c>
      <c r="B57" s="262" t="e">
        <f t="shared" si="17"/>
        <v>#DIV/0!</v>
      </c>
      <c r="C57" s="200">
        <f t="shared" si="16"/>
        <v>0.2</v>
      </c>
      <c r="D57" s="1163">
        <v>0.25</v>
      </c>
      <c r="E57" s="261">
        <f>'数据-汇总表'!E12</f>
        <v>13513.800000000003</v>
      </c>
      <c r="F57" s="690" t="e">
        <f t="shared" si="15"/>
        <v>#DIV/0!</v>
      </c>
      <c r="G57" s="1108" t="s">
        <v>2771</v>
      </c>
      <c r="H57" s="1103" t="str">
        <f>IF(G57="商业",项目基本情况!B37,IF(G57="办公",项目基本情况!C37,IF(G57="住宅",项目基本情况!D37,项目基本情况!E37)))</f>
        <v>九级</v>
      </c>
      <c r="I57" s="941">
        <f>SUMIF(修正!A45:A56,H57,修正!G45:G56)</f>
        <v>0.2</v>
      </c>
      <c r="J57" s="942"/>
      <c r="K57" s="1144"/>
      <c r="L57" s="940"/>
      <c r="M57" s="940"/>
      <c r="N57" s="940"/>
      <c r="O57" s="940"/>
    </row>
    <row r="58" spans="1:17" s="691" customFormat="1">
      <c r="A58" s="692" t="s">
        <v>2772</v>
      </c>
      <c r="B58" s="262" t="e">
        <f t="shared" si="17"/>
        <v>#DIV/0!</v>
      </c>
      <c r="C58" s="200">
        <f t="shared" si="16"/>
        <v>0.15</v>
      </c>
      <c r="D58" s="1163">
        <v>0.25</v>
      </c>
      <c r="E58" s="261">
        <f>'数据-汇总表'!E13</f>
        <v>4756.67</v>
      </c>
      <c r="F58" s="690" t="e">
        <f t="shared" si="15"/>
        <v>#DIV/0!</v>
      </c>
      <c r="G58" s="1108" t="s">
        <v>2773</v>
      </c>
      <c r="H58" s="1103" t="str">
        <f>IF(G58="商业",项目基本情况!B37,IF(G58="办公",项目基本情况!C37,IF(G58="住宅",项目基本情况!D37,项目基本情况!E37)))</f>
        <v>九级</v>
      </c>
      <c r="I58" s="941">
        <f>SUMIF(修正!A45:A56,H58,修正!H45:H56)</f>
        <v>0.15</v>
      </c>
      <c r="J58" s="942"/>
      <c r="K58" s="1143"/>
      <c r="L58" s="940"/>
      <c r="M58" s="940"/>
      <c r="N58" s="940"/>
      <c r="O58" s="940"/>
    </row>
    <row r="59" spans="1:17" s="691" customFormat="1">
      <c r="A59" s="692" t="s">
        <v>2774</v>
      </c>
      <c r="B59" s="262" t="e">
        <f t="shared" si="17"/>
        <v>#DIV/0!</v>
      </c>
      <c r="C59" s="200">
        <f t="shared" si="16"/>
        <v>0.15</v>
      </c>
      <c r="D59" s="1163">
        <v>0.25</v>
      </c>
      <c r="E59" s="261">
        <f>'数据-汇总表'!E14</f>
        <v>0</v>
      </c>
      <c r="F59" s="690" t="e">
        <f t="shared" si="15"/>
        <v>#DIV/0!</v>
      </c>
      <c r="G59" s="2694" t="s">
        <v>2764</v>
      </c>
      <c r="H59" s="1103" t="str">
        <f>项目基本情况!B37</f>
        <v>九级</v>
      </c>
      <c r="I59" s="941">
        <f>SUMIF(修正!A45:A56,H59,修正!H45:H56)</f>
        <v>0.15</v>
      </c>
      <c r="J59" s="942"/>
      <c r="K59" s="1144"/>
      <c r="L59" s="940"/>
      <c r="M59" s="940"/>
      <c r="N59" s="940"/>
      <c r="O59" s="940"/>
    </row>
    <row r="60" spans="1:17" s="691" customFormat="1" ht="15" thickBot="1">
      <c r="A60" s="692" t="s">
        <v>2775</v>
      </c>
      <c r="B60" s="262" t="e">
        <f t="shared" si="17"/>
        <v>#DIV/0!</v>
      </c>
      <c r="C60" s="200">
        <f t="shared" si="16"/>
        <v>0.15</v>
      </c>
      <c r="D60" s="1163">
        <v>0.25</v>
      </c>
      <c r="E60" s="261">
        <f>'数据-汇总表'!E15</f>
        <v>0</v>
      </c>
      <c r="F60" s="690" t="e">
        <f t="shared" si="15"/>
        <v>#DIV/0!</v>
      </c>
      <c r="G60" s="2695" t="s">
        <v>2769</v>
      </c>
      <c r="H60" s="1113" t="str">
        <f>项目基本情况!C37</f>
        <v>九级</v>
      </c>
      <c r="I60" s="941">
        <f>SUMIF(修正!A45:A56,H60,修正!H45:H56)</f>
        <v>0.15</v>
      </c>
      <c r="J60" s="942"/>
      <c r="K60" s="1143"/>
      <c r="L60" s="940"/>
      <c r="M60" s="940"/>
      <c r="N60" s="940"/>
      <c r="O60" s="940"/>
    </row>
    <row r="61" spans="1:17" s="691" customFormat="1" ht="15" thickBot="1">
      <c r="A61" s="694" t="s">
        <v>2776</v>
      </c>
      <c r="B61" s="695" t="s">
        <v>28</v>
      </c>
      <c r="C61" s="695" t="s">
        <v>29</v>
      </c>
      <c r="D61" s="695" t="s">
        <v>1025</v>
      </c>
      <c r="E61" s="695">
        <f>IF(B41="楼面地价",SUM(E51:E60),'数据-汇总表'!D3)</f>
        <v>22468.9</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2020-5-1</v>
      </c>
      <c r="D63" s="760">
        <f>EDATE(C63,-3)</f>
        <v>43862</v>
      </c>
      <c r="E63" s="760">
        <f>EDATE(D63,-3)</f>
        <v>43770</v>
      </c>
      <c r="F63" s="760">
        <f t="shared" ref="F63:O63" si="18">EDATE(E63,-3)</f>
        <v>43678</v>
      </c>
      <c r="G63" s="760">
        <f t="shared" si="18"/>
        <v>43586</v>
      </c>
      <c r="H63" s="760">
        <f t="shared" si="18"/>
        <v>43497</v>
      </c>
      <c r="I63" s="760">
        <f t="shared" si="18"/>
        <v>43405</v>
      </c>
      <c r="J63" s="760">
        <f t="shared" si="18"/>
        <v>43313</v>
      </c>
      <c r="K63" s="760">
        <f t="shared" si="18"/>
        <v>43221</v>
      </c>
      <c r="L63" s="760">
        <f t="shared" si="18"/>
        <v>43132</v>
      </c>
      <c r="M63" s="760">
        <f t="shared" si="18"/>
        <v>43040</v>
      </c>
      <c r="N63" s="760">
        <f t="shared" si="18"/>
        <v>42948</v>
      </c>
      <c r="O63" s="760">
        <f t="shared" si="18"/>
        <v>42856</v>
      </c>
    </row>
    <row r="64" spans="1:17" ht="21.75" thickBot="1">
      <c r="A64" s="762" t="s">
        <v>2669</v>
      </c>
      <c r="B64" s="758"/>
      <c r="C64" s="763"/>
      <c r="D64" s="763"/>
      <c r="E64" s="763"/>
      <c r="F64" s="764"/>
      <c r="G64" s="764"/>
      <c r="H64" s="763"/>
      <c r="I64" s="763"/>
      <c r="J64" s="763"/>
      <c r="K64" s="765"/>
      <c r="L64" s="766"/>
      <c r="M64" s="763"/>
      <c r="N64" s="763"/>
      <c r="O64" s="1158"/>
      <c r="P64" s="502"/>
      <c r="Q64" s="503"/>
    </row>
    <row r="65" spans="1:17" s="507" customFormat="1" ht="15">
      <c r="A65" s="2696" t="s">
        <v>2777</v>
      </c>
      <c r="B65" s="1356"/>
      <c r="C65" s="1569" t="str">
        <f>YEAR(C63)&amp;"-"&amp;ROUNDUP(MONTH(C63)/3,0)</f>
        <v>2020-2</v>
      </c>
      <c r="D65" s="1569" t="str">
        <f t="shared" ref="D65:O65" si="19">YEAR(D63)&amp;"-"&amp;ROUNDUP(MONTH(D63)/3,0)</f>
        <v>2020-1</v>
      </c>
      <c r="E65" s="1569" t="str">
        <f t="shared" si="19"/>
        <v>2019-4</v>
      </c>
      <c r="F65" s="1569" t="str">
        <f t="shared" si="19"/>
        <v>2019-3</v>
      </c>
      <c r="G65" s="1569" t="str">
        <f t="shared" si="19"/>
        <v>2019-2</v>
      </c>
      <c r="H65" s="1569" t="str">
        <f t="shared" si="19"/>
        <v>2019-1</v>
      </c>
      <c r="I65" s="1569" t="str">
        <f t="shared" si="19"/>
        <v>2018-4</v>
      </c>
      <c r="J65" s="1569" t="str">
        <f t="shared" si="19"/>
        <v>2018-3</v>
      </c>
      <c r="K65" s="1569" t="str">
        <f t="shared" si="19"/>
        <v>2018-2</v>
      </c>
      <c r="L65" s="1569" t="str">
        <f t="shared" si="19"/>
        <v>2018-1</v>
      </c>
      <c r="M65" s="1569" t="str">
        <f t="shared" si="19"/>
        <v>2017-4</v>
      </c>
      <c r="N65" s="1569" t="str">
        <f t="shared" si="19"/>
        <v>2017-3</v>
      </c>
      <c r="O65" s="1569" t="str">
        <f t="shared" si="19"/>
        <v>2017-2</v>
      </c>
      <c r="P65" s="506"/>
    </row>
    <row r="66" spans="1:17" s="117" customFormat="1" ht="30.75" customHeight="1">
      <c r="A66" s="2701" t="s">
        <v>2797</v>
      </c>
      <c r="B66" s="332" t="str">
        <f>"北京市平均增长率"&amp;TEXT(基准地价修正!P24,"0.00%")</f>
        <v>北京市平均增长率1.31%</v>
      </c>
      <c r="C66" s="602">
        <v>100</v>
      </c>
      <c r="D66" s="594"/>
      <c r="E66" s="594"/>
      <c r="F66" s="594"/>
      <c r="G66" s="594"/>
      <c r="H66" s="594"/>
      <c r="I66" s="594"/>
      <c r="J66" s="594"/>
      <c r="K66" s="594"/>
      <c r="L66" s="594"/>
      <c r="M66" s="1564"/>
      <c r="N66" s="1564"/>
      <c r="O66" s="1566"/>
      <c r="P66" s="503"/>
    </row>
    <row r="67" spans="1:17" s="117" customFormat="1" ht="15.75" thickBot="1">
      <c r="A67" s="514" t="s">
        <v>2580</v>
      </c>
      <c r="B67" s="515"/>
      <c r="C67" s="516"/>
      <c r="D67" s="517"/>
      <c r="E67" s="517"/>
      <c r="F67" s="517"/>
      <c r="G67" s="517"/>
      <c r="H67" s="517"/>
      <c r="I67" s="517"/>
      <c r="J67" s="517"/>
      <c r="K67" s="517"/>
      <c r="L67" s="517"/>
      <c r="M67" s="518"/>
      <c r="N67" s="518"/>
      <c r="O67" s="519"/>
      <c r="P67" s="503"/>
      <c r="Q67" s="503"/>
    </row>
    <row r="68" spans="1:17" s="117" customFormat="1" ht="15">
      <c r="A68" s="520" t="s">
        <v>2545</v>
      </c>
      <c r="B68" s="509"/>
      <c r="C68" s="521" t="s">
        <v>2647</v>
      </c>
      <c r="D68" s="522"/>
      <c r="E68" s="522"/>
      <c r="F68" s="522"/>
      <c r="G68" s="522"/>
      <c r="H68" s="522"/>
      <c r="I68" s="522"/>
      <c r="J68" s="522"/>
      <c r="K68" s="522"/>
      <c r="L68" s="523"/>
      <c r="M68" s="524"/>
      <c r="N68" s="1150"/>
      <c r="O68" s="1150"/>
      <c r="P68" s="525"/>
      <c r="Q68" s="503"/>
    </row>
    <row r="69" spans="1:17" s="117"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2583</v>
      </c>
      <c r="B70" s="527" t="s">
        <v>2549</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2552</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2553</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2554</v>
      </c>
      <c r="B83" s="527" t="s">
        <v>2700</v>
      </c>
      <c r="C83" s="572" t="s">
        <v>2592</v>
      </c>
      <c r="D83" s="572" t="s">
        <v>2593</v>
      </c>
      <c r="E83" s="572" t="s">
        <v>2594</v>
      </c>
      <c r="F83" s="572" t="s">
        <v>2595</v>
      </c>
      <c r="G83" s="572" t="s">
        <v>2596</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2597</v>
      </c>
      <c r="C85" s="577" t="s">
        <v>2592</v>
      </c>
      <c r="D85" s="577" t="s">
        <v>2593</v>
      </c>
      <c r="E85" s="577" t="s">
        <v>2594</v>
      </c>
      <c r="F85" s="577" t="s">
        <v>2595</v>
      </c>
      <c r="G85" s="577" t="s">
        <v>2596</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15.75" thickTop="1">
      <c r="A87" s="578"/>
      <c r="B87" s="537" t="s">
        <v>2780</v>
      </c>
      <c r="C87" s="572" t="s">
        <v>2592</v>
      </c>
      <c r="D87" s="572" t="s">
        <v>2593</v>
      </c>
      <c r="E87" s="572" t="s">
        <v>2594</v>
      </c>
      <c r="F87" s="572" t="s">
        <v>2595</v>
      </c>
      <c r="G87" s="572" t="s">
        <v>2596</v>
      </c>
      <c r="H87" s="577"/>
      <c r="I87" s="577"/>
      <c r="J87" s="577"/>
      <c r="K87" s="577"/>
      <c r="L87" s="697"/>
      <c r="M87" s="621"/>
      <c r="N87" s="1150"/>
      <c r="O87" s="1150"/>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7.75" thickTop="1">
      <c r="A89" s="578"/>
      <c r="B89" s="537" t="s">
        <v>2781</v>
      </c>
      <c r="C89" s="572" t="s">
        <v>2592</v>
      </c>
      <c r="D89" s="572" t="s">
        <v>2593</v>
      </c>
      <c r="E89" s="572" t="s">
        <v>2594</v>
      </c>
      <c r="F89" s="572" t="s">
        <v>2595</v>
      </c>
      <c r="G89" s="572" t="s">
        <v>2596</v>
      </c>
      <c r="H89" s="577"/>
      <c r="I89" s="577"/>
      <c r="J89" s="577"/>
      <c r="K89" s="577"/>
      <c r="L89" s="577"/>
      <c r="M89" s="621"/>
      <c r="N89" s="1150"/>
      <c r="O89" s="1150"/>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2649</v>
      </c>
      <c r="C91" s="572" t="s">
        <v>2592</v>
      </c>
      <c r="D91" s="572" t="s">
        <v>2593</v>
      </c>
      <c r="E91" s="572" t="s">
        <v>2594</v>
      </c>
      <c r="F91" s="572" t="s">
        <v>2595</v>
      </c>
      <c r="G91" s="572" t="s">
        <v>2596</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2798</v>
      </c>
      <c r="C93" s="659" t="s">
        <v>2670</v>
      </c>
      <c r="D93" s="659" t="s">
        <v>2671</v>
      </c>
      <c r="E93" s="659" t="s">
        <v>2672</v>
      </c>
      <c r="F93" s="659" t="s">
        <v>2673</v>
      </c>
      <c r="G93" s="659" t="s">
        <v>2674</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2"/>
      <c r="N94" s="1153"/>
      <c r="O94" s="1153"/>
      <c r="P94" s="557"/>
      <c r="Q94" s="558"/>
    </row>
    <row r="95" spans="1:17" ht="15.75" thickTop="1">
      <c r="A95" s="533"/>
      <c r="B95" s="537" t="str">
        <f>B27</f>
        <v>临街状况</v>
      </c>
      <c r="C95" s="538" t="s">
        <v>2782</v>
      </c>
      <c r="D95" s="538" t="s">
        <v>2783</v>
      </c>
      <c r="E95" s="538" t="s">
        <v>2784</v>
      </c>
      <c r="F95" s="538" t="s">
        <v>2785</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2686</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2745</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4"/>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2558</v>
      </c>
      <c r="B107" s="527" t="s">
        <v>2786</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5" t="str">
        <f t="shared" si="25"/>
        <v>(含)-</v>
      </c>
      <c r="L107" s="1755" t="str">
        <f t="shared" si="25"/>
        <v>(含)-</v>
      </c>
      <c r="M107" s="1756"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2787</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2789</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2790</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22" sqref="B22"/>
    </sheetView>
  </sheetViews>
  <sheetFormatPr defaultColWidth="12" defaultRowHeight="12.75"/>
  <cols>
    <col min="1" max="1" width="9.75" style="2773" customWidth="1"/>
    <col min="2" max="2" width="19.25" style="2879" customWidth="1"/>
    <col min="3" max="4" width="12" style="2705"/>
    <col min="5" max="5" width="14.625" style="2705" customWidth="1"/>
    <col min="6" max="8" width="12" style="2705"/>
    <col min="9" max="9" width="12.25" style="2705" bestFit="1" customWidth="1"/>
    <col min="10" max="10" width="12" style="2705"/>
    <col min="11" max="11" width="8.125" style="2768" customWidth="1"/>
    <col min="12" max="12" width="12" style="2705"/>
    <col min="13" max="13" width="8.5" style="2705" customWidth="1"/>
    <col min="14" max="14" width="9.75" style="2705" customWidth="1"/>
    <col min="15" max="25" width="12" style="2705"/>
    <col min="26" max="26" width="9.375" style="2773" customWidth="1"/>
    <col min="27" max="32" width="9.375" style="1369" customWidth="1"/>
    <col min="33" max="36" width="9.375" style="2773" customWidth="1"/>
    <col min="37" max="38" width="9.375" style="2705" customWidth="1"/>
    <col min="39" max="16384" width="12" style="2705"/>
  </cols>
  <sheetData>
    <row r="1" spans="1:36" ht="28.5">
      <c r="A1" s="240" t="s">
        <v>2799</v>
      </c>
      <c r="B1" s="241"/>
      <c r="C1" s="245" t="s">
        <v>2800</v>
      </c>
      <c r="D1" s="387">
        <f>SUM(D29:D30,D33:D39)</f>
        <v>0</v>
      </c>
      <c r="E1" s="2702"/>
      <c r="F1" s="2702"/>
      <c r="G1" s="2702"/>
      <c r="H1" s="2702"/>
      <c r="I1" s="2702"/>
      <c r="J1" s="2702"/>
      <c r="K1" s="1367"/>
      <c r="L1" s="2703" t="s">
        <v>2801</v>
      </c>
      <c r="M1" s="1079">
        <f>SUMPRODUCT((区片价!B5:B9=I2)*(区片价!C3:F3=E2)*(区片价!C5:F9))</f>
        <v>0</v>
      </c>
      <c r="N1" s="1082">
        <f>SUMPRODUCT((因素修正幅度!B5:B9=I2)*(因素修正幅度!C3:F3=E2)*(因素修正幅度!C5:F9))</f>
        <v>0</v>
      </c>
      <c r="O1" s="2704"/>
      <c r="P1" s="2704"/>
      <c r="Q1" s="1367"/>
      <c r="R1" s="1599" t="s">
        <v>2802</v>
      </c>
      <c r="S1" s="1599" t="s">
        <v>2803</v>
      </c>
      <c r="T1" s="1599" t="s">
        <v>2804</v>
      </c>
      <c r="U1" s="1599" t="s">
        <v>2805</v>
      </c>
      <c r="V1" s="1599" t="s">
        <v>2806</v>
      </c>
      <c r="W1" s="1603"/>
      <c r="X1" s="1603"/>
      <c r="Y1" s="1603"/>
      <c r="Z1" s="1603"/>
      <c r="AA1" s="1603"/>
      <c r="AB1" s="1603"/>
      <c r="AC1" s="1604"/>
      <c r="AD1" s="1605"/>
      <c r="AE1" s="1605"/>
      <c r="AF1" s="1605"/>
      <c r="AG1" s="1605"/>
      <c r="AH1" s="1605"/>
      <c r="AI1" s="1605"/>
      <c r="AJ1" s="1606"/>
    </row>
    <row r="2" spans="1:36" ht="15.75">
      <c r="A2" s="245" t="s">
        <v>2807</v>
      </c>
      <c r="B2" s="248" t="e">
        <f>C26</f>
        <v>#DIV/0!</v>
      </c>
      <c r="C2" s="2706" t="s">
        <v>2808</v>
      </c>
      <c r="D2" s="2707" t="s">
        <v>2809</v>
      </c>
      <c r="E2" s="2708"/>
      <c r="F2" s="2707" t="s">
        <v>2810</v>
      </c>
      <c r="G2" s="2709">
        <f>IF(E2="商业",项目基本情况!B37,IF(E2="办公",项目基本情况!C37,IF(E2="住宅",项目基本情况!D37,项目基本情况!E37)))</f>
        <v>0</v>
      </c>
      <c r="H2" s="2707" t="s">
        <v>2811</v>
      </c>
      <c r="I2" s="2709">
        <f>IF(E2="商业",项目基本情况!B38,IF(E2="办公",项目基本情况!C38,IF(E2="住宅",项目基本情况!D38,项目基本情况!E38)))</f>
        <v>0</v>
      </c>
      <c r="J2" s="2710"/>
      <c r="K2" s="1367"/>
      <c r="L2" s="2711" t="s">
        <v>2812</v>
      </c>
      <c r="M2" s="1080">
        <f>SUMPRODUCT((区片价!B10:B28=I2)*(区片价!C3:F3=E2)*(区片价!C10:F28))</f>
        <v>0</v>
      </c>
      <c r="N2" s="1082">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7" t="s">
        <v>2813</v>
      </c>
      <c r="B3" s="248" t="e">
        <f>ROUND(B2*10000/D1,0)</f>
        <v>#DIV/0!</v>
      </c>
      <c r="C3" s="2706" t="s">
        <v>2814</v>
      </c>
      <c r="D3" s="2707" t="s">
        <v>2815</v>
      </c>
      <c r="E3" s="2712"/>
      <c r="F3" s="2713" t="s">
        <v>2816</v>
      </c>
      <c r="G3" s="915">
        <f>IF(F3="宗地容积率",'数据-汇总表'!I4,IF(F3="估价对象容积率",'数据-汇总表'!I6,'数据-汇总表'!I7))</f>
        <v>1.05</v>
      </c>
      <c r="H3" s="198" t="s">
        <v>2817</v>
      </c>
      <c r="I3" s="943"/>
      <c r="J3" s="2710" t="s">
        <v>2818</v>
      </c>
      <c r="K3" s="1367"/>
      <c r="L3" s="2711" t="s">
        <v>2819</v>
      </c>
      <c r="M3" s="1080">
        <f>SUMPRODUCT((区片价!B29:B48=I2)*(区片价!C3:F3=E2)*(区片价!C29:F48))</f>
        <v>0</v>
      </c>
      <c r="N3" s="1082">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298"/>
      <c r="B4" s="3299"/>
      <c r="C4" s="3299"/>
      <c r="D4" s="3300"/>
      <c r="E4" s="3300"/>
      <c r="F4" s="3300"/>
      <c r="G4" s="3300"/>
      <c r="H4" s="3300"/>
      <c r="I4" s="3300"/>
      <c r="J4" s="3301"/>
      <c r="K4" s="1367"/>
      <c r="L4" s="2711" t="s">
        <v>2820</v>
      </c>
      <c r="M4" s="1080">
        <f>SUMPRODUCT((区片价!B49:B75=I2)*(区片价!C3:F3=E2)*(区片价!C49:F75))</f>
        <v>0</v>
      </c>
      <c r="N4" s="1082">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23" customFormat="1" ht="15.75" thickBot="1">
      <c r="A5" s="2714" t="s">
        <v>807</v>
      </c>
      <c r="B5" s="2715" t="s">
        <v>2821</v>
      </c>
      <c r="C5" s="916" t="e">
        <f>ROUND(IF(E2="商业",C6*C7+C16,(IF(E2="住宅",C6*C12+C16,C6+C16))),0)</f>
        <v>#DIV/0!</v>
      </c>
      <c r="D5" s="1776" t="e">
        <f>ROUND(C6+C16,0)</f>
        <v>#DIV/0!</v>
      </c>
      <c r="E5" s="1776"/>
      <c r="F5" s="2716"/>
      <c r="G5" s="2717"/>
      <c r="H5" s="2717"/>
      <c r="I5" s="2717"/>
      <c r="J5" s="2718"/>
      <c r="K5" s="2719"/>
      <c r="L5" s="2711" t="s">
        <v>2822</v>
      </c>
      <c r="M5" s="1080">
        <f>SUMPRODUCT((区片价!B76:B109=I2)*(区片价!C3:F3=E2)*(区片价!C76:F109))</f>
        <v>0</v>
      </c>
      <c r="N5" s="1082">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0"/>
      <c r="AD5" s="2721"/>
      <c r="AE5" s="2721"/>
      <c r="AF5" s="2721"/>
      <c r="AG5" s="2721"/>
      <c r="AH5" s="2721"/>
      <c r="AI5" s="2721"/>
      <c r="AJ5" s="2722"/>
    </row>
    <row r="6" spans="1:36" ht="15.75" thickBot="1">
      <c r="A6" s="2724" t="s">
        <v>2823</v>
      </c>
      <c r="B6" s="2725" t="s">
        <v>2824</v>
      </c>
      <c r="C6" s="917">
        <f>SUMIF(L1:L12,G2,M1:M12)</f>
        <v>0</v>
      </c>
      <c r="D6" s="2726" t="s">
        <v>2825</v>
      </c>
      <c r="E6" s="2727"/>
      <c r="F6" s="2727"/>
      <c r="G6" s="2728"/>
      <c r="H6" s="2728"/>
      <c r="I6" s="2728"/>
      <c r="J6" s="2729"/>
      <c r="K6" s="1831"/>
      <c r="L6" s="2711" t="s">
        <v>2826</v>
      </c>
      <c r="M6" s="1080">
        <f>SUMPRODUCT((区片价!B110:B157=I2)*(区片价!C3:F3=E2)*(区片价!C110:F157))</f>
        <v>0</v>
      </c>
      <c r="N6" s="1082">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0"/>
      <c r="AD6" s="2721"/>
      <c r="AE6" s="2721"/>
      <c r="AF6" s="2721"/>
      <c r="AG6" s="2721"/>
      <c r="AH6" s="2721"/>
      <c r="AI6" s="2721"/>
      <c r="AJ6" s="2722"/>
    </row>
    <row r="7" spans="1:36" ht="24">
      <c r="A7" s="3282" t="str">
        <f>IF(E2="商业",IF(C8="不临58条商业街","",2),"")</f>
        <v/>
      </c>
      <c r="B7" s="2730" t="s">
        <v>2827</v>
      </c>
      <c r="C7" s="918" t="e">
        <f>IF(C8="不临58条商业街",1,ROUND(1+(1.6*E8+1.2*E9+0.8*E10+0.4*E11)*C9,4))</f>
        <v>#DIV/0!</v>
      </c>
      <c r="D7" s="2731" t="s">
        <v>2828</v>
      </c>
      <c r="E7" s="944"/>
      <c r="F7" s="2732"/>
      <c r="G7" s="2733"/>
      <c r="H7" s="2733"/>
      <c r="I7" s="2733"/>
      <c r="J7" s="2734"/>
      <c r="K7" s="1831"/>
      <c r="L7" s="2711" t="s">
        <v>2829</v>
      </c>
      <c r="M7" s="1080">
        <f>SUMPRODUCT((区片价!B158:B205=I2)*(区片价!C3:F3=E2)*(区片价!C158:F205))</f>
        <v>0</v>
      </c>
      <c r="N7" s="1082">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v>
      </c>
      <c r="T7" s="1599" t="e">
        <f t="shared" si="0"/>
        <v>#DIV/0!</v>
      </c>
      <c r="U7" s="1600"/>
      <c r="V7" s="1599" t="e">
        <f t="shared" si="1"/>
        <v>#DIV/0!</v>
      </c>
      <c r="W7" s="1805" t="s">
        <v>2830</v>
      </c>
      <c r="X7" s="1601">
        <f>G2</f>
        <v>0</v>
      </c>
      <c r="Y7" s="1601" t="s">
        <v>2831</v>
      </c>
      <c r="Z7" s="1602">
        <f>G3</f>
        <v>1.05</v>
      </c>
      <c r="AA7" s="1603"/>
      <c r="AB7" s="1603"/>
      <c r="AC7" s="1604"/>
      <c r="AD7" s="1605"/>
      <c r="AE7" s="1605"/>
      <c r="AF7" s="1605"/>
      <c r="AG7" s="1605"/>
      <c r="AH7" s="1605"/>
      <c r="AI7" s="1605"/>
      <c r="AJ7" s="1606"/>
    </row>
    <row r="8" spans="1:36" ht="15">
      <c r="A8" s="3302"/>
      <c r="B8" s="198" t="s">
        <v>2832</v>
      </c>
      <c r="C8" s="2735"/>
      <c r="D8" s="919" t="s">
        <v>139</v>
      </c>
      <c r="E8" s="920" t="e">
        <f>ROUND(C11/E7,4)</f>
        <v>#DIV/0!</v>
      </c>
      <c r="F8" s="2736" t="s">
        <v>2833</v>
      </c>
      <c r="G8" s="2737"/>
      <c r="H8" s="2737"/>
      <c r="I8" s="2737"/>
      <c r="J8" s="2738"/>
      <c r="K8" s="1367"/>
      <c r="L8" s="2711" t="s">
        <v>2834</v>
      </c>
      <c r="M8" s="1080">
        <f>SUMPRODUCT((区片价!B206:B244=I2)*(区片价!C3:F3=E2)*(区片价!C206:F244))</f>
        <v>0</v>
      </c>
      <c r="N8" s="1082">
        <f>SUMPRODUCT((因素修正幅度!B206:B244=I2)*(因素修正幅度!C3:F3=E2)*(因素修正幅度!C206:F244))</f>
        <v>0</v>
      </c>
      <c r="O8" s="1367"/>
      <c r="P8" s="1367"/>
      <c r="Q8" s="1367"/>
      <c r="R8" s="1599">
        <v>7</v>
      </c>
      <c r="S8" s="1600"/>
      <c r="T8" s="1599" t="e">
        <f t="shared" si="0"/>
        <v>#DIV/0!</v>
      </c>
      <c r="U8" s="1600"/>
      <c r="V8" s="1599" t="e">
        <f t="shared" si="1"/>
        <v>#DIV/0!</v>
      </c>
      <c r="W8" s="3295" t="s">
        <v>2835</v>
      </c>
      <c r="X8" s="3296"/>
      <c r="Y8" s="1607" t="s">
        <v>2836</v>
      </c>
      <c r="Z8" s="1607" t="s">
        <v>2837</v>
      </c>
      <c r="AA8" s="1607" t="s">
        <v>2838</v>
      </c>
      <c r="AB8" s="1607" t="s">
        <v>2839</v>
      </c>
      <c r="AC8" s="1607" t="s">
        <v>2840</v>
      </c>
      <c r="AD8" s="1607" t="s">
        <v>2841</v>
      </c>
      <c r="AE8" s="1607" t="s">
        <v>2842</v>
      </c>
      <c r="AF8" s="1607" t="s">
        <v>2843</v>
      </c>
      <c r="AG8" s="1607" t="s">
        <v>2844</v>
      </c>
      <c r="AH8" s="1607" t="s">
        <v>2845</v>
      </c>
      <c r="AI8" s="1607" t="s">
        <v>2846</v>
      </c>
      <c r="AJ8" s="1607" t="s">
        <v>2847</v>
      </c>
    </row>
    <row r="9" spans="1:36" ht="15">
      <c r="A9" s="3302"/>
      <c r="B9" s="198" t="s">
        <v>2848</v>
      </c>
      <c r="C9" s="921">
        <f>SUMIF(修正!C59:C119,C8,修正!E59:E119)</f>
        <v>0</v>
      </c>
      <c r="D9" s="200" t="s">
        <v>140</v>
      </c>
      <c r="E9" s="200" t="e">
        <f>ROUND(C11/E7,4)</f>
        <v>#DIV/0!</v>
      </c>
      <c r="F9" s="2736" t="s">
        <v>2849</v>
      </c>
      <c r="G9" s="2737"/>
      <c r="H9" s="2737"/>
      <c r="I9" s="2737"/>
      <c r="J9" s="2738"/>
      <c r="K9" s="1367"/>
      <c r="L9" s="2711" t="s">
        <v>2850</v>
      </c>
      <c r="M9" s="1080">
        <f>SUMPRODUCT((区片价!B245:B289=I2)*(区片价!C3:F3=E2)*(区片价!C245:F289))</f>
        <v>0</v>
      </c>
      <c r="N9" s="1082">
        <f>SUMPRODUCT((因素修正幅度!B245:B289=I2)*(因素修正幅度!C3:F3=E2)*(因素修正幅度!C245:F289))</f>
        <v>0</v>
      </c>
      <c r="O9" s="1367"/>
      <c r="P9" s="1367"/>
      <c r="Q9" s="1367"/>
      <c r="R9" s="1599">
        <v>8</v>
      </c>
      <c r="S9" s="1600"/>
      <c r="T9" s="1599" t="e">
        <f t="shared" si="0"/>
        <v>#DIV/0!</v>
      </c>
      <c r="U9" s="1600"/>
      <c r="V9" s="1599" t="e">
        <f t="shared" si="1"/>
        <v>#DIV/0!</v>
      </c>
      <c r="W9" s="3297" t="s">
        <v>2851</v>
      </c>
      <c r="X9" s="1608" t="s">
        <v>2852</v>
      </c>
      <c r="Y9" s="1761"/>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302"/>
      <c r="B10" s="198" t="s">
        <v>2853</v>
      </c>
      <c r="C10" s="200">
        <f>SUMIF(修正!C59:C119,C8,修正!F59:F119)</f>
        <v>0</v>
      </c>
      <c r="D10" s="200" t="s">
        <v>141</v>
      </c>
      <c r="E10" s="200" t="e">
        <f>ROUND(C11/E7,4)</f>
        <v>#DIV/0!</v>
      </c>
      <c r="F10" s="2736" t="s">
        <v>2854</v>
      </c>
      <c r="G10" s="2737"/>
      <c r="H10" s="2737"/>
      <c r="I10" s="2737"/>
      <c r="J10" s="2738"/>
      <c r="K10" s="1367"/>
      <c r="L10" s="2711" t="s">
        <v>2855</v>
      </c>
      <c r="M10" s="1080">
        <f>SUMPRODUCT((区片价!B290:B316=I2)*(区片价!C3:F3=E2)*(区片价!C290:F316))</f>
        <v>0</v>
      </c>
      <c r="N10" s="1082">
        <f>SUMPRODUCT((因素修正幅度!B290:B316=I2)*(因素修正幅度!C3:F3=E2)*(因素修正幅度!C290:F316))</f>
        <v>0</v>
      </c>
      <c r="O10" s="1367"/>
      <c r="P10" s="1367"/>
      <c r="Q10" s="1367"/>
      <c r="R10" s="1599">
        <v>9</v>
      </c>
      <c r="S10" s="1600"/>
      <c r="T10" s="1599" t="e">
        <f t="shared" si="0"/>
        <v>#DIV/0!</v>
      </c>
      <c r="U10" s="1600"/>
      <c r="V10" s="1599" t="e">
        <f t="shared" si="1"/>
        <v>#DIV/0!</v>
      </c>
      <c r="W10" s="3297"/>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302"/>
      <c r="B11" s="2739" t="s">
        <v>2856</v>
      </c>
      <c r="C11" s="922">
        <f>C10/4</f>
        <v>0</v>
      </c>
      <c r="D11" s="922" t="s">
        <v>142</v>
      </c>
      <c r="E11" s="922" t="e">
        <f>ROUND(C11/E7,4)</f>
        <v>#DIV/0!</v>
      </c>
      <c r="F11" s="2740" t="s">
        <v>2857</v>
      </c>
      <c r="G11" s="2741"/>
      <c r="H11" s="2741"/>
      <c r="I11" s="2741"/>
      <c r="J11" s="2742"/>
      <c r="K11" s="1367"/>
      <c r="L11" s="2711" t="s">
        <v>2858</v>
      </c>
      <c r="M11" s="1080">
        <f>SUMPRODUCT((区片价!B317:B337=I2)*(区片价!C3:F3=E2)*(区片价!C317:F337))</f>
        <v>0</v>
      </c>
      <c r="N11" s="1082">
        <f>SUMPRODUCT((因素修正幅度!B317:B337=I2)*(因素修正幅度!C3:F3=E2)*(因素修正幅度!C317:F337))</f>
        <v>0</v>
      </c>
      <c r="O11" s="1367"/>
      <c r="P11" s="1367"/>
      <c r="Q11" s="1367"/>
      <c r="R11" s="1599">
        <v>10</v>
      </c>
      <c r="S11" s="1600"/>
      <c r="T11" s="1599" t="e">
        <f t="shared" si="0"/>
        <v>#DIV/0!</v>
      </c>
      <c r="U11" s="1600"/>
      <c r="V11" s="1599" t="e">
        <f t="shared" si="1"/>
        <v>#DIV/0!</v>
      </c>
      <c r="W11" s="3297" t="s">
        <v>2859</v>
      </c>
      <c r="X11" s="1611" t="s">
        <v>2860</v>
      </c>
      <c r="Y11" s="1612">
        <f>$G$3</f>
        <v>1.05</v>
      </c>
      <c r="Z11" s="1612">
        <f t="shared" ref="Z11:AJ11" si="3">$G$3</f>
        <v>1.05</v>
      </c>
      <c r="AA11" s="1612">
        <f t="shared" si="3"/>
        <v>1.05</v>
      </c>
      <c r="AB11" s="1612">
        <f t="shared" si="3"/>
        <v>1.05</v>
      </c>
      <c r="AC11" s="1612">
        <f t="shared" si="3"/>
        <v>1.05</v>
      </c>
      <c r="AD11" s="1612">
        <f t="shared" si="3"/>
        <v>1.05</v>
      </c>
      <c r="AE11" s="1612">
        <f t="shared" si="3"/>
        <v>1.05</v>
      </c>
      <c r="AF11" s="1612">
        <f t="shared" si="3"/>
        <v>1.05</v>
      </c>
      <c r="AG11" s="1612">
        <f t="shared" si="3"/>
        <v>1.05</v>
      </c>
      <c r="AH11" s="1612">
        <f t="shared" si="3"/>
        <v>1.05</v>
      </c>
      <c r="AI11" s="1612">
        <f t="shared" si="3"/>
        <v>1.05</v>
      </c>
      <c r="AJ11" s="1612">
        <f t="shared" si="3"/>
        <v>1.05</v>
      </c>
    </row>
    <row r="12" spans="1:36" ht="25.5" thickBot="1">
      <c r="A12" s="3282" t="s">
        <v>2861</v>
      </c>
      <c r="B12" s="2743" t="s">
        <v>2862</v>
      </c>
      <c r="C12" s="918">
        <f>ROUND(C15*D15*E15*F15*G15*H15*I15*J15,4)</f>
        <v>1</v>
      </c>
      <c r="D12" s="2744" t="s">
        <v>2863</v>
      </c>
      <c r="E12" s="2745"/>
      <c r="F12" s="2745"/>
      <c r="G12" s="2746"/>
      <c r="H12" s="2746"/>
      <c r="I12" s="2746"/>
      <c r="J12" s="2747"/>
      <c r="K12" s="1367"/>
      <c r="L12" s="2748" t="s">
        <v>2864</v>
      </c>
      <c r="M12" s="1081">
        <f>SUMPRODUCT((区片价!B338:B344=I2)*(区片价!C3:F3=E2)*(区片价!C338:F344))</f>
        <v>0</v>
      </c>
      <c r="N12" s="1082">
        <f>SUMPRODUCT((因素修正幅度!B338:B344=I2)*(因素修正幅度!C3:F3=E2)*(因素修正幅度!C338:F344))</f>
        <v>0</v>
      </c>
      <c r="O12" s="1367"/>
      <c r="P12" s="1367"/>
      <c r="Q12" s="1367"/>
      <c r="R12" s="1599">
        <v>11</v>
      </c>
      <c r="S12" s="1600"/>
      <c r="T12" s="1599" t="e">
        <f t="shared" si="0"/>
        <v>#DIV/0!</v>
      </c>
      <c r="U12" s="1600"/>
      <c r="V12" s="1599" t="e">
        <f t="shared" si="1"/>
        <v>#DIV/0!</v>
      </c>
      <c r="W12" s="3297"/>
      <c r="X12" s="1613" t="s">
        <v>2865</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303"/>
      <c r="B13" s="2749" t="s">
        <v>2866</v>
      </c>
      <c r="C13" s="2750" t="s">
        <v>2867</v>
      </c>
      <c r="D13" s="1797" t="s">
        <v>2868</v>
      </c>
      <c r="E13" s="1797" t="s">
        <v>2869</v>
      </c>
      <c r="F13" s="30" t="s">
        <v>2870</v>
      </c>
      <c r="G13" s="2751" t="s">
        <v>2871</v>
      </c>
      <c r="H13" s="2751" t="s">
        <v>2871</v>
      </c>
      <c r="I13" s="2751" t="s">
        <v>2871</v>
      </c>
      <c r="J13" s="2752" t="s">
        <v>2871</v>
      </c>
      <c r="K13" s="1367"/>
      <c r="L13" s="1367"/>
      <c r="M13" s="1367"/>
      <c r="N13" s="1367"/>
      <c r="O13" s="1367"/>
      <c r="P13" s="1367"/>
      <c r="Q13" s="1367"/>
      <c r="R13" s="1599">
        <v>12</v>
      </c>
      <c r="S13" s="1600"/>
      <c r="T13" s="1599" t="e">
        <f t="shared" si="0"/>
        <v>#DIV/0!</v>
      </c>
      <c r="U13" s="1600"/>
      <c r="V13" s="1599" t="e">
        <f t="shared" si="1"/>
        <v>#DIV/0!</v>
      </c>
      <c r="W13" s="3297"/>
      <c r="X13" s="1613"/>
      <c r="Y13" s="1610">
        <f>(-0.163*(Y12^2)-0.59*Y12+7617)*(10^(-4))/Y11</f>
        <v>0.72542857142857142</v>
      </c>
      <c r="Z13" s="1610">
        <f t="shared" ref="Z13:AJ13" si="5">(-0.163*(Z12^2)-0.59*Z12+7617)*(10^(-4))/Z11</f>
        <v>0.72542857142857142</v>
      </c>
      <c r="AA13" s="1610">
        <f t="shared" si="5"/>
        <v>0.72542857142857142</v>
      </c>
      <c r="AB13" s="1610">
        <f t="shared" si="5"/>
        <v>0.72542857142857142</v>
      </c>
      <c r="AC13" s="1610">
        <f t="shared" si="5"/>
        <v>0.72542857142857142</v>
      </c>
      <c r="AD13" s="1610">
        <f t="shared" si="5"/>
        <v>0.72542857142857142</v>
      </c>
      <c r="AE13" s="1610">
        <f t="shared" si="5"/>
        <v>0.72542857142857142</v>
      </c>
      <c r="AF13" s="1610">
        <f t="shared" si="5"/>
        <v>0.72542857142857142</v>
      </c>
      <c r="AG13" s="1610">
        <f t="shared" si="5"/>
        <v>0.72542857142857142</v>
      </c>
      <c r="AH13" s="1610">
        <f t="shared" si="5"/>
        <v>0.72542857142857142</v>
      </c>
      <c r="AI13" s="1610">
        <f t="shared" si="5"/>
        <v>0.72542857142857142</v>
      </c>
      <c r="AJ13" s="1610">
        <f t="shared" si="5"/>
        <v>0.72542857142857142</v>
      </c>
    </row>
    <row r="14" spans="1:36" ht="15">
      <c r="A14" s="3303"/>
      <c r="B14" s="2753"/>
      <c r="C14" s="2754"/>
      <c r="D14" s="2755"/>
      <c r="E14" s="2755"/>
      <c r="F14" s="2756"/>
      <c r="G14" s="2757" t="s">
        <v>2872</v>
      </c>
      <c r="H14" s="2758"/>
      <c r="I14" s="2759"/>
      <c r="J14" s="2760"/>
      <c r="K14" s="1367"/>
      <c r="L14" s="1367"/>
      <c r="M14" s="1367"/>
      <c r="N14" s="1367"/>
      <c r="O14" s="1367"/>
      <c r="P14" s="1367"/>
      <c r="Q14" s="1367"/>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304"/>
      <c r="B15" s="2761" t="s">
        <v>2873</v>
      </c>
      <c r="C15" s="229">
        <f>IF(C14="有",1.1,1)</f>
        <v>1</v>
      </c>
      <c r="D15" s="229">
        <f>IF(D14="有",1.1,1)</f>
        <v>1</v>
      </c>
      <c r="E15" s="229">
        <f>IF(E14="有",1.1,1)</f>
        <v>1</v>
      </c>
      <c r="F15" s="229">
        <f>IF(F14="500米范围内",1.2,IF(F14="500-1000米",1.1,1))</f>
        <v>1</v>
      </c>
      <c r="G15" s="945">
        <v>1</v>
      </c>
      <c r="H15" s="945">
        <v>1</v>
      </c>
      <c r="I15" s="945">
        <v>1</v>
      </c>
      <c r="J15" s="946">
        <v>1</v>
      </c>
      <c r="K15" s="1367"/>
      <c r="Q15" s="1367"/>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6" customHeight="1">
      <c r="A16" s="3282" t="s">
        <v>2878</v>
      </c>
      <c r="B16" s="2730" t="s">
        <v>2879</v>
      </c>
      <c r="C16" s="2917" t="e">
        <f>ROUND(IF(F17="与级别开发程度一致",0,(G17-E17)/C17),0)</f>
        <v>#DIV/0!</v>
      </c>
      <c r="D16" s="3293" t="s">
        <v>2883</v>
      </c>
      <c r="E16" s="3294"/>
      <c r="F16" s="3293" t="s">
        <v>2880</v>
      </c>
      <c r="G16" s="3294"/>
      <c r="H16" s="2764"/>
      <c r="I16" s="2764"/>
      <c r="J16" s="2921"/>
      <c r="K16" s="2764"/>
      <c r="L16" s="2764"/>
      <c r="M16" s="2764"/>
      <c r="N16" s="2764"/>
      <c r="O16" s="2765"/>
      <c r="Q16" s="1367"/>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83"/>
      <c r="B17" s="2928" t="s">
        <v>2882</v>
      </c>
      <c r="C17" s="2929">
        <f>SUMPRODUCT((修正!A2:A5=E2)*(修正!B1:M1=G2)*(修正!B2:M5))</f>
        <v>0</v>
      </c>
      <c r="D17" s="229" t="str">
        <f>IF(OR(G2="八级",G2="九级",G2="十级",G2="十一级",G2="十二级"),"五通一平","七通一平")</f>
        <v>七通一平</v>
      </c>
      <c r="E17" s="2918">
        <f>SUMPRODUCT((修正!B1:M1=G2)*(修正!B15:M15))</f>
        <v>0</v>
      </c>
      <c r="F17" s="2919"/>
      <c r="G17" s="2920">
        <f>SUM(H17:O17)</f>
        <v>0</v>
      </c>
      <c r="H17" s="2929">
        <f>SUMPRODUCT((七通一平=H16)*(修正!B1:M1=G2)*(修正!B6:M14))</f>
        <v>0</v>
      </c>
      <c r="I17" s="2929">
        <f>SUMPRODUCT((七通一平=I16)*(修正!B1:M1=G2)*(修正!B6:M14))</f>
        <v>0</v>
      </c>
      <c r="J17" s="2930">
        <f>SUMPRODUCT((七通一平=J16)*(修正!B1:M1=G2)*(修正!B6:M14))</f>
        <v>0</v>
      </c>
      <c r="K17" s="2929">
        <f>SUMPRODUCT((七通一平=K16)*(修正!B1:M1=G2)*(修正!B6:M14))</f>
        <v>0</v>
      </c>
      <c r="L17" s="2929">
        <f>SUMPRODUCT((七通一平=L16)*(修正!B1:M1=G2)*(修正!B6:M14))</f>
        <v>0</v>
      </c>
      <c r="M17" s="2929">
        <f>SUMPRODUCT((七通一平=M16)*(修正!B1:M1=G2)*(修正!B6:M14))</f>
        <v>0</v>
      </c>
      <c r="N17" s="2929">
        <f>SUMPRODUCT((七通一平=N16)*(修正!B1:M1=G2)*(修正!B6:M14))</f>
        <v>0</v>
      </c>
      <c r="O17" s="2931">
        <f>SUMPRODUCT((七通一平=O16)*(修正!B1:M1=G2)*(修正!B6:M14))</f>
        <v>0</v>
      </c>
      <c r="Q17" s="1367"/>
      <c r="R17" s="1367"/>
      <c r="S17" s="1367"/>
      <c r="T17" s="1367"/>
      <c r="U17" s="1367"/>
      <c r="V17" s="1367"/>
      <c r="W17" s="1367"/>
      <c r="X17" s="1367"/>
      <c r="Y17" s="1367"/>
      <c r="Z17" s="1368"/>
      <c r="AE17" s="2768"/>
      <c r="AF17" s="2768"/>
      <c r="AG17" s="2705"/>
      <c r="AH17" s="2705"/>
      <c r="AI17" s="2705"/>
      <c r="AJ17" s="2705"/>
    </row>
    <row r="18" spans="1:37" s="2723" customFormat="1" ht="15.75" thickBot="1">
      <c r="A18" s="2922" t="s">
        <v>808</v>
      </c>
      <c r="B18" s="2923" t="s">
        <v>2885</v>
      </c>
      <c r="C18" s="2924">
        <f>SUMIF(修正!C18:C39,E3,修正!E18:E39)</f>
        <v>0</v>
      </c>
      <c r="D18" s="2925"/>
      <c r="E18" s="2926"/>
      <c r="F18" s="2926"/>
      <c r="G18" s="2926"/>
      <c r="H18" s="2926"/>
      <c r="I18" s="2926"/>
      <c r="J18" s="2927"/>
      <c r="K18" s="1374"/>
      <c r="O18" s="1372"/>
      <c r="P18" s="1372"/>
      <c r="Q18" s="1373"/>
      <c r="R18" s="1373"/>
      <c r="S18" s="1373"/>
      <c r="T18" s="1368"/>
      <c r="U18" s="1368"/>
      <c r="V18" s="1368"/>
      <c r="W18" s="1367"/>
      <c r="X18" s="1367"/>
      <c r="Y18" s="1367"/>
      <c r="Z18" s="1374"/>
      <c r="AA18" s="1375"/>
      <c r="AB18" s="1375"/>
      <c r="AC18" s="1375"/>
      <c r="AD18" s="1375"/>
      <c r="AE18" s="1369"/>
      <c r="AF18" s="1369"/>
      <c r="AG18" s="2773"/>
      <c r="AH18" s="2773"/>
      <c r="AI18" s="2773"/>
    </row>
    <row r="19" spans="1:37" s="2723" customFormat="1" ht="27.75" thickBot="1">
      <c r="A19" s="2769" t="s">
        <v>809</v>
      </c>
      <c r="B19" s="2770" t="s">
        <v>2886</v>
      </c>
      <c r="C19" s="923" t="e">
        <f>ROUND(IF(H19="按公示增长率计算",SUMPRODUCT((地价!A3:A30=YEAR(G19)&amp;"-"&amp;ROUNDUP(MONTH(G19)/3,0))*(地价!X2:AB2=E2)*(地价!X3:AB30)),IF(H19="地价指数",M20/M19,(1+I19)^O19)),4)</f>
        <v>#VALUE!</v>
      </c>
      <c r="D19" s="2774" t="s">
        <v>2887</v>
      </c>
      <c r="E19" s="924">
        <v>41640</v>
      </c>
      <c r="F19" s="2774" t="s">
        <v>2888</v>
      </c>
      <c r="G19" s="925">
        <f>'数据-取费表'!B2</f>
        <v>43962</v>
      </c>
      <c r="H19" s="2775"/>
      <c r="I19" s="926" t="str">
        <f>IF(H19="季度增幅（自定义）",SUMIF(N21:N24,E2,O21:O24),"")</f>
        <v/>
      </c>
      <c r="J19" s="2772"/>
      <c r="K19" s="1374"/>
      <c r="L19" s="2776" t="s">
        <v>2889</v>
      </c>
      <c r="M19" s="1731">
        <f>ROUND(SUMIF(地价!B2:F2,E2,地价!B30:F30),0)</f>
        <v>0</v>
      </c>
      <c r="N19" s="2777" t="s">
        <v>2890</v>
      </c>
      <c r="O19" s="927">
        <f>ROUNDDOWN(DATEDIF(E19,G19,"M")/3,0)</f>
        <v>25</v>
      </c>
      <c r="P19" s="1371"/>
      <c r="Q19" s="1373"/>
      <c r="R19" s="1373"/>
      <c r="S19" s="1373"/>
      <c r="T19" s="1368"/>
      <c r="U19" s="1368"/>
      <c r="V19" s="1368"/>
      <c r="W19" s="1367"/>
      <c r="X19" s="1367"/>
      <c r="Y19" s="1367"/>
      <c r="Z19" s="1374"/>
      <c r="AA19" s="1375"/>
      <c r="AB19" s="1375"/>
      <c r="AC19" s="1375"/>
      <c r="AD19" s="1375"/>
      <c r="AE19" s="1375"/>
      <c r="AF19" s="2778"/>
      <c r="AG19" s="2779"/>
      <c r="AH19" s="2773"/>
      <c r="AI19" s="2780"/>
      <c r="AJ19" s="2780"/>
      <c r="AK19" s="2780"/>
    </row>
    <row r="20" spans="1:37" s="2723" customFormat="1" ht="27.75" thickBot="1">
      <c r="A20" s="2781" t="s">
        <v>810</v>
      </c>
      <c r="B20" s="2782" t="s">
        <v>2891</v>
      </c>
      <c r="C20" s="928" t="e">
        <f>ROUND(POWER(1+G20,J20-I20)*(POWER(1+G20,I20)-1)/(POWER(1+G20,J20)-1),4)</f>
        <v>#DIV/0!</v>
      </c>
      <c r="D20" s="2783" t="s">
        <v>2892</v>
      </c>
      <c r="E20" s="1757">
        <f ca="1">存贷款利率!D4/100</f>
        <v>4.3499999999999997E-2</v>
      </c>
      <c r="F20" s="2783" t="s">
        <v>2884</v>
      </c>
      <c r="G20" s="933">
        <f>SUMIF(M26:P26,E2,M28:P28)</f>
        <v>0</v>
      </c>
      <c r="H20" s="2783" t="s">
        <v>2893</v>
      </c>
      <c r="I20" s="934" t="e">
        <f>SUMIF('数据-取费表'!C6:C15,E2,'数据-取费表'!F6:F15)/COUNTIF('数据-取费表'!C6:C15,E2)</f>
        <v>#DIV/0!</v>
      </c>
      <c r="J20" s="935">
        <f>IF(E2="住宅",70,IF(E2="商业",40,50))</f>
        <v>50</v>
      </c>
      <c r="K20" s="1374"/>
      <c r="L20" s="2784" t="s">
        <v>2894</v>
      </c>
      <c r="M20" s="1732">
        <f>ROUND(SUMPRODUCT((地价!A4:A30=YEAR(G19)&amp;"-"&amp;ROUNDUP(MONTH(G19)/3,0))*(地价!B2:F2=E2)*(地价!B4:F30)),0)</f>
        <v>0</v>
      </c>
      <c r="N20" s="2785" t="s">
        <v>2895</v>
      </c>
      <c r="O20" s="2786" t="s">
        <v>2896</v>
      </c>
      <c r="P20" s="2787" t="s">
        <v>2897</v>
      </c>
      <c r="R20" s="1373"/>
      <c r="S20" s="1373"/>
      <c r="T20" s="1368"/>
      <c r="U20" s="1368"/>
      <c r="V20" s="1368"/>
      <c r="W20" s="1367"/>
      <c r="X20" s="1367"/>
      <c r="Y20" s="1367"/>
      <c r="Z20" s="1374"/>
      <c r="AA20" s="1375"/>
      <c r="AB20" s="1375"/>
      <c r="AC20" s="1375"/>
      <c r="AD20" s="1375"/>
      <c r="AE20" s="1375"/>
      <c r="AF20" s="1375"/>
    </row>
    <row r="21" spans="1:37" s="2723" customFormat="1" ht="15">
      <c r="A21" s="2788" t="s">
        <v>811</v>
      </c>
      <c r="B21" s="2789" t="s">
        <v>2898</v>
      </c>
      <c r="C21" s="936">
        <f>IF(B21="容积率修正",IF(G3&lt;=10,D22,J22),C23)</f>
        <v>0</v>
      </c>
      <c r="D21" s="2790"/>
      <c r="E21" s="2790"/>
      <c r="F21" s="2790"/>
      <c r="G21" s="2790"/>
      <c r="H21" s="2790"/>
      <c r="I21" s="2790"/>
      <c r="J21" s="2791"/>
      <c r="K21" s="1374"/>
      <c r="N21" s="2792" t="s">
        <v>2899</v>
      </c>
      <c r="O21" s="1558"/>
      <c r="P21" s="1559">
        <f>SUMPRODUCT((地价!A3:A30=YEAR(G19)&amp;"-"&amp;ROUNDUP(MONTH(G19)/3,0))*(地价!AD2:AH2=N21)*(地价!AD3:AH30))</f>
        <v>1.2800000000000001E-2</v>
      </c>
      <c r="R21" s="1373"/>
      <c r="S21" s="1373"/>
      <c r="T21" s="1368"/>
      <c r="U21" s="1368"/>
      <c r="V21" s="1368"/>
      <c r="W21" s="1367"/>
      <c r="X21" s="1367"/>
      <c r="Y21" s="1367"/>
      <c r="Z21" s="1374"/>
      <c r="AA21" s="1375"/>
      <c r="AB21" s="1375"/>
      <c r="AC21" s="1375"/>
      <c r="AD21" s="1375"/>
      <c r="AE21" s="1375"/>
      <c r="AF21" s="1375"/>
    </row>
    <row r="22" spans="1:37" s="2723" customFormat="1" ht="14.25">
      <c r="A22" s="2649" t="s">
        <v>2900</v>
      </c>
      <c r="B22" s="2793" t="s">
        <v>2901</v>
      </c>
      <c r="C22" s="1799" t="s">
        <v>2902</v>
      </c>
      <c r="D22" s="1799">
        <f>IF(E22=G22,F22,IF(G3&lt;=10,ROUND(F22+(H22-F22)*(G3-E22)/(G22-E22),4),"——"))</f>
        <v>0</v>
      </c>
      <c r="E22" s="915">
        <f>ROUNDDOWN(G3,1)</f>
        <v>1</v>
      </c>
      <c r="F22" s="17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1.1000000000000001</v>
      </c>
      <c r="H22" s="17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99" t="s">
        <v>155</v>
      </c>
      <c r="J22" s="937" t="str">
        <f>IF(G3&gt;10,D113,"——")</f>
        <v>——</v>
      </c>
      <c r="K22" s="1374"/>
      <c r="N22" s="2792" t="s">
        <v>2903</v>
      </c>
      <c r="O22" s="1558"/>
      <c r="P22" s="1559">
        <f>SUMPRODUCT((地价!A3:A30=YEAR(G19)&amp;"-"&amp;ROUNDUP(MONTH(G19)/3,0))*(地价!AD2:AH2=N22)*(地价!AD3:AH30))</f>
        <v>1.2800000000000001E-2</v>
      </c>
      <c r="R22" s="1373"/>
      <c r="S22" s="1373"/>
      <c r="T22" s="1368"/>
      <c r="U22" s="1368"/>
      <c r="V22" s="1368"/>
      <c r="W22" s="1367"/>
      <c r="X22" s="1367"/>
      <c r="Y22" s="1367"/>
      <c r="Z22" s="1374"/>
      <c r="AA22" s="1375"/>
      <c r="AB22" s="1375"/>
      <c r="AC22" s="1375"/>
      <c r="AD22" s="1375"/>
      <c r="AE22" s="1375"/>
      <c r="AF22" s="1375"/>
    </row>
    <row r="23" spans="1:37" ht="27.75" thickBot="1">
      <c r="A23" s="2649" t="s">
        <v>2904</v>
      </c>
      <c r="B23" s="2794" t="s">
        <v>2905</v>
      </c>
      <c r="C23" s="1012">
        <f>ROUND(IF(G3&gt;1,IF(I3&lt;7,SUMPRODUCT((B93:B98=I3)*(C92:N92=G2)*(C93:N98)),SUMIF(C92:N92,G2,C100:N100)),IF(I3&lt;7,SUMPRODUCT((B102:B107=I3)*(C92:N92=G2)*(C102:N107)),SUMIF(C92:N92,G2,C109:N109))),4)</f>
        <v>0</v>
      </c>
      <c r="D23" s="2758"/>
      <c r="E23" s="2758"/>
      <c r="F23" s="2795"/>
      <c r="G23" s="2796"/>
      <c r="H23" s="2797"/>
      <c r="I23" s="2798"/>
      <c r="J23" s="2799"/>
      <c r="K23" s="1367"/>
      <c r="N23" s="2792" t="s">
        <v>2906</v>
      </c>
      <c r="O23" s="1558"/>
      <c r="P23" s="1559">
        <f>SUMPRODUCT((地价!A3:A30=YEAR(G19)&amp;"-"&amp;ROUNDUP(MONTH(G19)/3,0))*(地价!AD2:AH2=N23)*(地价!AD3:AH30))</f>
        <v>2.0299999999999999E-2</v>
      </c>
      <c r="R23" s="1373"/>
      <c r="S23" s="1373"/>
      <c r="T23" s="1368"/>
      <c r="U23" s="1368"/>
      <c r="V23" s="1368"/>
      <c r="W23" s="1367"/>
      <c r="X23" s="1367"/>
      <c r="Y23" s="1367"/>
      <c r="Z23" s="1374"/>
      <c r="AA23" s="1375"/>
      <c r="AB23" s="1375"/>
      <c r="AC23" s="1375"/>
      <c r="AD23" s="1375"/>
      <c r="AK23" s="2773"/>
    </row>
    <row r="24" spans="1:37" s="2723" customFormat="1" ht="15.75" thickBot="1">
      <c r="A24" s="2781" t="s">
        <v>812</v>
      </c>
      <c r="B24" s="2770" t="s">
        <v>2907</v>
      </c>
      <c r="C24" s="923">
        <f>SUMIF(A45:A88,E2,B45:B88)</f>
        <v>0</v>
      </c>
      <c r="D24" s="2771"/>
      <c r="E24" s="2800"/>
      <c r="F24" s="2800"/>
      <c r="G24" s="2800"/>
      <c r="H24" s="2800"/>
      <c r="I24" s="2800"/>
      <c r="J24" s="2801"/>
      <c r="K24" s="1374"/>
      <c r="N24" s="2802" t="s">
        <v>2908</v>
      </c>
      <c r="O24" s="1560"/>
      <c r="P24" s="1561">
        <f>SUMPRODUCT((地价!A3:A30=YEAR(G19)&amp;"-"&amp;ROUNDUP(MONTH(G19)/3,0))*(地价!AD2:AH2=N24)*(地价!AD3:AH30))</f>
        <v>1.3100000000000001E-2</v>
      </c>
      <c r="R24" s="1373"/>
      <c r="S24" s="1373"/>
      <c r="T24" s="1368"/>
      <c r="U24" s="1368"/>
      <c r="V24" s="1368"/>
      <c r="W24" s="1367"/>
      <c r="X24" s="1367"/>
      <c r="Y24" s="1367"/>
      <c r="Z24" s="1374"/>
      <c r="AA24" s="1375"/>
      <c r="AB24" s="1375"/>
      <c r="AC24" s="1375"/>
      <c r="AD24" s="1375"/>
      <c r="AE24" s="1375"/>
      <c r="AF24" s="1375"/>
    </row>
    <row r="25" spans="1:37" ht="15.75" thickBot="1">
      <c r="A25" s="2781" t="s">
        <v>813</v>
      </c>
      <c r="B25" s="2803" t="s">
        <v>2909</v>
      </c>
      <c r="C25" s="929"/>
      <c r="D25" s="2733"/>
      <c r="E25" s="2733"/>
      <c r="F25" s="2804"/>
      <c r="G25" s="2733"/>
      <c r="H25" s="2733"/>
      <c r="I25" s="2733"/>
      <c r="J25" s="2734"/>
      <c r="K25" s="1367"/>
      <c r="N25" s="2805" t="s">
        <v>2910</v>
      </c>
      <c r="O25" s="1562"/>
      <c r="P25" s="1561">
        <f>SUMPRODUCT((地价!A3:A30=YEAR(G19)&amp;"-"&amp;ROUNDUP(MONTH(G19)/3,0))*(地价!AD2:AH2=N25)*(地价!AD3:AH30))</f>
        <v>1.8499999999999999E-2</v>
      </c>
      <c r="R25" s="1373"/>
      <c r="S25" s="1373"/>
      <c r="T25" s="1368"/>
      <c r="U25" s="1368"/>
      <c r="V25" s="1368"/>
      <c r="W25" s="1367"/>
      <c r="X25" s="1367"/>
      <c r="Y25" s="1367"/>
      <c r="Z25" s="1374"/>
      <c r="AA25" s="1375"/>
      <c r="AB25" s="1375"/>
      <c r="AC25" s="1375"/>
      <c r="AD25" s="1375"/>
    </row>
    <row r="26" spans="1:37" ht="15">
      <c r="A26" s="2806"/>
      <c r="B26" s="2793" t="s">
        <v>2911</v>
      </c>
      <c r="C26" s="206" t="e">
        <f>E29+SUM(E33:E39)</f>
        <v>#DIV/0!</v>
      </c>
      <c r="D26" s="2807"/>
      <c r="E26" s="2758"/>
      <c r="F26" s="2808"/>
      <c r="G26" s="2758"/>
      <c r="H26" s="2758"/>
      <c r="I26" s="2758"/>
      <c r="J26" s="2809"/>
      <c r="K26" s="1367"/>
      <c r="L26" s="2762" t="s">
        <v>2809</v>
      </c>
      <c r="M26" s="919" t="s">
        <v>2874</v>
      </c>
      <c r="N26" s="919" t="s">
        <v>2875</v>
      </c>
      <c r="O26" s="919" t="s">
        <v>2876</v>
      </c>
      <c r="P26" s="2763" t="s">
        <v>2877</v>
      </c>
      <c r="R26" s="1373"/>
      <c r="S26" s="1373"/>
      <c r="T26" s="1368"/>
      <c r="U26" s="1368"/>
      <c r="V26" s="1368"/>
      <c r="W26" s="1367"/>
      <c r="X26" s="1367"/>
      <c r="Y26" s="1367"/>
      <c r="Z26" s="1374"/>
      <c r="AA26" s="1375"/>
      <c r="AB26" s="1375"/>
      <c r="AC26" s="1375"/>
      <c r="AD26" s="1375"/>
    </row>
    <row r="27" spans="1:37" ht="15.75" thickBot="1">
      <c r="A27" s="2806"/>
      <c r="B27" s="2810" t="s">
        <v>2912</v>
      </c>
      <c r="C27" s="930" t="e">
        <f>E30+SUM(I33:I39)</f>
        <v>#DIV/0!</v>
      </c>
      <c r="D27" s="2811"/>
      <c r="E27" s="2812"/>
      <c r="F27" s="2813"/>
      <c r="G27" s="2812"/>
      <c r="H27" s="2812"/>
      <c r="I27" s="2812"/>
      <c r="J27" s="2814"/>
      <c r="K27" s="1367"/>
      <c r="L27" s="2766" t="s">
        <v>2881</v>
      </c>
      <c r="M27" s="921">
        <v>0.25</v>
      </c>
      <c r="N27" s="921">
        <v>0.2</v>
      </c>
      <c r="O27" s="921">
        <v>0.15</v>
      </c>
      <c r="P27" s="1366">
        <v>0.1</v>
      </c>
      <c r="Q27" s="1373"/>
      <c r="R27" s="1373"/>
      <c r="S27" s="1373"/>
      <c r="T27" s="1368"/>
      <c r="U27" s="1368"/>
      <c r="V27" s="1368"/>
      <c r="W27" s="1367"/>
      <c r="X27" s="1367"/>
      <c r="Y27" s="1367"/>
      <c r="Z27" s="1374"/>
      <c r="AA27" s="1375"/>
      <c r="AB27" s="1375"/>
      <c r="AC27" s="1375"/>
      <c r="AD27" s="1375"/>
    </row>
    <row r="28" spans="1:37" ht="15.75" thickBot="1">
      <c r="A28" s="2815"/>
      <c r="B28" s="2816" t="s">
        <v>2913</v>
      </c>
      <c r="C28" s="2817" t="s">
        <v>2914</v>
      </c>
      <c r="D28" s="2817" t="s">
        <v>2915</v>
      </c>
      <c r="E28" s="2818" t="s">
        <v>2916</v>
      </c>
      <c r="F28" s="2819"/>
      <c r="G28" s="2746"/>
      <c r="H28" s="2746"/>
      <c r="I28" s="2746"/>
      <c r="J28" s="2747"/>
      <c r="K28" s="1367"/>
      <c r="L28" s="2767" t="s">
        <v>2884</v>
      </c>
      <c r="M28" s="211">
        <f ca="1">ROUND($E$20*(1+M27),3)</f>
        <v>5.3999999999999999E-2</v>
      </c>
      <c r="N28" s="211">
        <f ca="1">ROUND($E$20*(1+N27),3)</f>
        <v>5.1999999999999998E-2</v>
      </c>
      <c r="O28" s="211">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20"/>
      <c r="B29" s="2821" t="s">
        <v>2917</v>
      </c>
      <c r="C29" s="206" t="e">
        <f>ROUND(C5*C18*C19*C20*C21*C24,0)</f>
        <v>#DIV/0!</v>
      </c>
      <c r="D29" s="2822"/>
      <c r="E29" s="941" t="e">
        <f>ROUND(C29*D29/10000,0)</f>
        <v>#DIV/0!</v>
      </c>
      <c r="F29" s="2823" t="s">
        <v>2918</v>
      </c>
      <c r="G29" s="2824"/>
      <c r="H29" s="2824"/>
      <c r="I29" s="2824"/>
      <c r="J29" s="2825"/>
      <c r="K29" s="1367"/>
      <c r="L29" s="1367"/>
      <c r="M29" s="1367"/>
      <c r="N29" s="1367"/>
      <c r="O29" s="1372"/>
      <c r="P29" s="1372"/>
      <c r="Q29" s="1373"/>
      <c r="R29" s="1373"/>
      <c r="S29" s="1373"/>
      <c r="T29" s="1368"/>
      <c r="U29" s="1368"/>
      <c r="V29" s="1368"/>
      <c r="W29" s="1367"/>
      <c r="X29" s="1367"/>
      <c r="Y29" s="1367"/>
      <c r="Z29" s="1374"/>
      <c r="AA29" s="1375"/>
      <c r="AB29" s="1375"/>
      <c r="AC29" s="1375"/>
      <c r="AD29" s="1375"/>
      <c r="AE29" s="2768"/>
      <c r="AF29" s="2768"/>
      <c r="AG29" s="2705"/>
      <c r="AH29" s="2705"/>
      <c r="AI29" s="2705"/>
      <c r="AJ29" s="2705"/>
    </row>
    <row r="30" spans="1:37" ht="25.5" thickBot="1">
      <c r="A30" s="2826"/>
      <c r="B30" s="2827" t="s">
        <v>2919</v>
      </c>
      <c r="C30" s="229" t="e">
        <f>ROUND(IF(E2="工业",C29*M39,C29*M38),0)</f>
        <v>#DIV/0!</v>
      </c>
      <c r="D30" s="2828"/>
      <c r="E30" s="941" t="e">
        <f>ROUND(C30*D30/10000,0)</f>
        <v>#DIV/0!</v>
      </c>
      <c r="F30" s="2829" t="s">
        <v>2920</v>
      </c>
      <c r="G30" s="2830"/>
      <c r="H30" s="2830"/>
      <c r="I30" s="2830"/>
      <c r="J30" s="2831"/>
      <c r="K30" s="1367"/>
      <c r="L30" s="1367"/>
      <c r="M30" s="1367"/>
      <c r="N30" s="1367"/>
      <c r="O30" s="1372"/>
      <c r="P30" s="1372"/>
      <c r="Q30" s="1373"/>
      <c r="R30" s="1373"/>
      <c r="S30" s="1373"/>
      <c r="T30" s="1368"/>
      <c r="U30" s="1368"/>
      <c r="V30" s="1368"/>
      <c r="W30" s="1367"/>
      <c r="X30" s="1367"/>
      <c r="Y30" s="1367"/>
      <c r="Z30" s="1374"/>
      <c r="AA30" s="1375"/>
      <c r="AB30" s="1375"/>
      <c r="AC30" s="1375"/>
      <c r="AD30" s="1375"/>
      <c r="AE30" s="2768"/>
      <c r="AF30" s="2768"/>
      <c r="AG30" s="2705"/>
      <c r="AH30" s="2705"/>
      <c r="AI30" s="2705"/>
      <c r="AJ30" s="2705"/>
    </row>
    <row r="31" spans="1:37" ht="14.25">
      <c r="A31" s="2832"/>
      <c r="B31" s="2833" t="s">
        <v>2921</v>
      </c>
      <c r="C31" s="2834" t="s">
        <v>2922</v>
      </c>
      <c r="D31" s="2746"/>
      <c r="E31" s="2834"/>
      <c r="F31" s="2834"/>
      <c r="G31" s="2744" t="s">
        <v>2923</v>
      </c>
      <c r="H31" s="2746"/>
      <c r="I31" s="2835"/>
      <c r="J31" s="2747"/>
      <c r="K31" s="1367"/>
      <c r="L31" s="1367"/>
      <c r="M31" s="1367"/>
      <c r="N31" s="1367"/>
      <c r="O31" s="1372"/>
      <c r="P31" s="1372"/>
      <c r="Q31" s="1373"/>
      <c r="R31" s="1373"/>
      <c r="S31" s="1373"/>
      <c r="T31" s="1368"/>
      <c r="U31" s="1368"/>
      <c r="V31" s="1368"/>
      <c r="W31" s="1367"/>
      <c r="X31" s="1367"/>
      <c r="Y31" s="1367"/>
      <c r="Z31" s="1374"/>
      <c r="AA31" s="1375"/>
      <c r="AB31" s="1375"/>
      <c r="AC31" s="1375"/>
      <c r="AD31" s="1375"/>
      <c r="AE31" s="2768"/>
      <c r="AF31" s="2768"/>
      <c r="AG31" s="2705"/>
      <c r="AH31" s="2705"/>
      <c r="AI31" s="2705"/>
      <c r="AJ31" s="2705"/>
    </row>
    <row r="32" spans="1:37" ht="24">
      <c r="A32" s="2820"/>
      <c r="B32" s="2836"/>
      <c r="C32" s="500" t="s">
        <v>2914</v>
      </c>
      <c r="D32" s="497" t="s">
        <v>2915</v>
      </c>
      <c r="E32" s="497" t="s">
        <v>2916</v>
      </c>
      <c r="F32" s="387" t="s">
        <v>2924</v>
      </c>
      <c r="G32" s="2837" t="s">
        <v>2914</v>
      </c>
      <c r="H32" s="2837" t="s">
        <v>2915</v>
      </c>
      <c r="I32" s="2837" t="s">
        <v>2916</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68"/>
      <c r="AF32" s="2768"/>
      <c r="AG32" s="2705"/>
      <c r="AH32" s="2705"/>
      <c r="AI32" s="2705"/>
      <c r="AJ32" s="2705"/>
    </row>
    <row r="33" spans="1:37" ht="36" customHeight="1">
      <c r="A33" s="3290" t="s">
        <v>2925</v>
      </c>
      <c r="B33" s="2838" t="s">
        <v>2926</v>
      </c>
      <c r="C33" s="206" t="e">
        <f>ROUND(D5*C19*C20*C24*F33,0)</f>
        <v>#DIV/0!</v>
      </c>
      <c r="D33" s="2822"/>
      <c r="E33" s="200" t="e">
        <f>ROUND(C33*D33/10000,0)</f>
        <v>#DIV/0!</v>
      </c>
      <c r="F33" s="200">
        <f>SUMIF(修正!A45:A56,G2,修正!B45:B56)</f>
        <v>0</v>
      </c>
      <c r="G33" s="200" t="e">
        <f t="shared" ref="G33" si="6">ROUND(IF(E2="工业",C33*$M$39,C33*$M$38),0)</f>
        <v>#DIV/0!</v>
      </c>
      <c r="H33" s="200">
        <f>D33</f>
        <v>0</v>
      </c>
      <c r="I33" s="200" t="e">
        <f>ROUND(G33*H33/10000,0)</f>
        <v>#DIV/0!</v>
      </c>
      <c r="J33" s="2839"/>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91"/>
      <c r="B34" s="2750" t="s">
        <v>2927</v>
      </c>
      <c r="C34" s="206" t="e">
        <f>ROUND(D5*C19*C20*C24*F34,0)</f>
        <v>#DIV/0!</v>
      </c>
      <c r="D34" s="2822"/>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39"/>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91"/>
      <c r="B35" s="2750" t="s">
        <v>2928</v>
      </c>
      <c r="C35" s="206" t="e">
        <f>ROUND(D5*C19*C20*C24*F35,0)</f>
        <v>#DIV/0!</v>
      </c>
      <c r="D35" s="2822"/>
      <c r="E35" s="200" t="e">
        <f t="shared" si="7"/>
        <v>#DIV/0!</v>
      </c>
      <c r="F35" s="200">
        <f>SUMIF(修正!A45:A56,G2,修正!D45:D56)</f>
        <v>0</v>
      </c>
      <c r="G35" s="200" t="e">
        <f>ROUND(IF(E2="工业",C35*$M$39,C35*$M$38),0)</f>
        <v>#DIV/0!</v>
      </c>
      <c r="H35" s="200">
        <f t="shared" si="8"/>
        <v>0</v>
      </c>
      <c r="I35" s="200" t="e">
        <f t="shared" si="9"/>
        <v>#DIV/0!</v>
      </c>
      <c r="J35" s="2839"/>
      <c r="K35" s="1367"/>
      <c r="L35" s="1367"/>
      <c r="M35" s="1367"/>
      <c r="N35" s="1367"/>
      <c r="O35" s="1367"/>
      <c r="P35" s="1367"/>
      <c r="Q35" s="1367"/>
      <c r="R35" s="1367"/>
      <c r="S35" s="1367"/>
      <c r="T35" s="1367"/>
      <c r="U35" s="1367"/>
      <c r="V35" s="1367"/>
      <c r="W35" s="1367"/>
      <c r="X35" s="1367"/>
      <c r="Y35" s="1367"/>
      <c r="Z35" s="1368"/>
    </row>
    <row r="36" spans="1:37" ht="13.5" thickBot="1">
      <c r="A36" s="3292"/>
      <c r="B36" s="2750" t="s">
        <v>2929</v>
      </c>
      <c r="C36" s="206" t="e">
        <f>ROUND(D5*C19*C20*C24*F36,0)</f>
        <v>#DIV/0!</v>
      </c>
      <c r="D36" s="2822"/>
      <c r="E36" s="200" t="e">
        <f t="shared" si="7"/>
        <v>#DIV/0!</v>
      </c>
      <c r="F36" s="200">
        <f>SUMIF(修正!A45:A56,G2,修正!E45:E56)</f>
        <v>0</v>
      </c>
      <c r="G36" s="200" t="e">
        <f>ROUND(IF(E2="工业",C36*$M$39,C36*$M$38),0)</f>
        <v>#DIV/0!</v>
      </c>
      <c r="H36" s="200">
        <f t="shared" si="8"/>
        <v>0</v>
      </c>
      <c r="I36" s="200" t="e">
        <f t="shared" si="9"/>
        <v>#DIV/0!</v>
      </c>
      <c r="J36" s="2839"/>
      <c r="K36" s="1367"/>
      <c r="L36" s="2704"/>
      <c r="M36" s="2704"/>
      <c r="N36" s="1367"/>
      <c r="O36" s="1367"/>
      <c r="P36" s="1367"/>
      <c r="Q36" s="1367"/>
      <c r="R36" s="1367"/>
      <c r="S36" s="1367"/>
      <c r="T36" s="1367"/>
      <c r="U36" s="1367"/>
      <c r="V36" s="1367"/>
      <c r="W36" s="1367"/>
      <c r="X36" s="1367"/>
      <c r="Y36" s="1367"/>
      <c r="Z36" s="1368"/>
    </row>
    <row r="37" spans="1:37">
      <c r="A37" s="2840"/>
      <c r="B37" s="2750" t="s">
        <v>2930</v>
      </c>
      <c r="C37" s="200" t="e">
        <f>ROUND(D5*C19*C20*C24*F37,0)</f>
        <v>#DIV/0!</v>
      </c>
      <c r="D37" s="2822"/>
      <c r="E37" s="200" t="e">
        <f t="shared" si="7"/>
        <v>#DIV/0!</v>
      </c>
      <c r="F37" s="206">
        <f>SUMIF(修正!A45:A56,G2,修正!F45:F56)</f>
        <v>0</v>
      </c>
      <c r="G37" s="200" t="e">
        <f>ROUND(IF(E2="工业",C37*$M$39,C37*$M$38),0)</f>
        <v>#DIV/0!</v>
      </c>
      <c r="H37" s="200">
        <f t="shared" si="8"/>
        <v>0</v>
      </c>
      <c r="I37" s="200" t="e">
        <f t="shared" si="9"/>
        <v>#DIV/0!</v>
      </c>
      <c r="J37" s="2839"/>
      <c r="K37" s="1367"/>
      <c r="L37" s="2841" t="s">
        <v>2931</v>
      </c>
      <c r="M37" s="2842"/>
      <c r="N37" s="1367"/>
      <c r="O37" s="1367"/>
      <c r="P37" s="1367"/>
      <c r="Q37" s="1367"/>
      <c r="R37" s="1367"/>
      <c r="S37" s="1367"/>
      <c r="T37" s="1367"/>
      <c r="U37" s="1367"/>
      <c r="V37" s="1367"/>
      <c r="W37" s="1367"/>
      <c r="X37" s="1367"/>
      <c r="Y37" s="1367"/>
      <c r="Z37" s="1368"/>
    </row>
    <row r="38" spans="1:37">
      <c r="A38" s="2840"/>
      <c r="B38" s="2750" t="s">
        <v>2932</v>
      </c>
      <c r="C38" s="200" t="e">
        <f>ROUND(D5*C19*C41*C24*F38,0)</f>
        <v>#DIV/0!</v>
      </c>
      <c r="D38" s="2822"/>
      <c r="E38" s="200" t="e">
        <f t="shared" si="7"/>
        <v>#DIV/0!</v>
      </c>
      <c r="F38" s="206">
        <f>SUMIF(修正!A45:A56,G2,修正!G45:G56)</f>
        <v>0</v>
      </c>
      <c r="G38" s="200" t="e">
        <f>ROUND(IF(E2="工业",C38*$M$39,C38*$M$38),0)</f>
        <v>#DIV/0!</v>
      </c>
      <c r="H38" s="200">
        <f t="shared" si="8"/>
        <v>0</v>
      </c>
      <c r="I38" s="200" t="e">
        <f t="shared" si="9"/>
        <v>#DIV/0!</v>
      </c>
      <c r="J38" s="2839"/>
      <c r="K38" s="1367"/>
      <c r="L38" s="1876" t="s">
        <v>2933</v>
      </c>
      <c r="M38" s="2843">
        <v>0.25</v>
      </c>
      <c r="N38" s="1367"/>
      <c r="O38" s="1367"/>
      <c r="P38" s="1367"/>
      <c r="Q38" s="1367"/>
      <c r="R38" s="1367"/>
      <c r="S38" s="1367"/>
      <c r="T38" s="1367"/>
      <c r="U38" s="1367"/>
      <c r="V38" s="1367"/>
      <c r="W38" s="1367"/>
      <c r="X38" s="1367"/>
      <c r="Y38" s="1367"/>
      <c r="Z38" s="1368"/>
    </row>
    <row r="39" spans="1:37" ht="13.5" thickBot="1">
      <c r="A39" s="2826"/>
      <c r="B39" s="2844" t="s">
        <v>2934</v>
      </c>
      <c r="C39" s="229" t="e">
        <f>ROUND(D5*C19*C41*C24*F39,0)</f>
        <v>#DIV/0!</v>
      </c>
      <c r="D39" s="2828"/>
      <c r="E39" s="229" t="e">
        <f t="shared" si="7"/>
        <v>#DIV/0!</v>
      </c>
      <c r="F39" s="931">
        <f>SUMIF(修正!A45:A56,G2,修正!H45:H56)</f>
        <v>0</v>
      </c>
      <c r="G39" s="229" t="e">
        <f>ROUND(IF(E2="工业",C39*$M$39,C39*$M$38),0)</f>
        <v>#DIV/0!</v>
      </c>
      <c r="H39" s="229">
        <f t="shared" si="8"/>
        <v>0</v>
      </c>
      <c r="I39" s="229" t="e">
        <f t="shared" si="9"/>
        <v>#DIV/0!</v>
      </c>
      <c r="J39" s="2845"/>
      <c r="K39" s="1367"/>
      <c r="L39" s="2846" t="s">
        <v>2877</v>
      </c>
      <c r="M39" s="2847">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15" t="s">
        <v>3042</v>
      </c>
      <c r="C41" s="387" t="e">
        <f>ROUND(POWER(1+E41,H41-G41)*(POWER(1+E41,G41)-1)/(POWER(1+E41,H41)-1),4)</f>
        <v>#DIV/0!</v>
      </c>
      <c r="D41" s="200" t="s">
        <v>2884</v>
      </c>
      <c r="E41" s="2914">
        <f>G20</f>
        <v>0</v>
      </c>
      <c r="F41" s="200" t="s">
        <v>2893</v>
      </c>
      <c r="G41" s="218"/>
      <c r="H41" s="200">
        <v>50</v>
      </c>
      <c r="Z41" s="1368"/>
      <c r="AA41" s="1368"/>
      <c r="AB41" s="1368"/>
      <c r="AC41" s="1368"/>
      <c r="AD41" s="1368"/>
      <c r="AE41" s="1368"/>
      <c r="AF41" s="1368"/>
      <c r="AG41" s="1368"/>
      <c r="AH41" s="1368"/>
      <c r="AI41" s="1368"/>
      <c r="AJ41" s="1368"/>
    </row>
    <row r="42" spans="1:37" s="1367" customFormat="1">
      <c r="A42" s="1368"/>
      <c r="B42" s="2848"/>
      <c r="Z42" s="1368"/>
      <c r="AA42" s="1368"/>
      <c r="AB42" s="1368"/>
      <c r="AC42" s="1368"/>
      <c r="AD42" s="1368"/>
      <c r="AE42" s="1368"/>
      <c r="AF42" s="1368"/>
      <c r="AG42" s="1368"/>
      <c r="AH42" s="1368"/>
      <c r="AI42" s="1368"/>
      <c r="AJ42" s="1368"/>
    </row>
    <row r="43" spans="1:37" s="1367" customFormat="1">
      <c r="A43" s="1368"/>
      <c r="B43" s="2848"/>
      <c r="Z43" s="1368"/>
      <c r="AA43" s="1368"/>
      <c r="AB43" s="1368"/>
      <c r="AC43" s="1368"/>
      <c r="AD43" s="1368"/>
      <c r="AE43" s="1368"/>
      <c r="AF43" s="1368"/>
      <c r="AG43" s="1368"/>
      <c r="AH43" s="1368"/>
      <c r="AI43" s="1368"/>
      <c r="AJ43" s="1368"/>
    </row>
    <row r="44" spans="1:37" s="1367" customFormat="1">
      <c r="A44" s="1368"/>
      <c r="B44" s="2848"/>
      <c r="Z44" s="1368"/>
      <c r="AA44" s="1368"/>
      <c r="AB44" s="1368"/>
      <c r="AC44" s="1368"/>
      <c r="AD44" s="1368"/>
      <c r="AE44" s="1368"/>
      <c r="AF44" s="1368"/>
      <c r="AG44" s="1368"/>
      <c r="AH44" s="1368"/>
      <c r="AI44" s="1368"/>
      <c r="AJ44" s="1368"/>
    </row>
    <row r="45" spans="1:37" s="1367" customFormat="1" ht="15.75" thickBot="1">
      <c r="A45" s="2849" t="s">
        <v>2935</v>
      </c>
      <c r="B45" s="2850"/>
      <c r="C45" s="7"/>
      <c r="D45" s="7"/>
      <c r="E45" s="7"/>
      <c r="F45" s="6"/>
      <c r="G45" s="6"/>
      <c r="H45" s="6"/>
      <c r="I45" s="7"/>
      <c r="J45" s="7"/>
      <c r="K45" s="7"/>
      <c r="L45" s="7"/>
      <c r="M45" s="7"/>
      <c r="N45" s="2768"/>
      <c r="Z45" s="1368"/>
      <c r="AA45" s="1368"/>
      <c r="AB45" s="1368"/>
      <c r="AC45" s="1368"/>
      <c r="AD45" s="1368"/>
      <c r="AE45" s="1368"/>
      <c r="AF45" s="1368"/>
      <c r="AG45" s="1368"/>
      <c r="AH45" s="1368"/>
      <c r="AI45" s="1368"/>
      <c r="AJ45" s="1368"/>
    </row>
    <row r="46" spans="1:37" s="1367" customFormat="1" ht="15">
      <c r="A46" s="2851" t="s">
        <v>2936</v>
      </c>
      <c r="B46" s="2852">
        <f>1+E48</f>
        <v>1</v>
      </c>
      <c r="C46" s="2853"/>
      <c r="D46" s="813"/>
      <c r="E46" s="814"/>
      <c r="F46" s="2854"/>
      <c r="G46" s="6"/>
      <c r="H46" s="7"/>
      <c r="I46" s="7"/>
      <c r="J46" s="7"/>
      <c r="K46" s="7"/>
      <c r="L46" s="7"/>
      <c r="M46" s="7"/>
      <c r="N46" s="2768"/>
      <c r="Z46" s="1368"/>
      <c r="AA46" s="1368"/>
      <c r="AB46" s="1368"/>
      <c r="AC46" s="1368"/>
      <c r="AD46" s="1368"/>
      <c r="AE46" s="1368"/>
      <c r="AF46" s="1368"/>
      <c r="AG46" s="1368"/>
      <c r="AH46" s="1368"/>
      <c r="AI46" s="1368"/>
      <c r="AJ46" s="1368"/>
    </row>
    <row r="47" spans="1:37" s="1367" customFormat="1" ht="24.75">
      <c r="A47" s="2855" t="s">
        <v>2937</v>
      </c>
      <c r="B47" s="1798" t="s">
        <v>2938</v>
      </c>
      <c r="C47" s="1798" t="s">
        <v>2939</v>
      </c>
      <c r="D47" s="1798" t="s">
        <v>2940</v>
      </c>
      <c r="E47" s="818" t="s">
        <v>2941</v>
      </c>
      <c r="F47" s="2856" t="s">
        <v>2942</v>
      </c>
      <c r="G47" s="1798" t="s">
        <v>754</v>
      </c>
      <c r="H47" s="2857" t="s">
        <v>2943</v>
      </c>
      <c r="I47" s="1798" t="s">
        <v>2944</v>
      </c>
      <c r="J47" s="602" t="s">
        <v>2592</v>
      </c>
      <c r="K47" s="602" t="s">
        <v>2593</v>
      </c>
      <c r="L47" s="602" t="s">
        <v>2594</v>
      </c>
      <c r="M47" s="602" t="s">
        <v>2595</v>
      </c>
      <c r="N47" s="602" t="s">
        <v>2596</v>
      </c>
      <c r="AA47" s="1368"/>
      <c r="AB47" s="1368"/>
      <c r="AC47" s="1368"/>
      <c r="AD47" s="1368"/>
      <c r="AE47" s="1368"/>
      <c r="AF47" s="1368"/>
      <c r="AG47" s="1368"/>
      <c r="AH47" s="1368"/>
      <c r="AI47" s="1368"/>
      <c r="AJ47" s="1368"/>
      <c r="AK47" s="1368"/>
    </row>
    <row r="48" spans="1:37" s="1367" customFormat="1" ht="38.25">
      <c r="A48" s="2855" t="s">
        <v>2945</v>
      </c>
      <c r="B48" s="2858" t="str">
        <f>估价对象房地状况!C4</f>
        <v>估价对象位于XX商圈，周边商业氛围成熟，人流量大，商业繁华度好</v>
      </c>
      <c r="C48" s="2755"/>
      <c r="D48" s="1285">
        <f t="shared" ref="D48:D56" si="10">SUMIF($J$47:$N$47,C48,J48:N48)</f>
        <v>0</v>
      </c>
      <c r="E48" s="820">
        <f>ROUND(SUM(D48:D56),4)</f>
        <v>0</v>
      </c>
      <c r="F48" s="2488"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68"/>
      <c r="AB48" s="1368"/>
      <c r="AC48" s="1368"/>
      <c r="AD48" s="1368"/>
      <c r="AE48" s="1368"/>
      <c r="AF48" s="1368"/>
      <c r="AG48" s="1368"/>
      <c r="AH48" s="1368"/>
      <c r="AI48" s="1368"/>
      <c r="AJ48" s="1368"/>
      <c r="AK48" s="1368"/>
    </row>
    <row r="49" spans="1:37" s="1367" customFormat="1" ht="51">
      <c r="A49" s="2855" t="s">
        <v>2946</v>
      </c>
      <c r="B49" s="2859" t="str">
        <f>估价对象房地状况!C18</f>
        <v>估价对象周边道路状况、公共交通通达情况、停车便捷程度，综合评价交通便捷度较好</v>
      </c>
      <c r="C49" s="2755"/>
      <c r="D49" s="1285">
        <f t="shared" si="10"/>
        <v>0</v>
      </c>
      <c r="E49" s="821"/>
      <c r="F49" s="2488"/>
      <c r="G49" s="1283"/>
      <c r="H49" s="1287" t="str">
        <f t="shared" si="11"/>
        <v>——</v>
      </c>
      <c r="I49" s="819">
        <v>0.25</v>
      </c>
      <c r="J49" s="1284">
        <f t="shared" si="12"/>
        <v>0</v>
      </c>
      <c r="K49" s="1284">
        <f t="shared" si="13"/>
        <v>0</v>
      </c>
      <c r="L49" s="1284">
        <v>0</v>
      </c>
      <c r="M49" s="1284">
        <f t="shared" si="14"/>
        <v>0</v>
      </c>
      <c r="N49" s="1284">
        <f t="shared" si="14"/>
        <v>0</v>
      </c>
      <c r="AA49" s="1368"/>
      <c r="AB49" s="1368"/>
      <c r="AC49" s="1368"/>
      <c r="AD49" s="1368"/>
      <c r="AE49" s="1368"/>
      <c r="AF49" s="1368"/>
      <c r="AG49" s="1368"/>
      <c r="AH49" s="1368"/>
      <c r="AI49" s="1368"/>
      <c r="AJ49" s="1368"/>
      <c r="AK49" s="1368"/>
    </row>
    <row r="50" spans="1:37" s="1367" customFormat="1" ht="24">
      <c r="A50" s="2855" t="s">
        <v>2947</v>
      </c>
      <c r="B50" s="2859">
        <f>估价对象房地状况!C19</f>
        <v>0</v>
      </c>
      <c r="C50" s="2755"/>
      <c r="D50" s="1285">
        <f t="shared" si="10"/>
        <v>0</v>
      </c>
      <c r="E50" s="821"/>
      <c r="F50" s="2488"/>
      <c r="G50" s="1283"/>
      <c r="H50" s="1287" t="str">
        <f t="shared" si="11"/>
        <v>——</v>
      </c>
      <c r="I50" s="819">
        <v>0.05</v>
      </c>
      <c r="J50" s="1284">
        <f t="shared" si="12"/>
        <v>0</v>
      </c>
      <c r="K50" s="1284">
        <f t="shared" si="13"/>
        <v>0</v>
      </c>
      <c r="L50" s="1284">
        <v>0</v>
      </c>
      <c r="M50" s="1284">
        <f t="shared" si="14"/>
        <v>0</v>
      </c>
      <c r="N50" s="1284">
        <f t="shared" si="14"/>
        <v>0</v>
      </c>
      <c r="AA50" s="1368"/>
      <c r="AB50" s="1368"/>
      <c r="AC50" s="1368"/>
      <c r="AD50" s="1368"/>
      <c r="AE50" s="1368"/>
      <c r="AF50" s="1368"/>
      <c r="AG50" s="1368"/>
      <c r="AH50" s="1368"/>
      <c r="AI50" s="1368"/>
      <c r="AJ50" s="1368"/>
      <c r="AK50" s="1368"/>
    </row>
    <row r="51" spans="1:37" s="1367" customFormat="1" ht="36.75">
      <c r="A51" s="2855" t="s">
        <v>2948</v>
      </c>
      <c r="B51" s="2860" t="s">
        <v>2949</v>
      </c>
      <c r="C51" s="2755"/>
      <c r="D51" s="1285">
        <f t="shared" si="10"/>
        <v>0</v>
      </c>
      <c r="E51" s="821"/>
      <c r="F51" s="2488"/>
      <c r="G51" s="1283"/>
      <c r="H51" s="1287" t="str">
        <f t="shared" si="11"/>
        <v>——</v>
      </c>
      <c r="I51" s="819">
        <v>0.05</v>
      </c>
      <c r="J51" s="1284">
        <f t="shared" si="12"/>
        <v>0</v>
      </c>
      <c r="K51" s="1284">
        <f t="shared" si="13"/>
        <v>0</v>
      </c>
      <c r="L51" s="1284">
        <v>0</v>
      </c>
      <c r="M51" s="1284">
        <f t="shared" si="14"/>
        <v>0</v>
      </c>
      <c r="N51" s="1284">
        <f t="shared" si="14"/>
        <v>0</v>
      </c>
      <c r="AA51" s="1368"/>
      <c r="AB51" s="1368"/>
      <c r="AC51" s="1368"/>
      <c r="AD51" s="1368"/>
      <c r="AE51" s="1368"/>
      <c r="AF51" s="1368"/>
      <c r="AG51" s="1368"/>
      <c r="AH51" s="1368"/>
      <c r="AI51" s="1368"/>
      <c r="AJ51" s="1368"/>
      <c r="AK51" s="1368"/>
    </row>
    <row r="52" spans="1:37" s="1367" customFormat="1" ht="24">
      <c r="A52" s="2855" t="s">
        <v>2950</v>
      </c>
      <c r="B52" s="2859">
        <f>估价对象房地状况!C24</f>
        <v>0</v>
      </c>
      <c r="C52" s="2755"/>
      <c r="D52" s="1285">
        <f t="shared" si="10"/>
        <v>0</v>
      </c>
      <c r="E52" s="821"/>
      <c r="F52" s="2488"/>
      <c r="G52" s="1283"/>
      <c r="H52" s="1287" t="str">
        <f t="shared" si="11"/>
        <v>——</v>
      </c>
      <c r="I52" s="819">
        <v>0.08</v>
      </c>
      <c r="J52" s="1284">
        <f t="shared" si="12"/>
        <v>0</v>
      </c>
      <c r="K52" s="1284">
        <f t="shared" si="13"/>
        <v>0</v>
      </c>
      <c r="L52" s="1284">
        <v>0</v>
      </c>
      <c r="M52" s="1284">
        <f t="shared" si="14"/>
        <v>0</v>
      </c>
      <c r="N52" s="1284">
        <f t="shared" si="14"/>
        <v>0</v>
      </c>
      <c r="AA52" s="1368"/>
      <c r="AB52" s="1368"/>
      <c r="AC52" s="1368"/>
      <c r="AD52" s="1368"/>
      <c r="AE52" s="1368"/>
      <c r="AF52" s="1368"/>
      <c r="AG52" s="1368"/>
      <c r="AH52" s="1368"/>
      <c r="AI52" s="1368"/>
      <c r="AJ52" s="1368"/>
      <c r="AK52" s="1368"/>
    </row>
    <row r="53" spans="1:37" s="1367" customFormat="1" ht="24">
      <c r="A53" s="2855" t="s">
        <v>2951</v>
      </c>
      <c r="B53" s="2861" t="s">
        <v>2952</v>
      </c>
      <c r="C53" s="2755"/>
      <c r="D53" s="1285">
        <f t="shared" si="10"/>
        <v>0</v>
      </c>
      <c r="E53" s="821"/>
      <c r="F53" s="2488"/>
      <c r="G53" s="1283"/>
      <c r="H53" s="1287" t="str">
        <f t="shared" si="11"/>
        <v>——</v>
      </c>
      <c r="I53" s="819">
        <v>0.03</v>
      </c>
      <c r="J53" s="1284">
        <f t="shared" si="12"/>
        <v>0</v>
      </c>
      <c r="K53" s="1284">
        <f t="shared" si="13"/>
        <v>0</v>
      </c>
      <c r="L53" s="1284">
        <v>0</v>
      </c>
      <c r="M53" s="1284">
        <f t="shared" si="14"/>
        <v>0</v>
      </c>
      <c r="N53" s="1284">
        <f t="shared" si="14"/>
        <v>0</v>
      </c>
      <c r="AA53" s="1368"/>
      <c r="AB53" s="1368"/>
      <c r="AC53" s="1368"/>
      <c r="AD53" s="1368"/>
      <c r="AE53" s="1368"/>
      <c r="AF53" s="1368"/>
      <c r="AG53" s="1368"/>
      <c r="AH53" s="1368"/>
      <c r="AI53" s="1368"/>
      <c r="AJ53" s="1368"/>
      <c r="AK53" s="1368"/>
    </row>
    <row r="54" spans="1:37" s="1367" customFormat="1" ht="25.5">
      <c r="A54" s="2862" t="s">
        <v>2953</v>
      </c>
      <c r="B54" s="1722" t="str">
        <f>估价对象房地状况!C21</f>
        <v>估价对象所在区域公共配套设施齐备情况</v>
      </c>
      <c r="C54" s="2755"/>
      <c r="D54" s="1285">
        <f t="shared" si="10"/>
        <v>0</v>
      </c>
      <c r="E54" s="821"/>
      <c r="F54" s="2488"/>
      <c r="G54" s="1283"/>
      <c r="H54" s="1287" t="str">
        <f t="shared" si="11"/>
        <v>——</v>
      </c>
      <c r="I54" s="819">
        <v>0.05</v>
      </c>
      <c r="J54" s="1284">
        <f t="shared" si="12"/>
        <v>0</v>
      </c>
      <c r="K54" s="1284">
        <f t="shared" si="13"/>
        <v>0</v>
      </c>
      <c r="L54" s="1284">
        <v>0</v>
      </c>
      <c r="M54" s="1284">
        <f t="shared" si="14"/>
        <v>0</v>
      </c>
      <c r="N54" s="1284">
        <f t="shared" si="14"/>
        <v>0</v>
      </c>
      <c r="AA54" s="1368"/>
      <c r="AB54" s="1368"/>
      <c r="AC54" s="1368"/>
      <c r="AD54" s="1368"/>
      <c r="AE54" s="1368"/>
      <c r="AF54" s="1368"/>
      <c r="AG54" s="1368"/>
      <c r="AH54" s="1368"/>
      <c r="AI54" s="1368"/>
      <c r="AJ54" s="1368"/>
      <c r="AK54" s="1368"/>
    </row>
    <row r="55" spans="1:37" s="1367" customFormat="1" ht="25.5">
      <c r="A55" s="2862" t="s">
        <v>2954</v>
      </c>
      <c r="B55" s="2859" t="str">
        <f>估价对象房地状况!C22</f>
        <v>估价对象所在区域基础设施水平</v>
      </c>
      <c r="C55" s="2755"/>
      <c r="D55" s="1285">
        <f t="shared" si="10"/>
        <v>0</v>
      </c>
      <c r="E55" s="821"/>
      <c r="F55" s="2488"/>
      <c r="G55" s="1283"/>
      <c r="H55" s="1287" t="str">
        <f t="shared" si="11"/>
        <v>——</v>
      </c>
      <c r="I55" s="819">
        <v>0.1</v>
      </c>
      <c r="J55" s="1284">
        <f t="shared" si="12"/>
        <v>0</v>
      </c>
      <c r="K55" s="1284">
        <f t="shared" si="13"/>
        <v>0</v>
      </c>
      <c r="L55" s="1284">
        <v>0</v>
      </c>
      <c r="M55" s="1284">
        <f t="shared" si="14"/>
        <v>0</v>
      </c>
      <c r="N55" s="1284">
        <f t="shared" si="14"/>
        <v>0</v>
      </c>
      <c r="AA55" s="1368"/>
      <c r="AB55" s="1368"/>
      <c r="AC55" s="1368"/>
      <c r="AD55" s="1368"/>
      <c r="AE55" s="1368"/>
      <c r="AF55" s="1368"/>
      <c r="AG55" s="1368"/>
      <c r="AH55" s="1368"/>
      <c r="AI55" s="1368"/>
      <c r="AJ55" s="1368"/>
      <c r="AK55" s="1368"/>
    </row>
    <row r="56" spans="1:37" s="1367" customFormat="1" ht="39" thickBot="1">
      <c r="A56" s="2863" t="s">
        <v>2955</v>
      </c>
      <c r="B56" s="2864" t="str">
        <f>估价对象房地状况!C20</f>
        <v>区域自然环境：；人文环境；综合评价环境状况一般</v>
      </c>
      <c r="C56" s="2755"/>
      <c r="D56" s="1285">
        <f t="shared" si="10"/>
        <v>0</v>
      </c>
      <c r="E56" s="824"/>
      <c r="F56" s="2488"/>
      <c r="G56" s="1283"/>
      <c r="H56" s="1287" t="str">
        <f t="shared" si="11"/>
        <v>——</v>
      </c>
      <c r="I56" s="823">
        <v>0.06</v>
      </c>
      <c r="J56" s="1284">
        <f t="shared" si="12"/>
        <v>0</v>
      </c>
      <c r="K56" s="1284">
        <f t="shared" si="13"/>
        <v>0</v>
      </c>
      <c r="L56" s="1284">
        <v>0</v>
      </c>
      <c r="M56" s="1284">
        <f t="shared" si="14"/>
        <v>0</v>
      </c>
      <c r="N56" s="1284">
        <f t="shared" si="14"/>
        <v>0</v>
      </c>
      <c r="AA56" s="1368"/>
      <c r="AB56" s="1368"/>
      <c r="AC56" s="1368"/>
      <c r="AD56" s="1368"/>
      <c r="AE56" s="1368"/>
      <c r="AF56" s="1368"/>
      <c r="AG56" s="1368"/>
      <c r="AH56" s="1368"/>
      <c r="AI56" s="1368"/>
      <c r="AJ56" s="1368"/>
      <c r="AK56" s="1368"/>
    </row>
    <row r="57" spans="1:37" s="1367" customFormat="1" ht="15">
      <c r="A57" s="2851" t="s">
        <v>2956</v>
      </c>
      <c r="B57" s="2852">
        <f>1+E59</f>
        <v>1</v>
      </c>
      <c r="C57" s="813"/>
      <c r="D57" s="813"/>
      <c r="E57" s="814"/>
      <c r="F57" s="2854"/>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55" t="s">
        <v>2937</v>
      </c>
      <c r="B58" s="1798"/>
      <c r="C58" s="1798" t="s">
        <v>2939</v>
      </c>
      <c r="D58" s="1798" t="s">
        <v>2940</v>
      </c>
      <c r="E58" s="818" t="s">
        <v>2941</v>
      </c>
      <c r="F58" s="2856" t="s">
        <v>2957</v>
      </c>
      <c r="G58" s="1798" t="s">
        <v>754</v>
      </c>
      <c r="H58" s="2857" t="s">
        <v>2943</v>
      </c>
      <c r="I58" s="1798" t="s">
        <v>2944</v>
      </c>
      <c r="J58" s="602" t="s">
        <v>2592</v>
      </c>
      <c r="K58" s="602" t="s">
        <v>2593</v>
      </c>
      <c r="L58" s="602" t="s">
        <v>2594</v>
      </c>
      <c r="M58" s="602" t="s">
        <v>2595</v>
      </c>
      <c r="N58" s="602" t="s">
        <v>2596</v>
      </c>
      <c r="AA58" s="1368"/>
      <c r="AB58" s="1368"/>
      <c r="AC58" s="1368"/>
      <c r="AD58" s="1368"/>
      <c r="AE58" s="1368"/>
      <c r="AF58" s="1368"/>
      <c r="AG58" s="1368"/>
      <c r="AH58" s="1368"/>
      <c r="AI58" s="1368"/>
      <c r="AJ58" s="1368"/>
      <c r="AK58" s="1368"/>
    </row>
    <row r="59" spans="1:37" s="1367" customFormat="1" ht="38.25">
      <c r="A59" s="2855" t="s">
        <v>2958</v>
      </c>
      <c r="B59" s="2858" t="str">
        <f>估价对象房地状况!C17</f>
        <v>估价对象位于XX商圈，周边办公楼项目较多，入驻率高，办公集聚程度较好</v>
      </c>
      <c r="C59" s="2755"/>
      <c r="D59" s="1285">
        <f t="shared" ref="D59:D67" si="15">SUMIF($J$58:$N$58,C59,J59:N59)</f>
        <v>0</v>
      </c>
      <c r="E59" s="820">
        <f>ROUND(SUM(D59:D67),4)</f>
        <v>0</v>
      </c>
      <c r="F59" s="2488"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68"/>
      <c r="AB59" s="1368"/>
      <c r="AC59" s="1368"/>
      <c r="AD59" s="1368"/>
      <c r="AE59" s="1368"/>
      <c r="AF59" s="1368"/>
      <c r="AG59" s="1368"/>
      <c r="AH59" s="1368"/>
      <c r="AI59" s="1368"/>
      <c r="AJ59" s="1368"/>
      <c r="AK59" s="1368"/>
    </row>
    <row r="60" spans="1:37" s="1367" customFormat="1" ht="51">
      <c r="A60" s="2855" t="s">
        <v>2946</v>
      </c>
      <c r="B60" s="2859" t="str">
        <f>估价对象房地状况!C18</f>
        <v>估价对象周边道路状况、公共交通通达情况、停车便捷程度，综合评价交通便捷度较好</v>
      </c>
      <c r="C60" s="2755"/>
      <c r="D60" s="1285">
        <f t="shared" si="15"/>
        <v>0</v>
      </c>
      <c r="E60" s="821"/>
      <c r="F60" s="2488"/>
      <c r="G60" s="1283"/>
      <c r="H60" s="1287" t="str">
        <f t="shared" si="16"/>
        <v>——</v>
      </c>
      <c r="I60" s="819">
        <v>0.3</v>
      </c>
      <c r="J60" s="1284">
        <f t="shared" si="17"/>
        <v>0</v>
      </c>
      <c r="K60" s="1284">
        <f t="shared" si="18"/>
        <v>0</v>
      </c>
      <c r="L60" s="1284">
        <v>0</v>
      </c>
      <c r="M60" s="1284">
        <f t="shared" si="19"/>
        <v>0</v>
      </c>
      <c r="N60" s="1284">
        <f t="shared" si="19"/>
        <v>0</v>
      </c>
      <c r="AA60" s="1368"/>
      <c r="AB60" s="1368"/>
      <c r="AC60" s="1368"/>
      <c r="AD60" s="1368"/>
      <c r="AE60" s="1368"/>
      <c r="AF60" s="1368"/>
      <c r="AG60" s="1368"/>
      <c r="AH60" s="1368"/>
      <c r="AI60" s="1368"/>
      <c r="AJ60" s="1368"/>
      <c r="AK60" s="1368"/>
    </row>
    <row r="61" spans="1:37" s="1367" customFormat="1" ht="24">
      <c r="A61" s="2855" t="s">
        <v>2947</v>
      </c>
      <c r="B61" s="2859">
        <f>估价对象房地状况!C19</f>
        <v>0</v>
      </c>
      <c r="C61" s="2755"/>
      <c r="D61" s="1285">
        <f t="shared" si="15"/>
        <v>0</v>
      </c>
      <c r="E61" s="821"/>
      <c r="F61" s="2488"/>
      <c r="G61" s="1283"/>
      <c r="H61" s="1287" t="str">
        <f t="shared" si="16"/>
        <v>——</v>
      </c>
      <c r="I61" s="819">
        <v>0.08</v>
      </c>
      <c r="J61" s="1284">
        <f t="shared" si="17"/>
        <v>0</v>
      </c>
      <c r="K61" s="1284">
        <f t="shared" si="18"/>
        <v>0</v>
      </c>
      <c r="L61" s="1284">
        <v>0</v>
      </c>
      <c r="M61" s="1284">
        <f t="shared" si="19"/>
        <v>0</v>
      </c>
      <c r="N61" s="1284">
        <f t="shared" si="19"/>
        <v>0</v>
      </c>
      <c r="AA61" s="1368"/>
      <c r="AB61" s="1368"/>
      <c r="AC61" s="1368"/>
      <c r="AD61" s="1368"/>
      <c r="AE61" s="1368"/>
      <c r="AF61" s="1368"/>
      <c r="AG61" s="1368"/>
      <c r="AH61" s="1368"/>
      <c r="AI61" s="1368"/>
      <c r="AJ61" s="1368"/>
      <c r="AK61" s="1368"/>
    </row>
    <row r="62" spans="1:37" s="1367" customFormat="1" ht="36.75">
      <c r="A62" s="2855" t="s">
        <v>2948</v>
      </c>
      <c r="B62" s="2860" t="s">
        <v>2949</v>
      </c>
      <c r="C62" s="2755"/>
      <c r="D62" s="1285">
        <f t="shared" si="15"/>
        <v>0</v>
      </c>
      <c r="E62" s="821"/>
      <c r="F62" s="2488"/>
      <c r="G62" s="1283"/>
      <c r="H62" s="1287" t="str">
        <f t="shared" si="16"/>
        <v>——</v>
      </c>
      <c r="I62" s="819">
        <v>0.04</v>
      </c>
      <c r="J62" s="1284">
        <f t="shared" si="17"/>
        <v>0</v>
      </c>
      <c r="K62" s="1284">
        <f t="shared" si="18"/>
        <v>0</v>
      </c>
      <c r="L62" s="1284">
        <v>0</v>
      </c>
      <c r="M62" s="1284">
        <f t="shared" si="19"/>
        <v>0</v>
      </c>
      <c r="N62" s="1284">
        <f t="shared" si="19"/>
        <v>0</v>
      </c>
      <c r="AA62" s="1368"/>
      <c r="AB62" s="1368"/>
      <c r="AC62" s="1368"/>
      <c r="AD62" s="1368"/>
      <c r="AE62" s="1368"/>
      <c r="AF62" s="1368"/>
      <c r="AG62" s="1368"/>
      <c r="AH62" s="1368"/>
      <c r="AI62" s="1368"/>
      <c r="AJ62" s="1368"/>
      <c r="AK62" s="1368"/>
    </row>
    <row r="63" spans="1:37" s="1367" customFormat="1" ht="24">
      <c r="A63" s="2855" t="s">
        <v>2950</v>
      </c>
      <c r="B63" s="2859">
        <f>估价对象房地状况!C24</f>
        <v>0</v>
      </c>
      <c r="C63" s="2755"/>
      <c r="D63" s="1285">
        <f t="shared" si="15"/>
        <v>0</v>
      </c>
      <c r="E63" s="821"/>
      <c r="F63" s="2488"/>
      <c r="G63" s="1283"/>
      <c r="H63" s="1287" t="str">
        <f t="shared" si="16"/>
        <v>——</v>
      </c>
      <c r="I63" s="819">
        <v>0.05</v>
      </c>
      <c r="J63" s="1284">
        <f t="shared" si="17"/>
        <v>0</v>
      </c>
      <c r="K63" s="1284">
        <f t="shared" si="18"/>
        <v>0</v>
      </c>
      <c r="L63" s="1284">
        <v>0</v>
      </c>
      <c r="M63" s="1284">
        <f t="shared" si="19"/>
        <v>0</v>
      </c>
      <c r="N63" s="1284">
        <f t="shared" si="19"/>
        <v>0</v>
      </c>
      <c r="AA63" s="1368"/>
      <c r="AB63" s="1368"/>
      <c r="AC63" s="1368"/>
      <c r="AD63" s="1368"/>
      <c r="AE63" s="1368"/>
      <c r="AF63" s="1368"/>
      <c r="AG63" s="1368"/>
      <c r="AH63" s="1368"/>
      <c r="AI63" s="1368"/>
      <c r="AJ63" s="1368"/>
      <c r="AK63" s="1368"/>
    </row>
    <row r="64" spans="1:37" s="1367" customFormat="1" ht="24">
      <c r="A64" s="2855" t="s">
        <v>2951</v>
      </c>
      <c r="B64" s="2861" t="s">
        <v>2952</v>
      </c>
      <c r="C64" s="2755"/>
      <c r="D64" s="1285">
        <f t="shared" si="15"/>
        <v>0</v>
      </c>
      <c r="E64" s="821"/>
      <c r="F64" s="2488"/>
      <c r="G64" s="1283"/>
      <c r="H64" s="1287" t="str">
        <f t="shared" si="16"/>
        <v>——</v>
      </c>
      <c r="I64" s="819">
        <v>0.05</v>
      </c>
      <c r="J64" s="1284">
        <f t="shared" si="17"/>
        <v>0</v>
      </c>
      <c r="K64" s="1284">
        <f t="shared" si="18"/>
        <v>0</v>
      </c>
      <c r="L64" s="1284">
        <v>0</v>
      </c>
      <c r="M64" s="1284">
        <f t="shared" si="19"/>
        <v>0</v>
      </c>
      <c r="N64" s="1284">
        <f t="shared" si="19"/>
        <v>0</v>
      </c>
      <c r="AA64" s="1368"/>
      <c r="AB64" s="1368"/>
      <c r="AC64" s="1368"/>
      <c r="AD64" s="1368"/>
      <c r="AE64" s="1368"/>
      <c r="AF64" s="1368"/>
      <c r="AG64" s="1368"/>
      <c r="AH64" s="1368"/>
      <c r="AI64" s="1368"/>
      <c r="AJ64" s="1368"/>
      <c r="AK64" s="1368"/>
    </row>
    <row r="65" spans="1:37" s="1367" customFormat="1" ht="25.5">
      <c r="A65" s="2855" t="s">
        <v>2953</v>
      </c>
      <c r="B65" s="1722" t="str">
        <f>估价对象房地状况!C21</f>
        <v>估价对象所在区域公共配套设施齐备情况</v>
      </c>
      <c r="C65" s="2755"/>
      <c r="D65" s="1285">
        <f t="shared" si="15"/>
        <v>0</v>
      </c>
      <c r="E65" s="821"/>
      <c r="F65" s="2488"/>
      <c r="G65" s="1283"/>
      <c r="H65" s="1287" t="str">
        <f t="shared" si="16"/>
        <v>——</v>
      </c>
      <c r="I65" s="819">
        <v>0.06</v>
      </c>
      <c r="J65" s="1284">
        <f t="shared" si="17"/>
        <v>0</v>
      </c>
      <c r="K65" s="1284">
        <f t="shared" si="18"/>
        <v>0</v>
      </c>
      <c r="L65" s="1284">
        <v>0</v>
      </c>
      <c r="M65" s="1284">
        <f t="shared" si="19"/>
        <v>0</v>
      </c>
      <c r="N65" s="1284">
        <f t="shared" si="19"/>
        <v>0</v>
      </c>
      <c r="AA65" s="1368"/>
      <c r="AB65" s="1368"/>
      <c r="AC65" s="1368"/>
      <c r="AD65" s="1368"/>
      <c r="AE65" s="1368"/>
      <c r="AF65" s="1368"/>
      <c r="AG65" s="1368"/>
      <c r="AH65" s="1368"/>
      <c r="AI65" s="1368"/>
      <c r="AJ65" s="1368"/>
      <c r="AK65" s="1368"/>
    </row>
    <row r="66" spans="1:37" s="1367" customFormat="1" ht="25.5">
      <c r="A66" s="2855" t="s">
        <v>2954</v>
      </c>
      <c r="B66" s="1722" t="str">
        <f>估价对象房地状况!C22</f>
        <v>估价对象所在区域基础设施水平</v>
      </c>
      <c r="C66" s="2755"/>
      <c r="D66" s="1285">
        <f t="shared" si="15"/>
        <v>0</v>
      </c>
      <c r="E66" s="821"/>
      <c r="F66" s="2488"/>
      <c r="G66" s="1283"/>
      <c r="H66" s="1287" t="str">
        <f t="shared" si="16"/>
        <v>——</v>
      </c>
      <c r="I66" s="819">
        <v>0.12</v>
      </c>
      <c r="J66" s="1284">
        <f t="shared" si="17"/>
        <v>0</v>
      </c>
      <c r="K66" s="1284">
        <f t="shared" si="18"/>
        <v>0</v>
      </c>
      <c r="L66" s="1284">
        <v>0</v>
      </c>
      <c r="M66" s="1284">
        <f t="shared" si="19"/>
        <v>0</v>
      </c>
      <c r="N66" s="1284">
        <f t="shared" si="19"/>
        <v>0</v>
      </c>
      <c r="AA66" s="1368"/>
      <c r="AB66" s="1368"/>
      <c r="AC66" s="1368"/>
      <c r="AD66" s="1368"/>
      <c r="AE66" s="1368"/>
      <c r="AF66" s="1368"/>
      <c r="AG66" s="1368"/>
      <c r="AH66" s="1368"/>
      <c r="AI66" s="1368"/>
      <c r="AJ66" s="1368"/>
      <c r="AK66" s="1368"/>
    </row>
    <row r="67" spans="1:37" s="1367" customFormat="1" ht="39" thickBot="1">
      <c r="A67" s="2863" t="s">
        <v>2955</v>
      </c>
      <c r="B67" s="2865" t="str">
        <f>估价对象房地状况!C20</f>
        <v>区域自然环境：；人文环境；综合评价环境状况一般</v>
      </c>
      <c r="C67" s="2755"/>
      <c r="D67" s="1285">
        <f t="shared" si="15"/>
        <v>0</v>
      </c>
      <c r="E67" s="824"/>
      <c r="F67" s="2488"/>
      <c r="G67" s="1283"/>
      <c r="H67" s="1287" t="str">
        <f t="shared" si="16"/>
        <v>——</v>
      </c>
      <c r="I67" s="823">
        <v>0.06</v>
      </c>
      <c r="J67" s="1284">
        <f t="shared" si="17"/>
        <v>0</v>
      </c>
      <c r="K67" s="1284">
        <f t="shared" si="18"/>
        <v>0</v>
      </c>
      <c r="L67" s="1284">
        <v>0</v>
      </c>
      <c r="M67" s="1284">
        <f t="shared" si="19"/>
        <v>0</v>
      </c>
      <c r="N67" s="1284">
        <f t="shared" si="19"/>
        <v>0</v>
      </c>
      <c r="AA67" s="1368"/>
      <c r="AB67" s="1368"/>
      <c r="AC67" s="1368"/>
      <c r="AD67" s="1368"/>
      <c r="AE67" s="1368"/>
      <c r="AF67" s="1368"/>
      <c r="AG67" s="1368"/>
      <c r="AH67" s="1368"/>
      <c r="AI67" s="1368"/>
      <c r="AJ67" s="1368"/>
      <c r="AK67" s="1368"/>
    </row>
    <row r="68" spans="1:37" s="1367" customFormat="1" ht="15">
      <c r="A68" s="2851" t="s">
        <v>2959</v>
      </c>
      <c r="B68" s="2852">
        <f>1+E70</f>
        <v>1</v>
      </c>
      <c r="C68" s="813"/>
      <c r="D68" s="813"/>
      <c r="E68" s="814"/>
      <c r="F68" s="2854"/>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55" t="s">
        <v>2937</v>
      </c>
      <c r="B69" s="1798"/>
      <c r="C69" s="1798" t="s">
        <v>2939</v>
      </c>
      <c r="D69" s="1798" t="s">
        <v>2940</v>
      </c>
      <c r="E69" s="818" t="s">
        <v>2941</v>
      </c>
      <c r="F69" s="2856" t="s">
        <v>2957</v>
      </c>
      <c r="G69" s="1798" t="s">
        <v>754</v>
      </c>
      <c r="H69" s="2857" t="s">
        <v>2943</v>
      </c>
      <c r="I69" s="1798" t="s">
        <v>2944</v>
      </c>
      <c r="J69" s="602" t="s">
        <v>2592</v>
      </c>
      <c r="K69" s="602" t="s">
        <v>2593</v>
      </c>
      <c r="L69" s="602" t="s">
        <v>2594</v>
      </c>
      <c r="M69" s="602" t="s">
        <v>2595</v>
      </c>
      <c r="N69" s="602" t="s">
        <v>2596</v>
      </c>
      <c r="AA69" s="1368"/>
      <c r="AB69" s="1368"/>
      <c r="AC69" s="1368"/>
      <c r="AD69" s="1368"/>
      <c r="AE69" s="1368"/>
      <c r="AF69" s="1368"/>
      <c r="AG69" s="1368"/>
      <c r="AH69" s="1368"/>
      <c r="AI69" s="1368"/>
      <c r="AJ69" s="1368"/>
      <c r="AK69" s="1368"/>
    </row>
    <row r="70" spans="1:37" s="1367" customFormat="1" ht="51">
      <c r="A70" s="2855" t="s">
        <v>2960</v>
      </c>
      <c r="B70" s="2858" t="str">
        <f>估价对象房地状况!C15</f>
        <v>估价对象周边居住用地比例、居住小区规模和社区发展完善程度，综合评价居住社区成熟度一般</v>
      </c>
      <c r="C70" s="2755"/>
      <c r="D70" s="1285">
        <f t="shared" ref="D70:D78" si="20">SUMIF($J$69:$N$69,C70,J70:N70)</f>
        <v>0</v>
      </c>
      <c r="E70" s="820">
        <f>ROUND(SUM(D70:D78),4)</f>
        <v>0</v>
      </c>
      <c r="F70" s="2488"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68"/>
      <c r="AB70" s="1368"/>
      <c r="AC70" s="1368"/>
      <c r="AD70" s="1368"/>
      <c r="AE70" s="1368"/>
      <c r="AF70" s="1368"/>
      <c r="AG70" s="1368"/>
      <c r="AH70" s="1368"/>
      <c r="AI70" s="1368"/>
      <c r="AJ70" s="1368"/>
      <c r="AK70" s="1368"/>
    </row>
    <row r="71" spans="1:37" s="1367" customFormat="1" ht="51">
      <c r="A71" s="2855" t="s">
        <v>2946</v>
      </c>
      <c r="B71" s="2859" t="str">
        <f>估价对象房地状况!C18</f>
        <v>估价对象周边道路状况、公共交通通达情况、停车便捷程度，综合评价交通便捷度较好</v>
      </c>
      <c r="C71" s="2755"/>
      <c r="D71" s="1285">
        <f t="shared" si="20"/>
        <v>0</v>
      </c>
      <c r="E71" s="825"/>
      <c r="F71" s="2488"/>
      <c r="G71" s="1283"/>
      <c r="H71" s="1287" t="str">
        <f t="shared" si="21"/>
        <v>——</v>
      </c>
      <c r="I71" s="819">
        <v>0.3</v>
      </c>
      <c r="J71" s="1284">
        <f t="shared" si="22"/>
        <v>0</v>
      </c>
      <c r="K71" s="1284">
        <f t="shared" si="23"/>
        <v>0</v>
      </c>
      <c r="L71" s="1284">
        <v>0</v>
      </c>
      <c r="M71" s="1284">
        <f t="shared" si="24"/>
        <v>0</v>
      </c>
      <c r="N71" s="1284">
        <f t="shared" si="24"/>
        <v>0</v>
      </c>
      <c r="AA71" s="1368"/>
      <c r="AB71" s="1368"/>
      <c r="AC71" s="1368"/>
      <c r="AD71" s="1368"/>
      <c r="AE71" s="1368"/>
      <c r="AF71" s="1368"/>
      <c r="AG71" s="1368"/>
      <c r="AH71" s="1368"/>
      <c r="AI71" s="1368"/>
      <c r="AJ71" s="1368"/>
      <c r="AK71" s="1368"/>
    </row>
    <row r="72" spans="1:37" s="1367" customFormat="1" ht="24">
      <c r="A72" s="2855" t="s">
        <v>2947</v>
      </c>
      <c r="B72" s="2859">
        <f>估价对象房地状况!C19</f>
        <v>0</v>
      </c>
      <c r="C72" s="2755"/>
      <c r="D72" s="1285">
        <f t="shared" si="20"/>
        <v>0</v>
      </c>
      <c r="E72" s="825"/>
      <c r="F72" s="2488"/>
      <c r="G72" s="1283"/>
      <c r="H72" s="1287" t="str">
        <f t="shared" si="21"/>
        <v>——</v>
      </c>
      <c r="I72" s="819">
        <v>0.08</v>
      </c>
      <c r="J72" s="1284">
        <f t="shared" si="22"/>
        <v>0</v>
      </c>
      <c r="K72" s="1284">
        <f t="shared" si="23"/>
        <v>0</v>
      </c>
      <c r="L72" s="1284">
        <v>0</v>
      </c>
      <c r="M72" s="1284">
        <f t="shared" si="24"/>
        <v>0</v>
      </c>
      <c r="N72" s="1284">
        <f t="shared" si="24"/>
        <v>0</v>
      </c>
      <c r="AA72" s="1368"/>
      <c r="AB72" s="1368"/>
      <c r="AC72" s="1368"/>
      <c r="AD72" s="1368"/>
      <c r="AE72" s="1368"/>
      <c r="AF72" s="1368"/>
      <c r="AG72" s="1368"/>
      <c r="AH72" s="1368"/>
      <c r="AI72" s="1368"/>
      <c r="AJ72" s="1368"/>
      <c r="AK72" s="1368"/>
    </row>
    <row r="73" spans="1:37" s="1367" customFormat="1" ht="14.25">
      <c r="A73" s="2855" t="s">
        <v>2961</v>
      </c>
      <c r="B73" s="2859">
        <f>估价对象房地状况!C24</f>
        <v>0</v>
      </c>
      <c r="C73" s="2755"/>
      <c r="D73" s="1285">
        <f t="shared" si="20"/>
        <v>0</v>
      </c>
      <c r="E73" s="825"/>
      <c r="F73" s="2488"/>
      <c r="G73" s="1283"/>
      <c r="H73" s="1287" t="str">
        <f t="shared" si="21"/>
        <v>——</v>
      </c>
      <c r="I73" s="819">
        <v>0.04</v>
      </c>
      <c r="J73" s="1284">
        <f t="shared" si="22"/>
        <v>0</v>
      </c>
      <c r="K73" s="1284">
        <f t="shared" si="23"/>
        <v>0</v>
      </c>
      <c r="L73" s="1284">
        <v>0</v>
      </c>
      <c r="M73" s="1284">
        <f t="shared" si="24"/>
        <v>0</v>
      </c>
      <c r="N73" s="1284">
        <f t="shared" si="24"/>
        <v>0</v>
      </c>
      <c r="AA73" s="1368"/>
      <c r="AB73" s="1368"/>
      <c r="AC73" s="1368"/>
      <c r="AD73" s="1368"/>
      <c r="AE73" s="1368"/>
      <c r="AF73" s="1368"/>
      <c r="AG73" s="1368"/>
      <c r="AH73" s="1368"/>
      <c r="AI73" s="1368"/>
      <c r="AJ73" s="1368"/>
      <c r="AK73" s="1368"/>
    </row>
    <row r="74" spans="1:37" s="1367" customFormat="1" ht="25.5">
      <c r="A74" s="2855" t="s">
        <v>2953</v>
      </c>
      <c r="B74" s="1722" t="str">
        <f>估价对象房地状况!C21</f>
        <v>估价对象所在区域公共配套设施齐备情况</v>
      </c>
      <c r="C74" s="2755"/>
      <c r="D74" s="1285">
        <f t="shared" si="20"/>
        <v>0</v>
      </c>
      <c r="E74" s="825"/>
      <c r="F74" s="2488"/>
      <c r="G74" s="1283"/>
      <c r="H74" s="1287" t="str">
        <f t="shared" si="21"/>
        <v>——</v>
      </c>
      <c r="I74" s="819">
        <v>0.08</v>
      </c>
      <c r="J74" s="1284">
        <f t="shared" si="22"/>
        <v>0</v>
      </c>
      <c r="K74" s="1284">
        <f t="shared" si="23"/>
        <v>0</v>
      </c>
      <c r="L74" s="1284">
        <v>0</v>
      </c>
      <c r="M74" s="1284">
        <f t="shared" si="24"/>
        <v>0</v>
      </c>
      <c r="N74" s="1284">
        <f t="shared" si="24"/>
        <v>0</v>
      </c>
      <c r="AA74" s="1368"/>
      <c r="AB74" s="1368"/>
      <c r="AC74" s="1368"/>
      <c r="AD74" s="1368"/>
      <c r="AE74" s="1368"/>
      <c r="AF74" s="1368"/>
      <c r="AG74" s="1368"/>
      <c r="AH74" s="1368"/>
      <c r="AI74" s="1368"/>
      <c r="AJ74" s="1368"/>
      <c r="AK74" s="1368"/>
    </row>
    <row r="75" spans="1:37" s="1367" customFormat="1" ht="25.5">
      <c r="A75" s="2855" t="s">
        <v>2954</v>
      </c>
      <c r="B75" s="1722" t="str">
        <f>估价对象房地状况!C22</f>
        <v>估价对象所在区域基础设施水平</v>
      </c>
      <c r="C75" s="2755"/>
      <c r="D75" s="1285">
        <f t="shared" si="20"/>
        <v>0</v>
      </c>
      <c r="E75" s="825"/>
      <c r="F75" s="2488"/>
      <c r="G75" s="1283"/>
      <c r="H75" s="1287" t="str">
        <f t="shared" si="21"/>
        <v>——</v>
      </c>
      <c r="I75" s="819">
        <v>0.12</v>
      </c>
      <c r="J75" s="1284">
        <f t="shared" si="22"/>
        <v>0</v>
      </c>
      <c r="K75" s="1284">
        <f t="shared" si="23"/>
        <v>0</v>
      </c>
      <c r="L75" s="1284">
        <v>0</v>
      </c>
      <c r="M75" s="1284">
        <f t="shared" si="24"/>
        <v>0</v>
      </c>
      <c r="N75" s="1284">
        <f t="shared" si="24"/>
        <v>0</v>
      </c>
      <c r="AA75" s="1368"/>
      <c r="AB75" s="1368"/>
      <c r="AC75" s="1368"/>
      <c r="AD75" s="1368"/>
      <c r="AE75" s="1368"/>
      <c r="AF75" s="1368"/>
      <c r="AG75" s="1368"/>
      <c r="AH75" s="1368"/>
      <c r="AI75" s="1368"/>
      <c r="AJ75" s="1368"/>
      <c r="AK75" s="1368"/>
    </row>
    <row r="76" spans="1:37" s="2704" customFormat="1" ht="24">
      <c r="A76" s="2855" t="s">
        <v>2951</v>
      </c>
      <c r="B76" s="2861" t="s">
        <v>2952</v>
      </c>
      <c r="C76" s="2755"/>
      <c r="D76" s="1285">
        <f t="shared" si="20"/>
        <v>0</v>
      </c>
      <c r="E76" s="825"/>
      <c r="F76" s="2488"/>
      <c r="G76" s="1283"/>
      <c r="H76" s="1287" t="str">
        <f t="shared" si="21"/>
        <v>——</v>
      </c>
      <c r="I76" s="819">
        <v>0.05</v>
      </c>
      <c r="J76" s="1284">
        <f t="shared" si="22"/>
        <v>0</v>
      </c>
      <c r="K76" s="1284">
        <f t="shared" si="23"/>
        <v>0</v>
      </c>
      <c r="L76" s="1284">
        <v>0</v>
      </c>
      <c r="M76" s="1284">
        <f t="shared" si="24"/>
        <v>0</v>
      </c>
      <c r="N76" s="1284">
        <f t="shared" si="24"/>
        <v>0</v>
      </c>
      <c r="AA76" s="2866"/>
      <c r="AB76" s="1368"/>
      <c r="AC76" s="1368"/>
      <c r="AD76" s="1368"/>
      <c r="AE76" s="1368"/>
      <c r="AF76" s="1368"/>
      <c r="AG76" s="1368"/>
      <c r="AH76" s="2866"/>
      <c r="AI76" s="2866"/>
      <c r="AJ76" s="2866"/>
      <c r="AK76" s="2866"/>
    </row>
    <row r="77" spans="1:37" ht="38.25">
      <c r="A77" s="2855" t="s">
        <v>2955</v>
      </c>
      <c r="B77" s="2858" t="str">
        <f>估价对象房地状况!C20</f>
        <v>区域自然环境：；人文环境；综合评价环境状况一般</v>
      </c>
      <c r="C77" s="2755"/>
      <c r="D77" s="1285">
        <f t="shared" si="20"/>
        <v>0</v>
      </c>
      <c r="E77" s="825"/>
      <c r="F77" s="2488"/>
      <c r="G77" s="1283"/>
      <c r="H77" s="1287" t="str">
        <f t="shared" si="21"/>
        <v>——</v>
      </c>
      <c r="I77" s="819">
        <v>0.15</v>
      </c>
      <c r="J77" s="1284">
        <f t="shared" si="22"/>
        <v>0</v>
      </c>
      <c r="K77" s="1284">
        <f t="shared" si="23"/>
        <v>0</v>
      </c>
      <c r="L77" s="1284">
        <v>0</v>
      </c>
      <c r="M77" s="1284">
        <f t="shared" si="24"/>
        <v>0</v>
      </c>
      <c r="N77" s="1284">
        <f t="shared" si="24"/>
        <v>0</v>
      </c>
      <c r="Z77" s="2705"/>
      <c r="AA77" s="2773"/>
      <c r="AG77" s="1369"/>
      <c r="AK77" s="2773"/>
    </row>
    <row r="78" spans="1:37" ht="24.75" thickBot="1">
      <c r="A78" s="2863" t="s">
        <v>2962</v>
      </c>
      <c r="B78" s="2867"/>
      <c r="C78" s="2755"/>
      <c r="D78" s="1285">
        <f t="shared" si="20"/>
        <v>0</v>
      </c>
      <c r="E78" s="826"/>
      <c r="F78" s="2488"/>
      <c r="G78" s="1283"/>
      <c r="H78" s="1287" t="str">
        <f t="shared" si="21"/>
        <v>——</v>
      </c>
      <c r="I78" s="823">
        <v>0.04</v>
      </c>
      <c r="J78" s="1284">
        <f t="shared" si="22"/>
        <v>0</v>
      </c>
      <c r="K78" s="1284">
        <f t="shared" si="23"/>
        <v>0</v>
      </c>
      <c r="L78" s="1284">
        <v>0</v>
      </c>
      <c r="M78" s="1284">
        <f t="shared" si="24"/>
        <v>0</v>
      </c>
      <c r="N78" s="1284">
        <f t="shared" si="24"/>
        <v>0</v>
      </c>
      <c r="Z78" s="2705"/>
      <c r="AA78" s="2773"/>
      <c r="AG78" s="1369"/>
      <c r="AK78" s="2773"/>
    </row>
    <row r="79" spans="1:37" ht="15">
      <c r="A79" s="2851" t="s">
        <v>2963</v>
      </c>
      <c r="B79" s="2852">
        <f>1+E81</f>
        <v>1</v>
      </c>
      <c r="C79" s="813"/>
      <c r="D79" s="813"/>
      <c r="E79" s="814"/>
      <c r="F79" s="2854"/>
      <c r="G79" s="6"/>
      <c r="H79" s="6"/>
      <c r="I79" s="6"/>
      <c r="J79" s="7"/>
      <c r="K79" s="7"/>
      <c r="L79" s="7"/>
      <c r="M79" s="7"/>
      <c r="N79" s="7"/>
      <c r="Z79" s="2705"/>
      <c r="AA79" s="2773"/>
      <c r="AG79" s="1369"/>
      <c r="AK79" s="2773"/>
    </row>
    <row r="80" spans="1:37" ht="24.75">
      <c r="A80" s="2855" t="s">
        <v>2937</v>
      </c>
      <c r="B80" s="1798"/>
      <c r="C80" s="1798" t="s">
        <v>2939</v>
      </c>
      <c r="D80" s="1798" t="s">
        <v>2940</v>
      </c>
      <c r="E80" s="818" t="s">
        <v>2941</v>
      </c>
      <c r="F80" s="2856" t="s">
        <v>2957</v>
      </c>
      <c r="G80" s="1798" t="s">
        <v>754</v>
      </c>
      <c r="H80" s="2857" t="s">
        <v>2943</v>
      </c>
      <c r="I80" s="1798" t="s">
        <v>2944</v>
      </c>
      <c r="J80" s="602" t="s">
        <v>2592</v>
      </c>
      <c r="K80" s="602" t="s">
        <v>2593</v>
      </c>
      <c r="L80" s="602" t="s">
        <v>2594</v>
      </c>
      <c r="M80" s="602" t="s">
        <v>2595</v>
      </c>
      <c r="N80" s="602" t="s">
        <v>2596</v>
      </c>
      <c r="Z80" s="2705"/>
      <c r="AA80" s="2773"/>
      <c r="AG80" s="1369"/>
      <c r="AK80" s="2773"/>
    </row>
    <row r="81" spans="1:37" ht="38.25">
      <c r="A81" s="2855" t="s">
        <v>2964</v>
      </c>
      <c r="B81" s="2859" t="str">
        <f>估价对象房地状况!G15</f>
        <v>估价对象位于XX开发区，园区建设成熟度XX，产业集聚程度XX</v>
      </c>
      <c r="C81" s="2755"/>
      <c r="D81" s="1285">
        <f t="shared" ref="D81:D88" si="25">SUMIF($J$80:$N$80,C81,J81:N81)</f>
        <v>0</v>
      </c>
      <c r="E81" s="820">
        <f>ROUND(SUM(D81:D88),4)</f>
        <v>0</v>
      </c>
      <c r="F81" s="2488"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05"/>
      <c r="AA81" s="2773"/>
      <c r="AG81" s="1369"/>
      <c r="AK81" s="2773"/>
    </row>
    <row r="82" spans="1:37" ht="51">
      <c r="A82" s="2855" t="s">
        <v>2946</v>
      </c>
      <c r="B82" s="2859" t="str">
        <f>估价对象房地状况!G16</f>
        <v>估价对象周边道路状况、公共交通通达情况、停车便捷程度，综合评价交通便捷度较好</v>
      </c>
      <c r="C82" s="2755"/>
      <c r="D82" s="1285">
        <f t="shared" si="25"/>
        <v>0</v>
      </c>
      <c r="E82" s="825"/>
      <c r="F82" s="2488"/>
      <c r="G82" s="1283"/>
      <c r="H82" s="1287" t="str">
        <f t="shared" si="26"/>
        <v>——</v>
      </c>
      <c r="I82" s="819">
        <v>0.33</v>
      </c>
      <c r="J82" s="1284">
        <f t="shared" si="27"/>
        <v>0</v>
      </c>
      <c r="K82" s="1284">
        <f t="shared" si="28"/>
        <v>0</v>
      </c>
      <c r="L82" s="1284">
        <v>0</v>
      </c>
      <c r="M82" s="1284">
        <f t="shared" si="29"/>
        <v>0</v>
      </c>
      <c r="N82" s="1284">
        <f t="shared" si="29"/>
        <v>0</v>
      </c>
      <c r="Z82" s="2705"/>
      <c r="AA82" s="2773"/>
      <c r="AG82" s="1369"/>
      <c r="AK82" s="2773"/>
    </row>
    <row r="83" spans="1:37" ht="24">
      <c r="A83" s="2855" t="s">
        <v>2947</v>
      </c>
      <c r="B83" s="2859">
        <f>估价对象房地状况!G17</f>
        <v>0</v>
      </c>
      <c r="C83" s="2755"/>
      <c r="D83" s="1285">
        <f t="shared" si="25"/>
        <v>0</v>
      </c>
      <c r="E83" s="825"/>
      <c r="F83" s="2488"/>
      <c r="G83" s="1283"/>
      <c r="H83" s="1287" t="str">
        <f t="shared" si="26"/>
        <v>——</v>
      </c>
      <c r="I83" s="819">
        <v>0.05</v>
      </c>
      <c r="J83" s="1284">
        <f t="shared" si="27"/>
        <v>0</v>
      </c>
      <c r="K83" s="1284">
        <f t="shared" si="28"/>
        <v>0</v>
      </c>
      <c r="L83" s="1284">
        <v>0</v>
      </c>
      <c r="M83" s="1284">
        <f t="shared" si="29"/>
        <v>0</v>
      </c>
      <c r="N83" s="1284">
        <f t="shared" si="29"/>
        <v>0</v>
      </c>
      <c r="Z83" s="2705"/>
      <c r="AA83" s="2773"/>
      <c r="AG83" s="1369"/>
      <c r="AK83" s="2773"/>
    </row>
    <row r="84" spans="1:37" ht="14.25">
      <c r="A84" s="2855" t="s">
        <v>2961</v>
      </c>
      <c r="B84" s="2859">
        <f>估价对象房地状况!G22</f>
        <v>0</v>
      </c>
      <c r="C84" s="2755"/>
      <c r="D84" s="1285">
        <f t="shared" si="25"/>
        <v>0</v>
      </c>
      <c r="E84" s="825"/>
      <c r="F84" s="2488"/>
      <c r="G84" s="1283"/>
      <c r="H84" s="1287" t="str">
        <f t="shared" si="26"/>
        <v>——</v>
      </c>
      <c r="I84" s="819">
        <v>0.04</v>
      </c>
      <c r="J84" s="1284">
        <f t="shared" si="27"/>
        <v>0</v>
      </c>
      <c r="K84" s="1284">
        <f t="shared" si="28"/>
        <v>0</v>
      </c>
      <c r="L84" s="1284">
        <v>0</v>
      </c>
      <c r="M84" s="1284">
        <f t="shared" si="29"/>
        <v>0</v>
      </c>
      <c r="N84" s="1284">
        <f t="shared" si="29"/>
        <v>0</v>
      </c>
      <c r="Z84" s="2705"/>
      <c r="AA84" s="2773"/>
      <c r="AG84" s="1369"/>
      <c r="AK84" s="2773"/>
    </row>
    <row r="85" spans="1:37" ht="25.5">
      <c r="A85" s="2855" t="s">
        <v>2953</v>
      </c>
      <c r="B85" s="1722" t="str">
        <f>估价对象房地状况!G19</f>
        <v>估价对象所在区域公共配套设施齐备情况</v>
      </c>
      <c r="C85" s="2755"/>
      <c r="D85" s="1285">
        <f t="shared" si="25"/>
        <v>0</v>
      </c>
      <c r="E85" s="825"/>
      <c r="F85" s="2488"/>
      <c r="G85" s="1283"/>
      <c r="H85" s="1287" t="str">
        <f t="shared" si="26"/>
        <v>——</v>
      </c>
      <c r="I85" s="819">
        <v>0.06</v>
      </c>
      <c r="J85" s="1284">
        <f t="shared" si="27"/>
        <v>0</v>
      </c>
      <c r="K85" s="1284">
        <f t="shared" si="28"/>
        <v>0</v>
      </c>
      <c r="L85" s="1284">
        <v>0</v>
      </c>
      <c r="M85" s="1284">
        <f t="shared" si="29"/>
        <v>0</v>
      </c>
      <c r="N85" s="1284">
        <f t="shared" si="29"/>
        <v>0</v>
      </c>
      <c r="Z85" s="2705"/>
      <c r="AA85" s="2773"/>
      <c r="AG85" s="1369"/>
      <c r="AK85" s="2773"/>
    </row>
    <row r="86" spans="1:37" ht="25.5">
      <c r="A86" s="2855" t="s">
        <v>2954</v>
      </c>
      <c r="B86" s="1722" t="str">
        <f>估价对象房地状况!G20</f>
        <v>估价对象所在区域基础设施水平</v>
      </c>
      <c r="C86" s="2755"/>
      <c r="D86" s="1285">
        <f t="shared" si="25"/>
        <v>0</v>
      </c>
      <c r="E86" s="825"/>
      <c r="F86" s="2488"/>
      <c r="G86" s="1283"/>
      <c r="H86" s="1287" t="str">
        <f t="shared" si="26"/>
        <v>——</v>
      </c>
      <c r="I86" s="819">
        <v>0.15</v>
      </c>
      <c r="J86" s="1284">
        <f t="shared" si="27"/>
        <v>0</v>
      </c>
      <c r="K86" s="1284">
        <f t="shared" si="28"/>
        <v>0</v>
      </c>
      <c r="L86" s="1284">
        <v>0</v>
      </c>
      <c r="M86" s="1284">
        <f t="shared" si="29"/>
        <v>0</v>
      </c>
      <c r="N86" s="1284">
        <f t="shared" si="29"/>
        <v>0</v>
      </c>
      <c r="Z86" s="2705"/>
      <c r="AA86" s="2773"/>
      <c r="AG86" s="1369"/>
      <c r="AK86" s="2773"/>
    </row>
    <row r="87" spans="1:37" ht="24">
      <c r="A87" s="2855" t="s">
        <v>2951</v>
      </c>
      <c r="B87" s="2861" t="s">
        <v>2965</v>
      </c>
      <c r="C87" s="2755"/>
      <c r="D87" s="1285">
        <f t="shared" si="25"/>
        <v>0</v>
      </c>
      <c r="E87" s="825"/>
      <c r="F87" s="2488"/>
      <c r="G87" s="1283"/>
      <c r="H87" s="1287" t="str">
        <f t="shared" si="26"/>
        <v>——</v>
      </c>
      <c r="I87" s="819">
        <v>0.05</v>
      </c>
      <c r="J87" s="1284">
        <f t="shared" si="27"/>
        <v>0</v>
      </c>
      <c r="K87" s="1284">
        <f t="shared" si="28"/>
        <v>0</v>
      </c>
      <c r="L87" s="1284">
        <v>0</v>
      </c>
      <c r="M87" s="1284">
        <f t="shared" si="29"/>
        <v>0</v>
      </c>
      <c r="N87" s="1284">
        <f t="shared" si="29"/>
        <v>0</v>
      </c>
      <c r="Z87" s="2705"/>
      <c r="AA87" s="2773"/>
      <c r="AG87" s="1369"/>
      <c r="AK87" s="2773"/>
    </row>
    <row r="88" spans="1:37" ht="39" thickBot="1">
      <c r="A88" s="2863" t="s">
        <v>2966</v>
      </c>
      <c r="B88" s="2868" t="str">
        <f>估价对象房地状况!G18</f>
        <v>该园区内是否有污染型企业，绿化情况，卫生条件，整体环境状况判断</v>
      </c>
      <c r="C88" s="2755"/>
      <c r="D88" s="1285">
        <f t="shared" si="25"/>
        <v>0</v>
      </c>
      <c r="E88" s="826"/>
      <c r="F88" s="2488"/>
      <c r="G88" s="1283"/>
      <c r="H88" s="1287" t="str">
        <f t="shared" si="26"/>
        <v>——</v>
      </c>
      <c r="I88" s="823">
        <v>0.06</v>
      </c>
      <c r="J88" s="1284">
        <f t="shared" si="27"/>
        <v>0</v>
      </c>
      <c r="K88" s="1284">
        <f t="shared" si="28"/>
        <v>0</v>
      </c>
      <c r="L88" s="1284">
        <v>0</v>
      </c>
      <c r="M88" s="1284">
        <f t="shared" si="29"/>
        <v>0</v>
      </c>
      <c r="N88" s="1284">
        <f t="shared" si="29"/>
        <v>0</v>
      </c>
      <c r="Z88" s="2705"/>
      <c r="AA88" s="2773"/>
      <c r="AG88" s="1369"/>
      <c r="AK88" s="2773"/>
    </row>
    <row r="90" spans="1:37">
      <c r="A90" s="3284" t="s">
        <v>2967</v>
      </c>
      <c r="B90" s="3284"/>
      <c r="C90" s="3284"/>
      <c r="D90" s="3284"/>
      <c r="E90" s="3284"/>
      <c r="F90" s="3284"/>
      <c r="G90" s="3284"/>
      <c r="H90" s="3284"/>
      <c r="I90" s="3284"/>
      <c r="J90" s="3284"/>
      <c r="K90" s="2869"/>
      <c r="L90" s="2869"/>
      <c r="M90" s="2869"/>
      <c r="N90" s="2869"/>
    </row>
    <row r="91" spans="1:37">
      <c r="A91" s="3286" t="s">
        <v>2968</v>
      </c>
      <c r="B91" s="3286" t="s">
        <v>2969</v>
      </c>
      <c r="C91" s="2823" t="s">
        <v>2970</v>
      </c>
      <c r="D91" s="2824"/>
      <c r="E91" s="2824"/>
      <c r="F91" s="2824"/>
      <c r="G91" s="2824"/>
      <c r="H91" s="2824"/>
      <c r="I91" s="2824"/>
      <c r="J91" s="2870"/>
      <c r="K91" s="2871"/>
      <c r="L91" s="2871"/>
      <c r="M91" s="2871"/>
      <c r="N91" s="2871"/>
    </row>
    <row r="92" spans="1:37">
      <c r="A92" s="3286"/>
      <c r="B92" s="3286"/>
      <c r="C92" s="941" t="s">
        <v>2836</v>
      </c>
      <c r="D92" s="941" t="s">
        <v>2837</v>
      </c>
      <c r="E92" s="941" t="s">
        <v>2838</v>
      </c>
      <c r="F92" s="941" t="s">
        <v>2839</v>
      </c>
      <c r="G92" s="941" t="s">
        <v>2840</v>
      </c>
      <c r="H92" s="941" t="s">
        <v>2841</v>
      </c>
      <c r="I92" s="941" t="s">
        <v>2842</v>
      </c>
      <c r="J92" s="941" t="s">
        <v>2843</v>
      </c>
      <c r="K92" s="941" t="s">
        <v>2844</v>
      </c>
      <c r="L92" s="941" t="s">
        <v>2845</v>
      </c>
      <c r="M92" s="941" t="s">
        <v>2846</v>
      </c>
      <c r="N92" s="941" t="s">
        <v>2847</v>
      </c>
    </row>
    <row r="93" spans="1:37">
      <c r="A93" s="3287" t="s">
        <v>2971</v>
      </c>
      <c r="B93" s="2872">
        <v>1</v>
      </c>
      <c r="C93" s="2873">
        <v>1.9361999999999999</v>
      </c>
      <c r="D93" s="2873">
        <v>1.9361999999999999</v>
      </c>
      <c r="E93" s="2873">
        <v>1.8629</v>
      </c>
      <c r="F93" s="2873">
        <v>1.8629</v>
      </c>
      <c r="G93" s="2873">
        <v>1.8629</v>
      </c>
      <c r="H93" s="2873">
        <v>1.8629</v>
      </c>
      <c r="I93" s="2873">
        <v>1.8629</v>
      </c>
      <c r="J93" s="2873">
        <v>1.9419999999999999</v>
      </c>
      <c r="K93" s="2873">
        <v>1.9419999999999999</v>
      </c>
      <c r="L93" s="2873">
        <v>1.9419999999999999</v>
      </c>
      <c r="M93" s="2873">
        <v>1.9419999999999999</v>
      </c>
      <c r="N93" s="2873">
        <v>1.9419999999999999</v>
      </c>
    </row>
    <row r="94" spans="1:37">
      <c r="A94" s="3288"/>
      <c r="B94" s="2872">
        <v>2</v>
      </c>
      <c r="C94" s="2873">
        <v>1.4198</v>
      </c>
      <c r="D94" s="2873">
        <v>1.4198</v>
      </c>
      <c r="E94" s="2873">
        <v>1.3371999999999999</v>
      </c>
      <c r="F94" s="2873">
        <v>1.3371999999999999</v>
      </c>
      <c r="G94" s="2873">
        <v>1.3371999999999999</v>
      </c>
      <c r="H94" s="2873">
        <v>1.3371999999999999</v>
      </c>
      <c r="I94" s="2873">
        <v>1.3371999999999999</v>
      </c>
      <c r="J94" s="2873">
        <v>1.2799</v>
      </c>
      <c r="K94" s="2873">
        <v>1.2799</v>
      </c>
      <c r="L94" s="2873">
        <v>1.2799</v>
      </c>
      <c r="M94" s="2873">
        <v>1.2799</v>
      </c>
      <c r="N94" s="2873">
        <v>1.2799</v>
      </c>
    </row>
    <row r="95" spans="1:37">
      <c r="A95" s="3288"/>
      <c r="B95" s="2872">
        <v>3</v>
      </c>
      <c r="C95" s="2873">
        <v>1.1594</v>
      </c>
      <c r="D95" s="2873">
        <v>1.1594</v>
      </c>
      <c r="E95" s="2873">
        <v>1.0788</v>
      </c>
      <c r="F95" s="2873">
        <v>1.0788</v>
      </c>
      <c r="G95" s="2873">
        <v>1.0788</v>
      </c>
      <c r="H95" s="2873">
        <v>1.0788</v>
      </c>
      <c r="I95" s="2873">
        <v>1.0788</v>
      </c>
      <c r="J95" s="2873">
        <v>1.0072000000000001</v>
      </c>
      <c r="K95" s="2873">
        <v>1.0072000000000001</v>
      </c>
      <c r="L95" s="2873">
        <v>1.0072000000000001</v>
      </c>
      <c r="M95" s="2873">
        <v>1.0072000000000001</v>
      </c>
      <c r="N95" s="2873">
        <v>1.0072000000000001</v>
      </c>
    </row>
    <row r="96" spans="1:37">
      <c r="A96" s="3288"/>
      <c r="B96" s="2872">
        <v>4</v>
      </c>
      <c r="C96" s="2873">
        <v>0.96220000000000006</v>
      </c>
      <c r="D96" s="2873">
        <v>0.96220000000000006</v>
      </c>
      <c r="E96" s="2873">
        <v>0.86560000000000004</v>
      </c>
      <c r="F96" s="2873">
        <v>0.86560000000000004</v>
      </c>
      <c r="G96" s="2873">
        <v>0.86560000000000004</v>
      </c>
      <c r="H96" s="2873">
        <v>0.86560000000000004</v>
      </c>
      <c r="I96" s="2873">
        <v>0.86560000000000004</v>
      </c>
      <c r="J96" s="2873">
        <v>0.75249999999999995</v>
      </c>
      <c r="K96" s="2873">
        <v>0.75249999999999995</v>
      </c>
      <c r="L96" s="2873">
        <v>0.75249999999999995</v>
      </c>
      <c r="M96" s="2873">
        <v>0.75249999999999995</v>
      </c>
      <c r="N96" s="2873">
        <v>0.75249999999999995</v>
      </c>
    </row>
    <row r="97" spans="1:14">
      <c r="A97" s="3288"/>
      <c r="B97" s="2872">
        <v>5</v>
      </c>
      <c r="C97" s="2873">
        <v>0.8417</v>
      </c>
      <c r="D97" s="2873">
        <v>0.8417</v>
      </c>
      <c r="E97" s="2873">
        <v>0.73709999999999998</v>
      </c>
      <c r="F97" s="2873">
        <v>0.73709999999999998</v>
      </c>
      <c r="G97" s="2873">
        <v>0.73709999999999998</v>
      </c>
      <c r="H97" s="2873">
        <v>0.73709999999999998</v>
      </c>
      <c r="I97" s="2873">
        <v>0.73709999999999998</v>
      </c>
      <c r="J97" s="2873">
        <v>0.56589999999999996</v>
      </c>
      <c r="K97" s="2873">
        <v>0.56589999999999996</v>
      </c>
      <c r="L97" s="2873">
        <v>0.56589999999999996</v>
      </c>
      <c r="M97" s="2873">
        <v>0.56589999999999996</v>
      </c>
      <c r="N97" s="2873">
        <v>0.56589999999999996</v>
      </c>
    </row>
    <row r="98" spans="1:14">
      <c r="A98" s="3288"/>
      <c r="B98" s="2872">
        <v>6</v>
      </c>
      <c r="C98" s="2873">
        <v>0.76080000000000003</v>
      </c>
      <c r="D98" s="2873">
        <v>0.76080000000000003</v>
      </c>
      <c r="E98" s="2873">
        <v>0.6482</v>
      </c>
      <c r="F98" s="2873">
        <v>0.6482</v>
      </c>
      <c r="G98" s="2873">
        <v>0.6482</v>
      </c>
      <c r="H98" s="2873">
        <v>0.6482</v>
      </c>
      <c r="I98" s="2873">
        <v>0.6482</v>
      </c>
      <c r="J98" s="2873">
        <v>0.45250000000000001</v>
      </c>
      <c r="K98" s="2873">
        <v>0.45250000000000001</v>
      </c>
      <c r="L98" s="2873">
        <v>0.45250000000000001</v>
      </c>
      <c r="M98" s="2873">
        <v>0.45250000000000001</v>
      </c>
      <c r="N98" s="2873">
        <v>0.45250000000000001</v>
      </c>
    </row>
    <row r="99" spans="1:14">
      <c r="A99" s="3288"/>
      <c r="B99" s="2872" t="s">
        <v>2852</v>
      </c>
      <c r="C99" s="2874">
        <f>$I$3</f>
        <v>0</v>
      </c>
      <c r="D99" s="2874">
        <f t="shared" ref="D99:M99" si="30">$I$3</f>
        <v>0</v>
      </c>
      <c r="E99" s="2874">
        <f t="shared" si="30"/>
        <v>0</v>
      </c>
      <c r="F99" s="2874">
        <f t="shared" si="30"/>
        <v>0</v>
      </c>
      <c r="G99" s="2874">
        <f t="shared" si="30"/>
        <v>0</v>
      </c>
      <c r="H99" s="2874">
        <f t="shared" si="30"/>
        <v>0</v>
      </c>
      <c r="I99" s="2874">
        <f t="shared" si="30"/>
        <v>0</v>
      </c>
      <c r="J99" s="2874">
        <f t="shared" si="30"/>
        <v>0</v>
      </c>
      <c r="K99" s="2874">
        <f t="shared" si="30"/>
        <v>0</v>
      </c>
      <c r="L99" s="2874">
        <f t="shared" si="30"/>
        <v>0</v>
      </c>
      <c r="M99" s="2874">
        <f t="shared" si="30"/>
        <v>0</v>
      </c>
      <c r="N99" s="2874">
        <f>$I$3</f>
        <v>0</v>
      </c>
    </row>
    <row r="100" spans="1:14">
      <c r="A100" s="3289"/>
      <c r="B100" s="2872">
        <v>7</v>
      </c>
      <c r="C100" s="2875">
        <f>(-0.163*(C99^2)-0.59*C99+7617)*(10^(-4))</f>
        <v>0.76170000000000004</v>
      </c>
      <c r="D100" s="2875">
        <f>(-0.163*(D99^2)-0.59*D99+7617)*(10^(-4))</f>
        <v>0.76170000000000004</v>
      </c>
      <c r="E100" s="2875">
        <f>(-0.161*(E99^2)-7.509*E99+6533)*(10^(-4))</f>
        <v>0.65329999999999999</v>
      </c>
      <c r="F100" s="2875">
        <f>(-0.161*(F99^2)-7.509*F99+6533)*(10^(-4))</f>
        <v>0.65329999999999999</v>
      </c>
      <c r="G100" s="2875">
        <f>(-0.161*(G99^2)-7.509*G99+6533)*(10^(-4))</f>
        <v>0.65329999999999999</v>
      </c>
      <c r="H100" s="2875">
        <f>(-0.161*(H99^2)-7.509*H99+6533)*(10^(-4))</f>
        <v>0.65329999999999999</v>
      </c>
      <c r="I100" s="2875">
        <f>(-0.161*(I99^2)-7.509*I99+6533)*(10^(-4))</f>
        <v>0.65329999999999999</v>
      </c>
      <c r="J100" s="2875">
        <f>(-0.214*(J99^2)-21.991*J99+4665)*(10^(-4))</f>
        <v>0.46650000000000003</v>
      </c>
      <c r="K100" s="2875">
        <f>(-0.214*(K99^2)-21.991*K99+4665)*(10^(-4))</f>
        <v>0.46650000000000003</v>
      </c>
      <c r="L100" s="2875">
        <f>(-0.214*(L99^2)-21.991*L99+4665)*(10^(-4))</f>
        <v>0.46650000000000003</v>
      </c>
      <c r="M100" s="2875">
        <f>(-0.214*(M99^2)-21.991*M99+4665)*(10^(-4))</f>
        <v>0.46650000000000003</v>
      </c>
      <c r="N100" s="2875">
        <f>(-0.214*(N99^2)-21.991*N99+4665)*(10^(-4))</f>
        <v>0.46650000000000003</v>
      </c>
    </row>
    <row r="101" spans="1:14">
      <c r="A101" s="3287" t="s">
        <v>2972</v>
      </c>
      <c r="B101" s="2876" t="s">
        <v>2973</v>
      </c>
      <c r="C101" s="2877">
        <f>$G$3</f>
        <v>1.05</v>
      </c>
      <c r="D101" s="2877">
        <f t="shared" ref="D101:N101" si="31">$G$3</f>
        <v>1.05</v>
      </c>
      <c r="E101" s="2877">
        <f t="shared" si="31"/>
        <v>1.05</v>
      </c>
      <c r="F101" s="2877">
        <f t="shared" si="31"/>
        <v>1.05</v>
      </c>
      <c r="G101" s="2877">
        <f t="shared" si="31"/>
        <v>1.05</v>
      </c>
      <c r="H101" s="2877">
        <f t="shared" si="31"/>
        <v>1.05</v>
      </c>
      <c r="I101" s="2877">
        <f t="shared" si="31"/>
        <v>1.05</v>
      </c>
      <c r="J101" s="2877">
        <f t="shared" si="31"/>
        <v>1.05</v>
      </c>
      <c r="K101" s="2877">
        <f t="shared" si="31"/>
        <v>1.05</v>
      </c>
      <c r="L101" s="2877">
        <f t="shared" si="31"/>
        <v>1.05</v>
      </c>
      <c r="M101" s="2877">
        <f t="shared" si="31"/>
        <v>1.05</v>
      </c>
      <c r="N101" s="2877">
        <f t="shared" si="31"/>
        <v>1.05</v>
      </c>
    </row>
    <row r="102" spans="1:14">
      <c r="A102" s="3288"/>
      <c r="B102" s="2872">
        <v>1</v>
      </c>
      <c r="C102" s="2873">
        <f>1.9362/C101</f>
        <v>1.8439999999999999</v>
      </c>
      <c r="D102" s="2873">
        <f>1.9362/D101</f>
        <v>1.8439999999999999</v>
      </c>
      <c r="E102" s="2873">
        <f>1.8629/E101</f>
        <v>1.7741904761904761</v>
      </c>
      <c r="F102" s="2873">
        <f>1.8629/F101</f>
        <v>1.7741904761904761</v>
      </c>
      <c r="G102" s="2873">
        <f>1.8629/G101</f>
        <v>1.7741904761904761</v>
      </c>
      <c r="H102" s="2873">
        <f>1.8629/H101</f>
        <v>1.7741904761904761</v>
      </c>
      <c r="I102" s="2873">
        <f>1.8629/I101</f>
        <v>1.7741904761904761</v>
      </c>
      <c r="J102" s="2873">
        <f>1.942/J101</f>
        <v>1.8495238095238093</v>
      </c>
      <c r="K102" s="2873">
        <f>1.942/K101</f>
        <v>1.8495238095238093</v>
      </c>
      <c r="L102" s="2873">
        <f>1.942/L101</f>
        <v>1.8495238095238093</v>
      </c>
      <c r="M102" s="2873">
        <f>1.942/M101</f>
        <v>1.8495238095238093</v>
      </c>
      <c r="N102" s="2873">
        <f>1.942/N101</f>
        <v>1.8495238095238093</v>
      </c>
    </row>
    <row r="103" spans="1:14">
      <c r="A103" s="3288"/>
      <c r="B103" s="2872">
        <v>2</v>
      </c>
      <c r="C103" s="2873">
        <f>1.4198/C101</f>
        <v>1.3521904761904762</v>
      </c>
      <c r="D103" s="2873">
        <f>1.4198/D101</f>
        <v>1.3521904761904762</v>
      </c>
      <c r="E103" s="2873">
        <f>1.3372/E101</f>
        <v>1.2735238095238095</v>
      </c>
      <c r="F103" s="2873">
        <f>1.3372/F101</f>
        <v>1.2735238095238095</v>
      </c>
      <c r="G103" s="2873">
        <f>1.3372/G101</f>
        <v>1.2735238095238095</v>
      </c>
      <c r="H103" s="2873">
        <f>1.3372/H101</f>
        <v>1.2735238095238095</v>
      </c>
      <c r="I103" s="2873">
        <f>1.3372/I101</f>
        <v>1.2735238095238095</v>
      </c>
      <c r="J103" s="2873">
        <f>1.2799/J101</f>
        <v>1.218952380952381</v>
      </c>
      <c r="K103" s="2873">
        <f>1.2799/K101</f>
        <v>1.218952380952381</v>
      </c>
      <c r="L103" s="2873">
        <f>1.2799/L101</f>
        <v>1.218952380952381</v>
      </c>
      <c r="M103" s="2873">
        <f>1.2799/M101</f>
        <v>1.218952380952381</v>
      </c>
      <c r="N103" s="2873">
        <f>1.2799/N101</f>
        <v>1.218952380952381</v>
      </c>
    </row>
    <row r="104" spans="1:14">
      <c r="A104" s="3288"/>
      <c r="B104" s="2872">
        <v>3</v>
      </c>
      <c r="C104" s="2873">
        <f>1.1594/C101</f>
        <v>1.1041904761904762</v>
      </c>
      <c r="D104" s="2873">
        <f>1.1594/D101</f>
        <v>1.1041904761904762</v>
      </c>
      <c r="E104" s="2873">
        <f>1.0788/E101</f>
        <v>1.0274285714285714</v>
      </c>
      <c r="F104" s="2873">
        <f>1.0788/F101</f>
        <v>1.0274285714285714</v>
      </c>
      <c r="G104" s="2873">
        <f>1.0788/G101</f>
        <v>1.0274285714285714</v>
      </c>
      <c r="H104" s="2873">
        <f>1.0788/H101</f>
        <v>1.0274285714285714</v>
      </c>
      <c r="I104" s="2873">
        <f>1.0788/I101</f>
        <v>1.0274285714285714</v>
      </c>
      <c r="J104" s="2873">
        <f>1.0072/J101</f>
        <v>0.95923809523809533</v>
      </c>
      <c r="K104" s="2873">
        <f>1.0072/K101</f>
        <v>0.95923809523809533</v>
      </c>
      <c r="L104" s="2873">
        <f>1.0072/L101</f>
        <v>0.95923809523809533</v>
      </c>
      <c r="M104" s="2873">
        <f>1.0072/M101</f>
        <v>0.95923809523809533</v>
      </c>
      <c r="N104" s="2873">
        <f>1.0072/N101</f>
        <v>0.95923809523809533</v>
      </c>
    </row>
    <row r="105" spans="1:14">
      <c r="A105" s="3288"/>
      <c r="B105" s="2872">
        <v>4</v>
      </c>
      <c r="C105" s="2873">
        <f>0.9622/C101</f>
        <v>0.91638095238095241</v>
      </c>
      <c r="D105" s="2873">
        <f>0.9622/D101</f>
        <v>0.91638095238095241</v>
      </c>
      <c r="E105" s="2873">
        <f>0.8656/E101</f>
        <v>0.82438095238095233</v>
      </c>
      <c r="F105" s="2873">
        <f>0.8656/F101</f>
        <v>0.82438095238095233</v>
      </c>
      <c r="G105" s="2873">
        <f>0.8656/G101</f>
        <v>0.82438095238095233</v>
      </c>
      <c r="H105" s="2873">
        <f>0.8656/H101</f>
        <v>0.82438095238095233</v>
      </c>
      <c r="I105" s="2873">
        <f>0.8656/I101</f>
        <v>0.82438095238095233</v>
      </c>
      <c r="J105" s="2873">
        <f>0.7525/J101</f>
        <v>0.71666666666666656</v>
      </c>
      <c r="K105" s="2873">
        <f>0.7525/K101</f>
        <v>0.71666666666666656</v>
      </c>
      <c r="L105" s="2873">
        <f>0.7525/L101</f>
        <v>0.71666666666666656</v>
      </c>
      <c r="M105" s="2873">
        <f>0.7525/M101</f>
        <v>0.71666666666666656</v>
      </c>
      <c r="N105" s="2873">
        <f>0.7525/N101</f>
        <v>0.71666666666666656</v>
      </c>
    </row>
    <row r="106" spans="1:14">
      <c r="A106" s="3288"/>
      <c r="B106" s="2872">
        <v>5</v>
      </c>
      <c r="C106" s="2873">
        <f>0.8417/C101</f>
        <v>0.80161904761904756</v>
      </c>
      <c r="D106" s="2873">
        <f>0.8417/D101</f>
        <v>0.80161904761904756</v>
      </c>
      <c r="E106" s="2873">
        <f>0.7371/E101</f>
        <v>0.70199999999999996</v>
      </c>
      <c r="F106" s="2873">
        <f>0.7371/F101</f>
        <v>0.70199999999999996</v>
      </c>
      <c r="G106" s="2873">
        <f>0.7371/G101</f>
        <v>0.70199999999999996</v>
      </c>
      <c r="H106" s="2873">
        <f>0.7371/H101</f>
        <v>0.70199999999999996</v>
      </c>
      <c r="I106" s="2873">
        <f>0.7371/I101</f>
        <v>0.70199999999999996</v>
      </c>
      <c r="J106" s="2873">
        <f>0.5659/J101</f>
        <v>0.53895238095238085</v>
      </c>
      <c r="K106" s="2873">
        <f>0.5659/K101</f>
        <v>0.53895238095238085</v>
      </c>
      <c r="L106" s="2873">
        <f>0.5659/L101</f>
        <v>0.53895238095238085</v>
      </c>
      <c r="M106" s="2873">
        <f>0.5659/M101</f>
        <v>0.53895238095238085</v>
      </c>
      <c r="N106" s="2873">
        <f>0.5659/N101</f>
        <v>0.53895238095238085</v>
      </c>
    </row>
    <row r="107" spans="1:14">
      <c r="A107" s="3288"/>
      <c r="B107" s="2872">
        <v>6</v>
      </c>
      <c r="C107" s="2873">
        <f>0.7608/C101</f>
        <v>0.72457142857142853</v>
      </c>
      <c r="D107" s="2873">
        <f>0.7608/D101</f>
        <v>0.72457142857142853</v>
      </c>
      <c r="E107" s="2873">
        <f>0.6482/E101</f>
        <v>0.61733333333333329</v>
      </c>
      <c r="F107" s="2873">
        <f>0.6482/F101</f>
        <v>0.61733333333333329</v>
      </c>
      <c r="G107" s="2873">
        <f>0.6482/G101</f>
        <v>0.61733333333333329</v>
      </c>
      <c r="H107" s="2873">
        <f>0.6482/H101</f>
        <v>0.61733333333333329</v>
      </c>
      <c r="I107" s="2873">
        <f>0.6482/I101</f>
        <v>0.61733333333333329</v>
      </c>
      <c r="J107" s="2873">
        <f>0.4525/J101</f>
        <v>0.43095238095238092</v>
      </c>
      <c r="K107" s="2873">
        <f>0.4525/K101</f>
        <v>0.43095238095238092</v>
      </c>
      <c r="L107" s="2873">
        <f>0.4525/L101</f>
        <v>0.43095238095238092</v>
      </c>
      <c r="M107" s="2873">
        <f>0.4525/M101</f>
        <v>0.43095238095238092</v>
      </c>
      <c r="N107" s="2873">
        <f>0.4525/N101</f>
        <v>0.43095238095238092</v>
      </c>
    </row>
    <row r="108" spans="1:14">
      <c r="A108" s="3288"/>
      <c r="B108" s="3112" t="s">
        <v>2974</v>
      </c>
      <c r="C108" s="2874">
        <f>C99</f>
        <v>0</v>
      </c>
      <c r="D108" s="2874">
        <f t="shared" ref="D108:N108" si="32">D99</f>
        <v>0</v>
      </c>
      <c r="E108" s="2874">
        <f t="shared" si="32"/>
        <v>0</v>
      </c>
      <c r="F108" s="2874">
        <f t="shared" si="32"/>
        <v>0</v>
      </c>
      <c r="G108" s="2874">
        <f t="shared" si="32"/>
        <v>0</v>
      </c>
      <c r="H108" s="2874">
        <f t="shared" si="32"/>
        <v>0</v>
      </c>
      <c r="I108" s="2874">
        <f t="shared" si="32"/>
        <v>0</v>
      </c>
      <c r="J108" s="2874">
        <f t="shared" si="32"/>
        <v>0</v>
      </c>
      <c r="K108" s="2874">
        <f t="shared" si="32"/>
        <v>0</v>
      </c>
      <c r="L108" s="2874">
        <f t="shared" si="32"/>
        <v>0</v>
      </c>
      <c r="M108" s="2874">
        <f t="shared" si="32"/>
        <v>0</v>
      </c>
      <c r="N108" s="2874">
        <f t="shared" si="32"/>
        <v>0</v>
      </c>
    </row>
    <row r="109" spans="1:14">
      <c r="A109" s="3289"/>
      <c r="B109" s="3113"/>
      <c r="C109" s="2875">
        <f>(-0.163*(C108^2)-0.59*C108+7617)*(10^(-4))/C101</f>
        <v>0.72542857142857142</v>
      </c>
      <c r="D109" s="2875">
        <f>(-0.163*(D108^2)-0.59*D108+7617)*(10^(-4))/D101</f>
        <v>0.72542857142857142</v>
      </c>
      <c r="E109" s="2875">
        <f>(-0.161*(E108^2)-7.509*E108+6533)*(10^(-4))/E101</f>
        <v>0.62219047619047618</v>
      </c>
      <c r="F109" s="2875">
        <f>(-0.161*(F108^2)-7.509*F108+6533)*(10^(-4))/F101</f>
        <v>0.62219047619047618</v>
      </c>
      <c r="G109" s="2875">
        <f>(-0.161*(G108^2)-7.509*G108+6533)*(10^(-4))/G101</f>
        <v>0.62219047619047618</v>
      </c>
      <c r="H109" s="2875">
        <f>(-0.161*(H108^2)-7.509*H108+6533)*(10^(-4))/H101</f>
        <v>0.62219047619047618</v>
      </c>
      <c r="I109" s="2875">
        <f>(-0.161*(I108^2)-7.509*I108+6533)*(10^(-4))/I101</f>
        <v>0.62219047619047618</v>
      </c>
      <c r="J109" s="2875">
        <f>(-0.214*(J108^2)-21.991*J108+4665)*(10^(-4))/J101</f>
        <v>0.44428571428571428</v>
      </c>
      <c r="K109" s="2875">
        <f>(-0.214*(K108^2)-21.991*K108+4665)*(10^(-4))/K101</f>
        <v>0.44428571428571428</v>
      </c>
      <c r="L109" s="2875">
        <f>(-0.214*(L108^2)-21.991*L108+4665)*(10^(-4))/L101</f>
        <v>0.44428571428571428</v>
      </c>
      <c r="M109" s="2875">
        <f>(-0.214*(M108^2)-21.991*M108+4665)*(10^(-4))/M101</f>
        <v>0.44428571428571428</v>
      </c>
      <c r="N109" s="2875">
        <f>(-0.214*(N108^2)-21.991*N108+4665)*(10^(-4))/N101</f>
        <v>0.44428571428571428</v>
      </c>
    </row>
    <row r="110" spans="1:14">
      <c r="A110" s="3285" t="s">
        <v>2975</v>
      </c>
      <c r="B110" s="3285"/>
      <c r="C110" s="3285"/>
      <c r="D110" s="3285"/>
      <c r="E110" s="3285"/>
      <c r="F110" s="3285"/>
      <c r="G110" s="3285"/>
      <c r="H110" s="3285"/>
      <c r="I110" s="3285"/>
      <c r="J110" s="3285"/>
      <c r="K110" s="2878"/>
      <c r="L110" s="2878"/>
      <c r="M110" s="2878"/>
      <c r="N110" s="2878"/>
    </row>
    <row r="112" spans="1:14" ht="13.5" thickBot="1"/>
    <row r="113" spans="1:13" ht="25.5" thickBot="1">
      <c r="A113" s="902" t="s">
        <v>2976</v>
      </c>
      <c r="B113" s="1286">
        <f>G3</f>
        <v>1.05</v>
      </c>
      <c r="C113" s="903" t="s">
        <v>2977</v>
      </c>
      <c r="D113" s="904">
        <f>SUMPRODUCT((A115:A118=F113)*(B114:M114=H113)*B115:M118)</f>
        <v>0</v>
      </c>
      <c r="E113" s="2709" t="s">
        <v>2809</v>
      </c>
      <c r="F113" s="2880">
        <f>E2</f>
        <v>0</v>
      </c>
      <c r="G113" s="2709" t="s">
        <v>2810</v>
      </c>
      <c r="H113" s="2880">
        <f>G2</f>
        <v>0</v>
      </c>
      <c r="I113" s="2709"/>
      <c r="J113" s="2881"/>
      <c r="K113" s="2881"/>
      <c r="L113" s="2881"/>
      <c r="M113" s="2881"/>
    </row>
    <row r="114" spans="1:13">
      <c r="A114" s="907"/>
      <c r="B114" s="2882" t="s">
        <v>2978</v>
      </c>
      <c r="C114" s="2882" t="s">
        <v>2979</v>
      </c>
      <c r="D114" s="2882" t="s">
        <v>2980</v>
      </c>
      <c r="E114" s="2883" t="s">
        <v>2981</v>
      </c>
      <c r="F114" s="2883" t="s">
        <v>2982</v>
      </c>
      <c r="G114" s="2883" t="s">
        <v>2983</v>
      </c>
      <c r="H114" s="2884" t="s">
        <v>2984</v>
      </c>
      <c r="I114" s="2884" t="s">
        <v>2985</v>
      </c>
      <c r="J114" s="2885" t="s">
        <v>2986</v>
      </c>
      <c r="K114" s="2885" t="s">
        <v>2987</v>
      </c>
      <c r="L114" s="2885" t="s">
        <v>2988</v>
      </c>
      <c r="M114" s="2886" t="s">
        <v>2989</v>
      </c>
    </row>
    <row r="115" spans="1:13">
      <c r="A115" s="908" t="s">
        <v>2874</v>
      </c>
      <c r="B115" s="909">
        <f>ROUND(0.9335-0.0094*B113,4)</f>
        <v>0.92359999999999998</v>
      </c>
      <c r="C115" s="909">
        <f>B115</f>
        <v>0.92359999999999998</v>
      </c>
      <c r="D115" s="909">
        <f>ROUND(0.8331-0.0109*B113,4)</f>
        <v>0.82169999999999999</v>
      </c>
      <c r="E115" s="909">
        <f>D115</f>
        <v>0.82169999999999999</v>
      </c>
      <c r="F115" s="909">
        <f>E115</f>
        <v>0.82169999999999999</v>
      </c>
      <c r="G115" s="909">
        <f>F115</f>
        <v>0.82169999999999999</v>
      </c>
      <c r="H115" s="909">
        <f>G115</f>
        <v>0.82169999999999999</v>
      </c>
      <c r="I115" s="909">
        <f>ROUND(0.689-0.0155*B113,4)</f>
        <v>0.67269999999999996</v>
      </c>
      <c r="J115" s="909">
        <f t="shared" ref="J115:M118" si="33">I115</f>
        <v>0.67269999999999996</v>
      </c>
      <c r="K115" s="909">
        <f t="shared" si="33"/>
        <v>0.67269999999999996</v>
      </c>
      <c r="L115" s="909">
        <f t="shared" si="33"/>
        <v>0.67269999999999996</v>
      </c>
      <c r="M115" s="910">
        <f t="shared" si="33"/>
        <v>0.67269999999999996</v>
      </c>
    </row>
    <row r="116" spans="1:13">
      <c r="A116" s="908" t="s">
        <v>2875</v>
      </c>
      <c r="B116" s="909">
        <f>ROUND(0.949-0.012*B113,4)</f>
        <v>0.93640000000000001</v>
      </c>
      <c r="C116" s="909">
        <f>B116</f>
        <v>0.93640000000000001</v>
      </c>
      <c r="D116" s="909">
        <f>ROUND(0.8567-0.013*B113,4)</f>
        <v>0.84309999999999996</v>
      </c>
      <c r="E116" s="909">
        <f t="shared" ref="E116:H117" si="34">D116</f>
        <v>0.84309999999999996</v>
      </c>
      <c r="F116" s="909">
        <f t="shared" si="34"/>
        <v>0.84309999999999996</v>
      </c>
      <c r="G116" s="909">
        <f t="shared" si="34"/>
        <v>0.84309999999999996</v>
      </c>
      <c r="H116" s="909">
        <f t="shared" si="34"/>
        <v>0.84309999999999996</v>
      </c>
      <c r="I116" s="909">
        <f>ROUND(0.7694-0.014*B113,4)</f>
        <v>0.75470000000000004</v>
      </c>
      <c r="J116" s="909">
        <f t="shared" si="33"/>
        <v>0.75470000000000004</v>
      </c>
      <c r="K116" s="909">
        <f t="shared" si="33"/>
        <v>0.75470000000000004</v>
      </c>
      <c r="L116" s="909">
        <f t="shared" si="33"/>
        <v>0.75470000000000004</v>
      </c>
      <c r="M116" s="910">
        <f t="shared" si="33"/>
        <v>0.75470000000000004</v>
      </c>
    </row>
    <row r="117" spans="1:13">
      <c r="A117" s="908" t="s">
        <v>2876</v>
      </c>
      <c r="B117" s="909">
        <f>ROUND(0.8808-0.006*B113,4)</f>
        <v>0.87450000000000006</v>
      </c>
      <c r="C117" s="909">
        <f>B117</f>
        <v>0.87450000000000006</v>
      </c>
      <c r="D117" s="909">
        <f>ROUND(0.8748-0.008*B113,4)</f>
        <v>0.86639999999999995</v>
      </c>
      <c r="E117" s="909">
        <f t="shared" si="34"/>
        <v>0.86639999999999995</v>
      </c>
      <c r="F117" s="909">
        <f t="shared" si="34"/>
        <v>0.86639999999999995</v>
      </c>
      <c r="G117" s="909">
        <f t="shared" si="34"/>
        <v>0.86639999999999995</v>
      </c>
      <c r="H117" s="909">
        <f t="shared" si="34"/>
        <v>0.86639999999999995</v>
      </c>
      <c r="I117" s="909">
        <f>ROUND(0.7412-0.0095*B113,4)</f>
        <v>0.73119999999999996</v>
      </c>
      <c r="J117" s="909">
        <f t="shared" si="33"/>
        <v>0.73119999999999996</v>
      </c>
      <c r="K117" s="909">
        <f t="shared" si="33"/>
        <v>0.73119999999999996</v>
      </c>
      <c r="L117" s="909">
        <f t="shared" si="33"/>
        <v>0.73119999999999996</v>
      </c>
      <c r="M117" s="910">
        <f t="shared" si="33"/>
        <v>0.73119999999999996</v>
      </c>
    </row>
    <row r="118" spans="1:13" ht="13.5" thickBot="1">
      <c r="A118" s="713" t="s">
        <v>2877</v>
      </c>
      <c r="B118" s="911">
        <f>ROUND(0.7275-0.01*B113,4)</f>
        <v>0.71699999999999997</v>
      </c>
      <c r="C118" s="911">
        <f>B118</f>
        <v>0.71699999999999997</v>
      </c>
      <c r="D118" s="911">
        <f>ROUND(0.7043-0.012*B113,4)</f>
        <v>0.69169999999999998</v>
      </c>
      <c r="E118" s="911">
        <f>D118</f>
        <v>0.69169999999999998</v>
      </c>
      <c r="F118" s="911">
        <f>E118</f>
        <v>0.69169999999999998</v>
      </c>
      <c r="G118" s="911">
        <f>ROUND(0.6299-0.0122*B113,4)</f>
        <v>0.61709999999999998</v>
      </c>
      <c r="H118" s="911">
        <f>G118</f>
        <v>0.61709999999999998</v>
      </c>
      <c r="I118" s="911">
        <f>ROUND(0.5667-0.0136*B113,4)</f>
        <v>0.5524</v>
      </c>
      <c r="J118" s="911">
        <f t="shared" si="33"/>
        <v>0.5524</v>
      </c>
      <c r="K118" s="911">
        <f t="shared" si="33"/>
        <v>0.5524</v>
      </c>
      <c r="L118" s="911">
        <f t="shared" si="33"/>
        <v>0.5524</v>
      </c>
      <c r="M118" s="912">
        <f t="shared" si="33"/>
        <v>0.5524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3044</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05" t="s">
        <v>183</v>
      </c>
      <c r="B18" s="881" t="s">
        <v>560</v>
      </c>
      <c r="C18" s="882" t="s">
        <v>561</v>
      </c>
      <c r="D18" s="883"/>
      <c r="E18" s="881">
        <v>1</v>
      </c>
      <c r="F18" s="884" t="s">
        <v>562</v>
      </c>
      <c r="G18" s="885"/>
      <c r="H18" s="877"/>
      <c r="I18" s="877"/>
    </row>
    <row r="19" spans="1:9" s="886" customFormat="1" ht="19.5" customHeight="1">
      <c r="A19" s="3305"/>
      <c r="B19" s="3305" t="s">
        <v>563</v>
      </c>
      <c r="C19" s="882" t="s">
        <v>564</v>
      </c>
      <c r="D19" s="883"/>
      <c r="E19" s="881">
        <v>0.9</v>
      </c>
      <c r="F19" s="884" t="s">
        <v>565</v>
      </c>
      <c r="G19" s="885"/>
      <c r="H19" s="877"/>
      <c r="I19" s="877"/>
    </row>
    <row r="20" spans="1:9" s="886" customFormat="1" ht="19.5" customHeight="1">
      <c r="A20" s="3305"/>
      <c r="B20" s="3305"/>
      <c r="C20" s="882" t="s">
        <v>566</v>
      </c>
      <c r="D20" s="883"/>
      <c r="E20" s="881">
        <v>1.1000000000000001</v>
      </c>
      <c r="F20" s="884" t="s">
        <v>567</v>
      </c>
      <c r="G20" s="885"/>
      <c r="H20" s="877"/>
      <c r="I20" s="877"/>
    </row>
    <row r="21" spans="1:9" s="886" customFormat="1" ht="19.5" customHeight="1">
      <c r="A21" s="3305"/>
      <c r="B21" s="3305"/>
      <c r="C21" s="882" t="s">
        <v>568</v>
      </c>
      <c r="D21" s="883"/>
      <c r="E21" s="881">
        <v>0.8</v>
      </c>
      <c r="F21" s="884" t="s">
        <v>569</v>
      </c>
      <c r="G21" s="885"/>
      <c r="H21" s="877"/>
      <c r="I21" s="877"/>
    </row>
    <row r="22" spans="1:9" s="886" customFormat="1" ht="19.5" customHeight="1">
      <c r="A22" s="3305"/>
      <c r="B22" s="3305"/>
      <c r="C22" s="882" t="s">
        <v>570</v>
      </c>
      <c r="D22" s="883"/>
      <c r="E22" s="881">
        <v>0.5</v>
      </c>
      <c r="F22" s="884"/>
      <c r="G22" s="885"/>
      <c r="H22" s="877"/>
      <c r="I22" s="877"/>
    </row>
    <row r="23" spans="1:9" s="886" customFormat="1" ht="19.5" customHeight="1">
      <c r="A23" s="3305" t="s">
        <v>184</v>
      </c>
      <c r="B23" s="881" t="s">
        <v>560</v>
      </c>
      <c r="C23" s="882" t="s">
        <v>571</v>
      </c>
      <c r="D23" s="883"/>
      <c r="E23" s="881">
        <v>1</v>
      </c>
      <c r="F23" s="884" t="s">
        <v>572</v>
      </c>
      <c r="G23" s="885"/>
      <c r="H23" s="877"/>
      <c r="I23" s="877"/>
    </row>
    <row r="24" spans="1:9" s="886" customFormat="1" ht="19.5" customHeight="1">
      <c r="A24" s="3305"/>
      <c r="B24" s="3305" t="s">
        <v>563</v>
      </c>
      <c r="C24" s="882" t="s">
        <v>573</v>
      </c>
      <c r="D24" s="883"/>
      <c r="E24" s="881">
        <v>0.5</v>
      </c>
      <c r="F24" s="884"/>
      <c r="G24" s="885"/>
      <c r="H24" s="877"/>
      <c r="I24" s="877"/>
    </row>
    <row r="25" spans="1:9" s="886" customFormat="1" ht="19.5" customHeight="1">
      <c r="A25" s="3305"/>
      <c r="B25" s="3305"/>
      <c r="C25" s="882" t="s">
        <v>574</v>
      </c>
      <c r="D25" s="883"/>
      <c r="E25" s="881">
        <v>1.1000000000000001</v>
      </c>
      <c r="F25" s="884"/>
      <c r="G25" s="885"/>
      <c r="H25" s="877"/>
      <c r="I25" s="877"/>
    </row>
    <row r="26" spans="1:9" s="886" customFormat="1" ht="19.5" customHeight="1">
      <c r="A26" s="3305"/>
      <c r="B26" s="3305"/>
      <c r="C26" s="882" t="s">
        <v>575</v>
      </c>
      <c r="D26" s="883"/>
      <c r="E26" s="881">
        <v>1.1000000000000001</v>
      </c>
      <c r="F26" s="884"/>
      <c r="G26" s="885"/>
      <c r="H26" s="877"/>
      <c r="I26" s="877"/>
    </row>
    <row r="27" spans="1:9" s="886" customFormat="1" ht="19.5" customHeight="1">
      <c r="A27" s="3305"/>
      <c r="B27" s="3305"/>
      <c r="C27" s="882" t="s">
        <v>576</v>
      </c>
      <c r="D27" s="883"/>
      <c r="E27" s="881">
        <v>0.9</v>
      </c>
      <c r="F27" s="884" t="s">
        <v>577</v>
      </c>
      <c r="G27" s="885"/>
      <c r="H27" s="877"/>
      <c r="I27" s="877"/>
    </row>
    <row r="28" spans="1:9" s="886" customFormat="1" ht="19.5" customHeight="1">
      <c r="A28" s="3305"/>
      <c r="B28" s="3305"/>
      <c r="C28" s="882" t="s">
        <v>578</v>
      </c>
      <c r="D28" s="883"/>
      <c r="E28" s="881">
        <v>0.9</v>
      </c>
      <c r="F28" s="884" t="s">
        <v>579</v>
      </c>
      <c r="G28" s="885"/>
      <c r="H28" s="877"/>
      <c r="I28" s="877"/>
    </row>
    <row r="29" spans="1:9" s="886" customFormat="1" ht="19.5" customHeight="1">
      <c r="A29" s="3305"/>
      <c r="B29" s="3305"/>
      <c r="C29" s="882" t="s">
        <v>580</v>
      </c>
      <c r="D29" s="883"/>
      <c r="E29" s="881">
        <v>0.9</v>
      </c>
      <c r="F29" s="884" t="s">
        <v>581</v>
      </c>
      <c r="G29" s="885"/>
      <c r="H29" s="877"/>
      <c r="I29" s="877"/>
    </row>
    <row r="30" spans="1:9" s="886" customFormat="1" ht="19.5" customHeight="1">
      <c r="A30" s="3305"/>
      <c r="B30" s="3305"/>
      <c r="C30" s="882" t="s">
        <v>582</v>
      </c>
      <c r="D30" s="883"/>
      <c r="E30" s="881">
        <v>0.9</v>
      </c>
      <c r="F30" s="884" t="s">
        <v>583</v>
      </c>
      <c r="G30" s="885"/>
      <c r="H30" s="877"/>
      <c r="I30" s="877"/>
    </row>
    <row r="31" spans="1:9" s="886" customFormat="1" ht="19.5" customHeight="1">
      <c r="A31" s="3305"/>
      <c r="B31" s="3305"/>
      <c r="C31" s="882" t="s">
        <v>584</v>
      </c>
      <c r="D31" s="883"/>
      <c r="E31" s="881">
        <v>0.8</v>
      </c>
      <c r="F31" s="884" t="s">
        <v>585</v>
      </c>
      <c r="G31" s="885"/>
      <c r="H31" s="877"/>
      <c r="I31" s="877"/>
    </row>
    <row r="32" spans="1:9" s="886" customFormat="1" ht="19.5" customHeight="1">
      <c r="A32" s="3305"/>
      <c r="B32" s="3305"/>
      <c r="C32" s="882" t="s">
        <v>586</v>
      </c>
      <c r="D32" s="883"/>
      <c r="E32" s="881">
        <v>0.8</v>
      </c>
      <c r="F32" s="884" t="s">
        <v>587</v>
      </c>
      <c r="G32" s="885"/>
      <c r="H32" s="877"/>
      <c r="I32" s="877"/>
    </row>
    <row r="33" spans="1:9" s="886" customFormat="1" ht="19.5" customHeight="1">
      <c r="A33" s="3305" t="s">
        <v>185</v>
      </c>
      <c r="B33" s="881" t="s">
        <v>560</v>
      </c>
      <c r="C33" s="882" t="s">
        <v>588</v>
      </c>
      <c r="D33" s="883"/>
      <c r="E33" s="881">
        <v>1</v>
      </c>
      <c r="F33" s="884" t="s">
        <v>589</v>
      </c>
      <c r="G33" s="885"/>
      <c r="H33" s="877"/>
      <c r="I33" s="877"/>
    </row>
    <row r="34" spans="1:9" s="886" customFormat="1" ht="19.5" customHeight="1">
      <c r="A34" s="3305"/>
      <c r="B34" s="881" t="s">
        <v>563</v>
      </c>
      <c r="C34" s="882" t="s">
        <v>590</v>
      </c>
      <c r="D34" s="883"/>
      <c r="E34" s="881">
        <v>1.5</v>
      </c>
      <c r="F34" s="884" t="s">
        <v>591</v>
      </c>
      <c r="G34" s="885"/>
      <c r="H34" s="877"/>
      <c r="I34" s="877"/>
    </row>
    <row r="35" spans="1:9" s="886" customFormat="1" ht="19.5" customHeight="1">
      <c r="A35" s="3305" t="s">
        <v>186</v>
      </c>
      <c r="B35" s="881" t="s">
        <v>560</v>
      </c>
      <c r="C35" s="882" t="s">
        <v>592</v>
      </c>
      <c r="D35" s="883"/>
      <c r="E35" s="881">
        <v>1</v>
      </c>
      <c r="F35" s="884" t="s">
        <v>593</v>
      </c>
      <c r="G35" s="885"/>
      <c r="H35" s="877"/>
      <c r="I35" s="877"/>
    </row>
    <row r="36" spans="1:9" s="886" customFormat="1" ht="19.5" customHeight="1">
      <c r="A36" s="3305"/>
      <c r="B36" s="3305" t="s">
        <v>563</v>
      </c>
      <c r="C36" s="882" t="s">
        <v>594</v>
      </c>
      <c r="D36" s="883"/>
      <c r="E36" s="881">
        <v>1</v>
      </c>
      <c r="F36" s="884" t="s">
        <v>595</v>
      </c>
      <c r="G36" s="885"/>
      <c r="H36" s="877"/>
      <c r="I36" s="877"/>
    </row>
    <row r="37" spans="1:9" s="886" customFormat="1" ht="19.5" customHeight="1">
      <c r="A37" s="3305"/>
      <c r="B37" s="3305"/>
      <c r="C37" s="882" t="s">
        <v>596</v>
      </c>
      <c r="D37" s="883"/>
      <c r="E37" s="881">
        <v>1.5</v>
      </c>
      <c r="F37" s="884" t="s">
        <v>597</v>
      </c>
      <c r="G37" s="885"/>
      <c r="H37" s="877"/>
      <c r="I37" s="877"/>
    </row>
    <row r="38" spans="1:9" s="886" customFormat="1" ht="19.5" customHeight="1">
      <c r="A38" s="3305"/>
      <c r="B38" s="3305"/>
      <c r="C38" s="882" t="s">
        <v>598</v>
      </c>
      <c r="D38" s="883"/>
      <c r="E38" s="881">
        <v>1</v>
      </c>
      <c r="F38" s="884" t="s">
        <v>599</v>
      </c>
      <c r="G38" s="885"/>
      <c r="H38" s="877"/>
      <c r="I38" s="877"/>
    </row>
    <row r="39" spans="1:9" s="886" customFormat="1" ht="19.5" customHeight="1">
      <c r="A39" s="3305"/>
      <c r="B39" s="330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05" t="s">
        <v>614</v>
      </c>
      <c r="C61" s="817" t="s">
        <v>615</v>
      </c>
      <c r="D61" s="817" t="s">
        <v>616</v>
      </c>
      <c r="E61" s="894">
        <v>0.5</v>
      </c>
      <c r="F61" s="881">
        <v>80</v>
      </c>
    </row>
    <row r="62" spans="1:8" s="877" customFormat="1" ht="24">
      <c r="A62" s="881">
        <v>2</v>
      </c>
      <c r="B62" s="3305"/>
      <c r="C62" s="817" t="s">
        <v>617</v>
      </c>
      <c r="D62" s="817" t="s">
        <v>618</v>
      </c>
      <c r="E62" s="894">
        <v>0.5</v>
      </c>
      <c r="F62" s="881">
        <v>80</v>
      </c>
    </row>
    <row r="63" spans="1:8" s="877" customFormat="1" ht="36">
      <c r="A63" s="881">
        <v>3</v>
      </c>
      <c r="B63" s="3305"/>
      <c r="C63" s="817" t="s">
        <v>619</v>
      </c>
      <c r="D63" s="817" t="s">
        <v>620</v>
      </c>
      <c r="E63" s="894">
        <v>0.5</v>
      </c>
      <c r="F63" s="881">
        <v>80</v>
      </c>
    </row>
    <row r="64" spans="1:8" s="877" customFormat="1" ht="36">
      <c r="A64" s="881">
        <v>4</v>
      </c>
      <c r="B64" s="3305"/>
      <c r="C64" s="817" t="s">
        <v>621</v>
      </c>
      <c r="D64" s="817" t="s">
        <v>622</v>
      </c>
      <c r="E64" s="894">
        <v>0.4</v>
      </c>
      <c r="F64" s="881">
        <v>60</v>
      </c>
    </row>
    <row r="65" spans="1:6" s="877" customFormat="1" ht="36">
      <c r="A65" s="881">
        <v>5</v>
      </c>
      <c r="B65" s="3305"/>
      <c r="C65" s="817" t="s">
        <v>623</v>
      </c>
      <c r="D65" s="817" t="s">
        <v>624</v>
      </c>
      <c r="E65" s="894">
        <v>0.2</v>
      </c>
      <c r="F65" s="881">
        <v>30</v>
      </c>
    </row>
    <row r="66" spans="1:6" s="877" customFormat="1" ht="36">
      <c r="A66" s="881">
        <v>6</v>
      </c>
      <c r="B66" s="3305"/>
      <c r="C66" s="817" t="s">
        <v>625</v>
      </c>
      <c r="D66" s="817" t="s">
        <v>626</v>
      </c>
      <c r="E66" s="894">
        <v>0.3</v>
      </c>
      <c r="F66" s="881">
        <v>50</v>
      </c>
    </row>
    <row r="67" spans="1:6" s="877" customFormat="1" ht="36">
      <c r="A67" s="881">
        <v>7</v>
      </c>
      <c r="B67" s="3305"/>
      <c r="C67" s="817" t="s">
        <v>627</v>
      </c>
      <c r="D67" s="817" t="s">
        <v>628</v>
      </c>
      <c r="E67" s="894">
        <v>0.2</v>
      </c>
      <c r="F67" s="881">
        <v>30</v>
      </c>
    </row>
    <row r="68" spans="1:6" s="877" customFormat="1" ht="36">
      <c r="A68" s="881">
        <v>8</v>
      </c>
      <c r="B68" s="3305"/>
      <c r="C68" s="817" t="s">
        <v>629</v>
      </c>
      <c r="D68" s="817" t="s">
        <v>630</v>
      </c>
      <c r="E68" s="894">
        <v>0.2</v>
      </c>
      <c r="F68" s="881">
        <v>30</v>
      </c>
    </row>
    <row r="69" spans="1:6" s="877" customFormat="1" ht="36">
      <c r="A69" s="881">
        <v>9</v>
      </c>
      <c r="B69" s="3305"/>
      <c r="C69" s="817" t="s">
        <v>631</v>
      </c>
      <c r="D69" s="817" t="s">
        <v>632</v>
      </c>
      <c r="E69" s="894">
        <v>0.2</v>
      </c>
      <c r="F69" s="881">
        <v>30</v>
      </c>
    </row>
    <row r="70" spans="1:6" s="877" customFormat="1" ht="48">
      <c r="A70" s="881">
        <v>10</v>
      </c>
      <c r="B70" s="3305"/>
      <c r="C70" s="817" t="s">
        <v>633</v>
      </c>
      <c r="D70" s="817" t="s">
        <v>634</v>
      </c>
      <c r="E70" s="894">
        <v>0.2</v>
      </c>
      <c r="F70" s="881">
        <v>30</v>
      </c>
    </row>
    <row r="71" spans="1:6" s="877" customFormat="1" ht="48">
      <c r="A71" s="881">
        <v>11</v>
      </c>
      <c r="B71" s="3305"/>
      <c r="C71" s="817" t="s">
        <v>635</v>
      </c>
      <c r="D71" s="817" t="s">
        <v>636</v>
      </c>
      <c r="E71" s="894">
        <v>0.2</v>
      </c>
      <c r="F71" s="881">
        <v>30</v>
      </c>
    </row>
    <row r="72" spans="1:6" s="877" customFormat="1" ht="36">
      <c r="A72" s="881">
        <v>12</v>
      </c>
      <c r="B72" s="3305"/>
      <c r="C72" s="817" t="s">
        <v>637</v>
      </c>
      <c r="D72" s="817" t="s">
        <v>638</v>
      </c>
      <c r="E72" s="894">
        <v>0.5</v>
      </c>
      <c r="F72" s="881">
        <v>80</v>
      </c>
    </row>
    <row r="73" spans="1:6" s="877" customFormat="1" ht="24">
      <c r="A73" s="881">
        <v>13</v>
      </c>
      <c r="B73" s="3305"/>
      <c r="C73" s="817" t="s">
        <v>639</v>
      </c>
      <c r="D73" s="817" t="s">
        <v>640</v>
      </c>
      <c r="E73" s="894">
        <v>0.4</v>
      </c>
      <c r="F73" s="881">
        <v>60</v>
      </c>
    </row>
    <row r="74" spans="1:6" s="877" customFormat="1" ht="24">
      <c r="A74" s="881">
        <v>14</v>
      </c>
      <c r="B74" s="3305"/>
      <c r="C74" s="817" t="s">
        <v>641</v>
      </c>
      <c r="D74" s="817" t="s">
        <v>642</v>
      </c>
      <c r="E74" s="894">
        <v>0.2</v>
      </c>
      <c r="F74" s="881">
        <v>30</v>
      </c>
    </row>
    <row r="75" spans="1:6" s="877" customFormat="1" ht="24">
      <c r="A75" s="881">
        <v>15</v>
      </c>
      <c r="B75" s="3305"/>
      <c r="C75" s="817" t="s">
        <v>643</v>
      </c>
      <c r="D75" s="817" t="s">
        <v>644</v>
      </c>
      <c r="E75" s="894">
        <v>0.2</v>
      </c>
      <c r="F75" s="881">
        <v>30</v>
      </c>
    </row>
    <row r="76" spans="1:6" s="877" customFormat="1" ht="24">
      <c r="A76" s="881">
        <v>16</v>
      </c>
      <c r="B76" s="3305" t="s">
        <v>645</v>
      </c>
      <c r="C76" s="817" t="s">
        <v>646</v>
      </c>
      <c r="D76" s="817" t="s">
        <v>647</v>
      </c>
      <c r="E76" s="894">
        <v>0.5</v>
      </c>
      <c r="F76" s="881">
        <v>80</v>
      </c>
    </row>
    <row r="77" spans="1:6" s="877" customFormat="1" ht="24">
      <c r="A77" s="881">
        <v>17</v>
      </c>
      <c r="B77" s="3305"/>
      <c r="C77" s="817" t="s">
        <v>648</v>
      </c>
      <c r="D77" s="817" t="s">
        <v>649</v>
      </c>
      <c r="E77" s="894">
        <v>0.5</v>
      </c>
      <c r="F77" s="881">
        <v>80</v>
      </c>
    </row>
    <row r="78" spans="1:6" s="877" customFormat="1" ht="24">
      <c r="A78" s="881">
        <v>18</v>
      </c>
      <c r="B78" s="3305"/>
      <c r="C78" s="817" t="s">
        <v>650</v>
      </c>
      <c r="D78" s="817" t="s">
        <v>651</v>
      </c>
      <c r="E78" s="894">
        <v>0.2</v>
      </c>
      <c r="F78" s="881">
        <v>30</v>
      </c>
    </row>
    <row r="79" spans="1:6" s="877" customFormat="1" ht="24">
      <c r="A79" s="881">
        <v>19</v>
      </c>
      <c r="B79" s="3305"/>
      <c r="C79" s="817" t="s">
        <v>652</v>
      </c>
      <c r="D79" s="817" t="s">
        <v>653</v>
      </c>
      <c r="E79" s="894">
        <v>0.5</v>
      </c>
      <c r="F79" s="881">
        <v>80</v>
      </c>
    </row>
    <row r="80" spans="1:6" s="877" customFormat="1" ht="36">
      <c r="A80" s="881">
        <v>20</v>
      </c>
      <c r="B80" s="3305"/>
      <c r="C80" s="817" t="s">
        <v>654</v>
      </c>
      <c r="D80" s="817" t="s">
        <v>655</v>
      </c>
      <c r="E80" s="894">
        <v>0.2</v>
      </c>
      <c r="F80" s="881">
        <v>30</v>
      </c>
    </row>
    <row r="81" spans="1:6" s="877" customFormat="1" ht="36">
      <c r="A81" s="881">
        <v>21</v>
      </c>
      <c r="B81" s="3305"/>
      <c r="C81" s="817" t="s">
        <v>656</v>
      </c>
      <c r="D81" s="817" t="s">
        <v>657</v>
      </c>
      <c r="E81" s="894">
        <v>0.2</v>
      </c>
      <c r="F81" s="881">
        <v>30</v>
      </c>
    </row>
    <row r="82" spans="1:6" s="877" customFormat="1" ht="48">
      <c r="A82" s="881">
        <v>22</v>
      </c>
      <c r="B82" s="3305"/>
      <c r="C82" s="817" t="s">
        <v>658</v>
      </c>
      <c r="D82" s="817" t="s">
        <v>659</v>
      </c>
      <c r="E82" s="894">
        <v>0.2</v>
      </c>
      <c r="F82" s="881">
        <v>30</v>
      </c>
    </row>
    <row r="83" spans="1:6" s="877" customFormat="1" ht="48">
      <c r="A83" s="881">
        <v>23</v>
      </c>
      <c r="B83" s="3305"/>
      <c r="C83" s="817" t="s">
        <v>660</v>
      </c>
      <c r="D83" s="817" t="s">
        <v>661</v>
      </c>
      <c r="E83" s="894">
        <v>0.2</v>
      </c>
      <c r="F83" s="881">
        <v>30</v>
      </c>
    </row>
    <row r="84" spans="1:6" s="877" customFormat="1" ht="36">
      <c r="A84" s="881">
        <v>24</v>
      </c>
      <c r="B84" s="3305"/>
      <c r="C84" s="817" t="s">
        <v>662</v>
      </c>
      <c r="D84" s="817" t="s">
        <v>663</v>
      </c>
      <c r="E84" s="894">
        <v>0.2</v>
      </c>
      <c r="F84" s="881">
        <v>30</v>
      </c>
    </row>
    <row r="85" spans="1:6" s="877" customFormat="1" ht="36">
      <c r="A85" s="881">
        <v>25</v>
      </c>
      <c r="B85" s="3305"/>
      <c r="C85" s="817" t="s">
        <v>664</v>
      </c>
      <c r="D85" s="817" t="s">
        <v>665</v>
      </c>
      <c r="E85" s="894">
        <v>0.5</v>
      </c>
      <c r="F85" s="881">
        <v>80</v>
      </c>
    </row>
    <row r="86" spans="1:6" s="877" customFormat="1" ht="36">
      <c r="A86" s="881">
        <v>26</v>
      </c>
      <c r="B86" s="3305"/>
      <c r="C86" s="817" t="s">
        <v>666</v>
      </c>
      <c r="D86" s="817" t="s">
        <v>667</v>
      </c>
      <c r="E86" s="894">
        <v>0.2</v>
      </c>
      <c r="F86" s="881">
        <v>30</v>
      </c>
    </row>
    <row r="87" spans="1:6" s="877" customFormat="1" ht="36">
      <c r="A87" s="881">
        <v>27</v>
      </c>
      <c r="B87" s="3305"/>
      <c r="C87" s="817" t="s">
        <v>668</v>
      </c>
      <c r="D87" s="817" t="s">
        <v>669</v>
      </c>
      <c r="E87" s="894">
        <v>0.2</v>
      </c>
      <c r="F87" s="881">
        <v>30</v>
      </c>
    </row>
    <row r="88" spans="1:6" s="877" customFormat="1" ht="36">
      <c r="A88" s="881">
        <v>28</v>
      </c>
      <c r="B88" s="3305"/>
      <c r="C88" s="817" t="s">
        <v>670</v>
      </c>
      <c r="D88" s="817" t="s">
        <v>671</v>
      </c>
      <c r="E88" s="894">
        <v>0.2</v>
      </c>
      <c r="F88" s="881">
        <v>30</v>
      </c>
    </row>
    <row r="89" spans="1:6" s="877" customFormat="1" ht="24">
      <c r="A89" s="881">
        <v>29</v>
      </c>
      <c r="B89" s="3305"/>
      <c r="C89" s="817" t="s">
        <v>672</v>
      </c>
      <c r="D89" s="817" t="s">
        <v>673</v>
      </c>
      <c r="E89" s="894">
        <v>0.2</v>
      </c>
      <c r="F89" s="881">
        <v>30</v>
      </c>
    </row>
    <row r="90" spans="1:6" s="877" customFormat="1" ht="24">
      <c r="A90" s="881">
        <v>30</v>
      </c>
      <c r="B90" s="3305"/>
      <c r="C90" s="817" t="s">
        <v>674</v>
      </c>
      <c r="D90" s="817" t="s">
        <v>675</v>
      </c>
      <c r="E90" s="894">
        <v>0.2</v>
      </c>
      <c r="F90" s="881">
        <v>30</v>
      </c>
    </row>
    <row r="91" spans="1:6" s="877" customFormat="1" ht="36">
      <c r="A91" s="881">
        <v>31</v>
      </c>
      <c r="B91" s="3305"/>
      <c r="C91" s="817" t="s">
        <v>676</v>
      </c>
      <c r="D91" s="817" t="s">
        <v>677</v>
      </c>
      <c r="E91" s="894">
        <v>0.2</v>
      </c>
      <c r="F91" s="881">
        <v>30</v>
      </c>
    </row>
    <row r="92" spans="1:6" s="877" customFormat="1" ht="24">
      <c r="A92" s="881">
        <v>32</v>
      </c>
      <c r="B92" s="3305" t="s">
        <v>678</v>
      </c>
      <c r="C92" s="881" t="s">
        <v>679</v>
      </c>
      <c r="D92" s="817" t="s">
        <v>680</v>
      </c>
      <c r="E92" s="894">
        <v>0.2</v>
      </c>
      <c r="F92" s="881">
        <v>30</v>
      </c>
    </row>
    <row r="93" spans="1:6" s="877" customFormat="1" ht="36">
      <c r="A93" s="881">
        <v>33</v>
      </c>
      <c r="B93" s="3305"/>
      <c r="C93" s="881" t="s">
        <v>681</v>
      </c>
      <c r="D93" s="817" t="s">
        <v>682</v>
      </c>
      <c r="E93" s="894">
        <v>0.2</v>
      </c>
      <c r="F93" s="881">
        <v>30</v>
      </c>
    </row>
    <row r="94" spans="1:6" s="877" customFormat="1" ht="48">
      <c r="A94" s="881">
        <v>34</v>
      </c>
      <c r="B94" s="3305"/>
      <c r="C94" s="881" t="s">
        <v>683</v>
      </c>
      <c r="D94" s="817" t="s">
        <v>684</v>
      </c>
      <c r="E94" s="894">
        <v>0.2</v>
      </c>
      <c r="F94" s="881">
        <v>30</v>
      </c>
    </row>
    <row r="95" spans="1:6" s="877" customFormat="1" ht="36">
      <c r="A95" s="881">
        <v>35</v>
      </c>
      <c r="B95" s="3305"/>
      <c r="C95" s="881" t="s">
        <v>685</v>
      </c>
      <c r="D95" s="817" t="s">
        <v>686</v>
      </c>
      <c r="E95" s="894">
        <v>0.2</v>
      </c>
      <c r="F95" s="881">
        <v>30</v>
      </c>
    </row>
    <row r="96" spans="1:6" s="877" customFormat="1" ht="48">
      <c r="A96" s="881">
        <v>36</v>
      </c>
      <c r="B96" s="3305"/>
      <c r="C96" s="817" t="s">
        <v>687</v>
      </c>
      <c r="D96" s="817" t="s">
        <v>688</v>
      </c>
      <c r="E96" s="894">
        <v>0.2</v>
      </c>
      <c r="F96" s="881">
        <v>30</v>
      </c>
    </row>
    <row r="97" spans="1:6" s="877" customFormat="1" ht="36">
      <c r="A97" s="881">
        <v>37</v>
      </c>
      <c r="B97" s="3305"/>
      <c r="C97" s="881" t="s">
        <v>689</v>
      </c>
      <c r="D97" s="817" t="s">
        <v>690</v>
      </c>
      <c r="E97" s="894">
        <v>0.2</v>
      </c>
      <c r="F97" s="881">
        <v>30</v>
      </c>
    </row>
    <row r="98" spans="1:6" s="877" customFormat="1" ht="36">
      <c r="A98" s="881">
        <v>38</v>
      </c>
      <c r="B98" s="3305"/>
      <c r="C98" s="881" t="s">
        <v>691</v>
      </c>
      <c r="D98" s="817" t="s">
        <v>692</v>
      </c>
      <c r="E98" s="894">
        <v>0.2</v>
      </c>
      <c r="F98" s="881">
        <v>30</v>
      </c>
    </row>
    <row r="99" spans="1:6" s="877" customFormat="1" ht="36">
      <c r="A99" s="881">
        <v>39</v>
      </c>
      <c r="B99" s="3305" t="s">
        <v>693</v>
      </c>
      <c r="C99" s="881" t="s">
        <v>694</v>
      </c>
      <c r="D99" s="817" t="s">
        <v>695</v>
      </c>
      <c r="E99" s="894">
        <v>0.3</v>
      </c>
      <c r="F99" s="881">
        <v>50</v>
      </c>
    </row>
    <row r="100" spans="1:6" s="877" customFormat="1" ht="24">
      <c r="A100" s="881">
        <v>40</v>
      </c>
      <c r="B100" s="3305"/>
      <c r="C100" s="881" t="s">
        <v>696</v>
      </c>
      <c r="D100" s="817" t="s">
        <v>697</v>
      </c>
      <c r="E100" s="894">
        <v>0.2</v>
      </c>
      <c r="F100" s="881">
        <v>30</v>
      </c>
    </row>
    <row r="101" spans="1:6" s="877" customFormat="1" ht="36">
      <c r="A101" s="881">
        <v>41</v>
      </c>
      <c r="B101" s="330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05" t="s">
        <v>708</v>
      </c>
      <c r="C105" s="881" t="s">
        <v>709</v>
      </c>
      <c r="D105" s="817" t="s">
        <v>710</v>
      </c>
      <c r="E105" s="894">
        <v>0.2</v>
      </c>
      <c r="F105" s="881">
        <v>30</v>
      </c>
    </row>
    <row r="106" spans="1:6" s="877" customFormat="1" ht="36">
      <c r="A106" s="881">
        <v>46</v>
      </c>
      <c r="B106" s="3305"/>
      <c r="C106" s="881" t="s">
        <v>711</v>
      </c>
      <c r="D106" s="817" t="s">
        <v>712</v>
      </c>
      <c r="E106" s="894">
        <v>0.2</v>
      </c>
      <c r="F106" s="881">
        <v>30</v>
      </c>
    </row>
    <row r="107" spans="1:6" s="877" customFormat="1" ht="36">
      <c r="A107" s="881">
        <v>47</v>
      </c>
      <c r="B107" s="3305" t="s">
        <v>713</v>
      </c>
      <c r="C107" s="881" t="s">
        <v>714</v>
      </c>
      <c r="D107" s="817" t="s">
        <v>715</v>
      </c>
      <c r="E107" s="894">
        <v>0.3</v>
      </c>
      <c r="F107" s="881">
        <v>50</v>
      </c>
    </row>
    <row r="108" spans="1:6" s="877" customFormat="1" ht="36">
      <c r="A108" s="881">
        <v>48</v>
      </c>
      <c r="B108" s="330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05" t="s">
        <v>724</v>
      </c>
      <c r="C111" s="881" t="s">
        <v>725</v>
      </c>
      <c r="D111" s="817" t="s">
        <v>726</v>
      </c>
      <c r="E111" s="894">
        <v>0.2</v>
      </c>
      <c r="F111" s="881">
        <v>30</v>
      </c>
    </row>
    <row r="112" spans="1:6" s="877" customFormat="1" ht="24">
      <c r="A112" s="881">
        <v>52</v>
      </c>
      <c r="B112" s="3305"/>
      <c r="C112" s="881" t="s">
        <v>727</v>
      </c>
      <c r="D112" s="817" t="s">
        <v>728</v>
      </c>
      <c r="E112" s="894">
        <v>0.2</v>
      </c>
      <c r="F112" s="881">
        <v>30</v>
      </c>
    </row>
    <row r="113" spans="1:6" s="877" customFormat="1" ht="24">
      <c r="A113" s="881">
        <v>53</v>
      </c>
      <c r="B113" s="330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05" t="s">
        <v>737</v>
      </c>
      <c r="C116" s="881" t="s">
        <v>738</v>
      </c>
      <c r="D116" s="817" t="s">
        <v>739</v>
      </c>
      <c r="E116" s="894">
        <v>0.2</v>
      </c>
      <c r="F116" s="881">
        <v>30</v>
      </c>
    </row>
    <row r="117" spans="1:6" ht="36">
      <c r="A117" s="881">
        <v>57</v>
      </c>
      <c r="B117" s="330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22" sqref="B22"/>
    </sheetView>
  </sheetViews>
  <sheetFormatPr defaultColWidth="9" defaultRowHeight="14.25"/>
  <cols>
    <col min="1" max="1" width="23.375" style="1933" customWidth="1"/>
    <col min="2" max="2" width="12.5" style="1933" customWidth="1"/>
    <col min="3" max="3" width="12.125" style="1933" customWidth="1"/>
    <col min="4" max="4" width="14.125" style="1933" customWidth="1"/>
    <col min="5" max="5" width="12.5" style="1933" customWidth="1"/>
    <col min="6" max="16384" width="9" style="1933"/>
  </cols>
  <sheetData>
    <row r="1" spans="1:5" ht="21">
      <c r="A1" s="2548" t="s">
        <v>2998</v>
      </c>
    </row>
    <row r="2" spans="1:5" ht="15.75">
      <c r="A2" s="2887" t="s">
        <v>2990</v>
      </c>
      <c r="B2" s="2888" t="e">
        <f ca="1">SUMIF(B6:B13,"&lt;&gt;#ref!",B6:B13)</f>
        <v>#DIV/0!</v>
      </c>
      <c r="C2" s="2887" t="s">
        <v>2991</v>
      </c>
      <c r="D2" s="2887" t="s">
        <v>2992</v>
      </c>
      <c r="E2" s="2888">
        <f ca="1">SUMIF(E6:E13,"&lt;&gt;#ref!",E6:E13)</f>
        <v>0</v>
      </c>
    </row>
    <row r="3" spans="1:5" ht="15.75">
      <c r="A3" s="2887" t="s">
        <v>2993</v>
      </c>
      <c r="B3" s="2888" t="e">
        <f ca="1">ROUND(B2*10000/E2,0)</f>
        <v>#DIV/0!</v>
      </c>
      <c r="C3" s="2887" t="s">
        <v>2999</v>
      </c>
      <c r="D3" s="2889"/>
      <c r="E3" s="2889"/>
    </row>
    <row r="4" spans="1:5" ht="15.75">
      <c r="A4" s="2890"/>
      <c r="B4" s="2889"/>
      <c r="C4" s="2889"/>
      <c r="D4" s="2889"/>
      <c r="E4" s="2889"/>
    </row>
    <row r="5" spans="1:5" ht="28.5">
      <c r="A5" s="2891" t="s">
        <v>2994</v>
      </c>
      <c r="B5" s="2887" t="s">
        <v>2995</v>
      </c>
      <c r="C5" s="2888"/>
      <c r="D5" s="2889"/>
      <c r="E5" s="2887" t="s">
        <v>2996</v>
      </c>
    </row>
    <row r="6" spans="1:5" ht="15.75">
      <c r="A6" s="2892" t="s">
        <v>2997</v>
      </c>
      <c r="B6" s="2888" t="e">
        <f ca="1">SUMIF(INDIRECT("'"&amp;A6&amp;"'"&amp;"!A:A"),"总价",INDIRECT("'"&amp;A6&amp;"'"&amp;"!B:B"))</f>
        <v>#DIV/0!</v>
      </c>
      <c r="C6" s="2887" t="s">
        <v>2991</v>
      </c>
      <c r="D6" s="2889"/>
      <c r="E6" s="2562">
        <f ca="1">SUMIF(INDIRECT("'"&amp;A6&amp;"'"&amp;"!C:C"),"建筑面积",INDIRECT("'"&amp;A6&amp;"'"&amp;"!D:D"))</f>
        <v>0</v>
      </c>
    </row>
    <row r="7" spans="1:5" ht="15.75">
      <c r="A7" s="2892"/>
      <c r="B7" s="2888" t="e">
        <f ca="1">SUMIF(INDIRECT("'"&amp;A7&amp;"'"&amp;"!A:A"),"总价",INDIRECT("'"&amp;A7&amp;"'"&amp;"!B:B"))</f>
        <v>#REF!</v>
      </c>
      <c r="C7" s="2887" t="s">
        <v>2991</v>
      </c>
      <c r="D7" s="2889"/>
      <c r="E7" s="2562" t="e">
        <f t="shared" ref="E7:E13" ca="1" si="0">SUMIF(INDIRECT("'"&amp;A7&amp;"'"&amp;"!C:C"),"建筑面积",INDIRECT("'"&amp;A7&amp;"'"&amp;"!D:D"))</f>
        <v>#REF!</v>
      </c>
    </row>
    <row r="8" spans="1:5" ht="15.75">
      <c r="A8" s="2892"/>
      <c r="B8" s="2888" t="e">
        <f t="shared" ref="B8:B13" ca="1" si="1">SUMIF(INDIRECT("'"&amp;A8&amp;"'"&amp;"!A:A"),"总价",INDIRECT("'"&amp;A8&amp;"'"&amp;"!B:B"))</f>
        <v>#REF!</v>
      </c>
      <c r="C8" s="2887" t="s">
        <v>2991</v>
      </c>
      <c r="D8" s="2889"/>
      <c r="E8" s="2562" t="e">
        <f t="shared" ca="1" si="0"/>
        <v>#REF!</v>
      </c>
    </row>
    <row r="9" spans="1:5" ht="15.75">
      <c r="A9" s="2892"/>
      <c r="B9" s="2888" t="e">
        <f t="shared" ca="1" si="1"/>
        <v>#REF!</v>
      </c>
      <c r="C9" s="2887" t="s">
        <v>2991</v>
      </c>
      <c r="D9" s="2889"/>
      <c r="E9" s="2562" t="e">
        <f t="shared" ca="1" si="0"/>
        <v>#REF!</v>
      </c>
    </row>
    <row r="10" spans="1:5" ht="15.75">
      <c r="A10" s="2892"/>
      <c r="B10" s="2888" t="e">
        <f t="shared" ca="1" si="1"/>
        <v>#REF!</v>
      </c>
      <c r="C10" s="2887" t="s">
        <v>2991</v>
      </c>
      <c r="D10" s="2889"/>
      <c r="E10" s="2562" t="e">
        <f t="shared" ca="1" si="0"/>
        <v>#REF!</v>
      </c>
    </row>
    <row r="11" spans="1:5" ht="15.75">
      <c r="A11" s="2892"/>
      <c r="B11" s="2888" t="e">
        <f t="shared" ca="1" si="1"/>
        <v>#REF!</v>
      </c>
      <c r="C11" s="2887" t="s">
        <v>2991</v>
      </c>
      <c r="D11" s="2889"/>
      <c r="E11" s="2562" t="e">
        <f t="shared" ca="1" si="0"/>
        <v>#REF!</v>
      </c>
    </row>
    <row r="12" spans="1:5" ht="15.75">
      <c r="A12" s="2892"/>
      <c r="B12" s="2888" t="e">
        <f t="shared" ca="1" si="1"/>
        <v>#REF!</v>
      </c>
      <c r="C12" s="2887" t="s">
        <v>2991</v>
      </c>
      <c r="D12" s="2889"/>
      <c r="E12" s="2562" t="e">
        <f t="shared" ca="1" si="0"/>
        <v>#REF!</v>
      </c>
    </row>
    <row r="13" spans="1:5" ht="15.75">
      <c r="A13" s="2892"/>
      <c r="B13" s="2888" t="e">
        <f t="shared" ca="1" si="1"/>
        <v>#REF!</v>
      </c>
      <c r="C13" s="2887" t="s">
        <v>2991</v>
      </c>
      <c r="D13" s="2889"/>
      <c r="E13" s="256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B22" sqref="B22"/>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311" t="s">
        <v>1145</v>
      </c>
      <c r="C1" s="3311"/>
      <c r="D1" s="3311"/>
      <c r="E1" s="3311"/>
      <c r="F1" s="3311"/>
      <c r="G1" s="3307" t="s">
        <v>1146</v>
      </c>
      <c r="H1" s="3307"/>
      <c r="I1" s="3307"/>
      <c r="J1" s="3307"/>
      <c r="K1" s="3307"/>
      <c r="L1" s="3307"/>
      <c r="N1" s="3307" t="s">
        <v>1147</v>
      </c>
      <c r="O1" s="3307"/>
      <c r="P1" s="3307"/>
      <c r="Q1" s="3307"/>
      <c r="R1" s="1443"/>
      <c r="S1" s="3307" t="s">
        <v>1148</v>
      </c>
      <c r="T1" s="3307"/>
      <c r="U1" s="3307"/>
      <c r="V1" s="3307"/>
      <c r="X1" s="3306" t="s">
        <v>1149</v>
      </c>
      <c r="Y1" s="3307"/>
      <c r="Z1" s="3307"/>
      <c r="AA1" s="3307"/>
      <c r="AB1" s="3307"/>
      <c r="AD1" s="3306" t="s">
        <v>1150</v>
      </c>
      <c r="AE1" s="3307"/>
      <c r="AF1" s="3307"/>
      <c r="AG1" s="3307"/>
      <c r="AH1" s="3307"/>
    </row>
    <row r="2" spans="1:34" s="1444" customFormat="1" ht="14.25" thickBot="1">
      <c r="B2" s="1445" t="s">
        <v>1151</v>
      </c>
      <c r="C2" s="1445" t="s">
        <v>1152</v>
      </c>
      <c r="D2" s="1446" t="s">
        <v>1153</v>
      </c>
      <c r="E2" s="1446" t="s">
        <v>1154</v>
      </c>
      <c r="F2" s="1445" t="s">
        <v>1155</v>
      </c>
      <c r="G2" s="1447"/>
      <c r="H2" s="1448"/>
      <c r="I2" s="1445" t="s">
        <v>1151</v>
      </c>
      <c r="J2" s="1446" t="s">
        <v>1379</v>
      </c>
      <c r="K2" s="1446" t="s">
        <v>751</v>
      </c>
      <c r="L2" s="1445" t="s">
        <v>1155</v>
      </c>
      <c r="N2" s="1445" t="s">
        <v>1151</v>
      </c>
      <c r="O2" s="1446" t="s">
        <v>1379</v>
      </c>
      <c r="P2" s="1446" t="s">
        <v>751</v>
      </c>
      <c r="Q2" s="1445" t="s">
        <v>1155</v>
      </c>
      <c r="R2" s="1449"/>
      <c r="S2" s="1445" t="s">
        <v>1151</v>
      </c>
      <c r="T2" s="1446" t="s">
        <v>1379</v>
      </c>
      <c r="U2" s="1446" t="s">
        <v>751</v>
      </c>
      <c r="V2" s="1445" t="s">
        <v>1155</v>
      </c>
      <c r="X2" s="1445" t="s">
        <v>1151</v>
      </c>
      <c r="Y2" s="1445" t="s">
        <v>1152</v>
      </c>
      <c r="Z2" s="1446" t="s">
        <v>1153</v>
      </c>
      <c r="AA2" s="1446" t="s">
        <v>1154</v>
      </c>
      <c r="AB2" s="1445" t="s">
        <v>1155</v>
      </c>
      <c r="AD2" s="1445" t="s">
        <v>1151</v>
      </c>
      <c r="AE2" s="1445" t="s">
        <v>1152</v>
      </c>
      <c r="AF2" s="1446" t="s">
        <v>1153</v>
      </c>
      <c r="AG2" s="1446" t="s">
        <v>1154</v>
      </c>
      <c r="AH2" s="1445" t="s">
        <v>1155</v>
      </c>
    </row>
    <row r="3" spans="1:34" s="2903" customFormat="1" ht="14.25">
      <c r="A3" s="2912" t="s">
        <v>3033</v>
      </c>
      <c r="B3" s="2904"/>
      <c r="C3" s="2904"/>
      <c r="D3" s="2905"/>
      <c r="E3" s="2905"/>
      <c r="F3" s="2904"/>
      <c r="G3" s="2906"/>
      <c r="H3" s="2907"/>
      <c r="I3" s="2908">
        <f>ROUND(AVERAGE($I4:$I30),2)</f>
        <v>1.85</v>
      </c>
      <c r="J3" s="2908">
        <f>ROUND(AVERAGE($J4:$J30),2)</f>
        <v>1.28</v>
      </c>
      <c r="K3" s="2908">
        <f>ROUND(AVERAGE($K4:$K30),2)</f>
        <v>2.0299999999999998</v>
      </c>
      <c r="L3" s="2908">
        <f>ROUND(AVERAGE($L4:$L30),2)</f>
        <v>1.31</v>
      </c>
      <c r="N3" s="2906"/>
      <c r="O3" s="2909"/>
      <c r="P3" s="2909"/>
      <c r="Q3" s="2909"/>
      <c r="R3" s="2909"/>
      <c r="S3" s="2906"/>
      <c r="T3" s="2909"/>
      <c r="U3" s="2909"/>
      <c r="V3" s="2909"/>
      <c r="W3" s="2901"/>
      <c r="X3" s="2910">
        <f>ROUND(SUMPRODUCT(PRODUCT(1+N3:N$29)),4)</f>
        <v>1.5605</v>
      </c>
      <c r="Y3" s="2910">
        <f>ROUND(SUMPRODUCT(PRODUCT(1+O3:O$29)),4)</f>
        <v>1.3577999999999999</v>
      </c>
      <c r="Z3" s="2910">
        <f t="shared" ref="Z3:Z27" si="0">Y3</f>
        <v>1.3577999999999999</v>
      </c>
      <c r="AA3" s="2910">
        <f>ROUND(SUMPRODUCT(PRODUCT(1+P3:P$29)),4)</f>
        <v>1.6254999999999999</v>
      </c>
      <c r="AB3" s="2910">
        <f>ROUND(SUMPRODUCT(PRODUCT(1+Q3:Q$29)),4)</f>
        <v>1.3815999999999999</v>
      </c>
      <c r="AD3" s="2911">
        <f>ROUND(AVERAGE(I3:I$30)/100,4)</f>
        <v>1.8499999999999999E-2</v>
      </c>
      <c r="AE3" s="2911">
        <f>ROUND(AVERAGE(J3:J$30)/100,4)</f>
        <v>1.2800000000000001E-2</v>
      </c>
      <c r="AF3" s="2911">
        <f t="shared" ref="AF3:AF28" si="1">AE3</f>
        <v>1.2800000000000001E-2</v>
      </c>
      <c r="AG3" s="2911">
        <f>ROUND(AVERAGE(K3:K$30)/100,4)</f>
        <v>2.0299999999999999E-2</v>
      </c>
      <c r="AH3" s="2911">
        <f>ROUND(AVERAGE(L3:L$30)/100,4)</f>
        <v>1.3100000000000001E-2</v>
      </c>
    </row>
    <row r="4" spans="1:34" s="1450" customFormat="1" ht="14.25">
      <c r="B4" s="1451"/>
      <c r="C4" s="1451"/>
      <c r="D4" s="1452"/>
      <c r="E4" s="1452"/>
      <c r="F4" s="1451"/>
      <c r="G4" s="1453"/>
      <c r="H4" s="1454"/>
      <c r="I4" s="2898"/>
      <c r="J4" s="2898"/>
      <c r="K4" s="2898"/>
      <c r="L4" s="2898"/>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3053</v>
      </c>
      <c r="B5" s="1780">
        <f t="shared" ref="B5" si="2">B6*(1+N5)</f>
        <v>479.92259063878413</v>
      </c>
      <c r="C5" s="1780">
        <f t="shared" ref="C5" si="3">C6*(1+O5)</f>
        <v>350.02082268341775</v>
      </c>
      <c r="D5" s="1780">
        <f t="shared" ref="D5" si="4">C5</f>
        <v>350.02082268341775</v>
      </c>
      <c r="E5" s="1780">
        <f t="shared" ref="E5" si="5">E6*(1+P5)</f>
        <v>687.42265944181099</v>
      </c>
      <c r="F5" s="1780">
        <f t="shared" ref="F5" si="6">F6*(1+Q5)</f>
        <v>317.63846657708956</v>
      </c>
      <c r="G5" s="2938">
        <v>2020</v>
      </c>
      <c r="H5" s="1727">
        <v>2</v>
      </c>
      <c r="I5" s="2899">
        <v>0</v>
      </c>
      <c r="J5" s="2899">
        <v>0</v>
      </c>
      <c r="K5" s="2899">
        <v>0</v>
      </c>
      <c r="L5" s="2899">
        <v>0</v>
      </c>
      <c r="N5" s="1464">
        <f t="shared" ref="N5" si="7">I5/100</f>
        <v>0</v>
      </c>
      <c r="O5" s="1464">
        <f t="shared" ref="O5" si="8">J5/100</f>
        <v>0</v>
      </c>
      <c r="P5" s="1464">
        <f t="shared" ref="P5" si="9">K5/100</f>
        <v>0</v>
      </c>
      <c r="Q5" s="1464">
        <f t="shared" ref="Q5" si="10">L5/100</f>
        <v>0</v>
      </c>
      <c r="R5" s="1729"/>
      <c r="S5" s="1730"/>
      <c r="T5" s="1729"/>
      <c r="U5" s="1729"/>
      <c r="V5" s="1729"/>
      <c r="W5" s="2902" t="s">
        <v>3034</v>
      </c>
      <c r="X5" s="1723">
        <f>ROUND(IF(项目基本情况!B8="出让",SUMPRODUCT(PRODUCT(1+N5:N$30)),SUMPRODUCT(PRODUCT(1+N5:N$29))),4)</f>
        <v>1.5605</v>
      </c>
      <c r="Y5" s="1723">
        <f>ROUND(IF(项目基本情况!B8="出让",SUMPRODUCT(PRODUCT(1+O5:O$30)),SUMPRODUCT(PRODUCT(1+O5:O$29))),4)</f>
        <v>1.3577999999999999</v>
      </c>
      <c r="Z5" s="1723">
        <f t="shared" ref="Z5" si="11">Y5</f>
        <v>1.3577999999999999</v>
      </c>
      <c r="AA5" s="1723">
        <f>ROUND(IF(项目基本情况!B8="出让",SUMPRODUCT(PRODUCT(1+P5:P$30)),SUMPRODUCT(PRODUCT(1+P5:P$29))),4)</f>
        <v>1.6254999999999999</v>
      </c>
      <c r="AB5" s="1723">
        <f>ROUND(IF(项目基本情况!B8="出让",SUMPRODUCT(PRODUCT(1+Q5:Q$30)),SUMPRODUCT(PRODUCT(1+Q5:Q$29))),4)</f>
        <v>1.3815999999999999</v>
      </c>
      <c r="AD5" s="1465">
        <f>ROUND(AVERAGE(I5:I$30)/100,4)</f>
        <v>1.8499999999999999E-2</v>
      </c>
      <c r="AE5" s="1465">
        <f>ROUND(AVERAGE(J5:J$30)/100,4)</f>
        <v>1.2800000000000001E-2</v>
      </c>
      <c r="AF5" s="1465">
        <f t="shared" ref="AF5" si="12">AE5</f>
        <v>1.2800000000000001E-2</v>
      </c>
      <c r="AG5" s="1465">
        <f>ROUND(AVERAGE(K5:K$30)/100,4)</f>
        <v>2.0299999999999999E-2</v>
      </c>
      <c r="AH5" s="1465">
        <f>ROUND(AVERAGE(L5:L$30)/100,4)</f>
        <v>1.3100000000000001E-2</v>
      </c>
    </row>
    <row r="6" spans="1:34" s="1463" customFormat="1">
      <c r="A6" s="1458" t="s">
        <v>3052</v>
      </c>
      <c r="B6" s="1474">
        <f t="shared" ref="B6" si="13">B7*(1+N6)</f>
        <v>479.92259063878413</v>
      </c>
      <c r="C6" s="1474">
        <f t="shared" ref="C6" si="14">C7*(1+O6)</f>
        <v>350.02082268341775</v>
      </c>
      <c r="D6" s="1474">
        <f t="shared" ref="D6" si="15">C6</f>
        <v>350.02082268341775</v>
      </c>
      <c r="E6" s="1474">
        <f t="shared" ref="E6" si="16">E7*(1+P6)</f>
        <v>687.42265944181099</v>
      </c>
      <c r="F6" s="1474">
        <f t="shared" ref="F6" si="17">F7*(1+Q6)</f>
        <v>317.63846657708956</v>
      </c>
      <c r="G6" s="2938">
        <v>2020</v>
      </c>
      <c r="H6" s="1461">
        <v>1</v>
      </c>
      <c r="I6" s="2939">
        <v>0.12</v>
      </c>
      <c r="J6" s="2939">
        <v>-0.4</v>
      </c>
      <c r="K6" s="2939">
        <v>0.21</v>
      </c>
      <c r="L6" s="2940">
        <v>0.27</v>
      </c>
      <c r="M6" s="1468"/>
      <c r="N6" s="1469">
        <f t="shared" ref="N6" si="18">I6/100</f>
        <v>1.1999999999999999E-3</v>
      </c>
      <c r="O6" s="1470">
        <f t="shared" ref="O6" si="19">J6/100</f>
        <v>-4.0000000000000001E-3</v>
      </c>
      <c r="P6" s="1470">
        <f t="shared" ref="P6" si="20">K6/100</f>
        <v>2.0999999999999999E-3</v>
      </c>
      <c r="Q6" s="1470">
        <f t="shared" ref="Q6" si="21">L6/100</f>
        <v>2.7000000000000001E-3</v>
      </c>
      <c r="R6" s="1471"/>
      <c r="S6" s="1469">
        <f>B6/B7-1</f>
        <v>1.2000000000000899E-3</v>
      </c>
      <c r="T6" s="1470">
        <f t="shared" ref="T6" si="22">C6/C7-1</f>
        <v>-4.0000000000000036E-3</v>
      </c>
      <c r="U6" s="1470">
        <f t="shared" ref="U6" si="23">D6/D7-1</f>
        <v>-4.0000000000000036E-3</v>
      </c>
      <c r="V6" s="1470">
        <f t="shared" ref="V6" si="24">E6/E7-1</f>
        <v>2.0999999999999908E-3</v>
      </c>
      <c r="W6" s="1779"/>
      <c r="X6" s="1777">
        <f>ROUND(IF(项目基本情况!B8="出让",SUMPRODUCT(PRODUCT(1+N6:N$30)),SUMPRODUCT(PRODUCT(1+N6:N$29))),4)</f>
        <v>1.5605</v>
      </c>
      <c r="Y6" s="1777">
        <f>ROUND(IF(项目基本情况!B8="出让",SUMPRODUCT(PRODUCT(1+O6:O$30)),SUMPRODUCT(PRODUCT(1+O6:O$29))),4)</f>
        <v>1.3577999999999999</v>
      </c>
      <c r="Z6" s="1777">
        <f t="shared" ref="Z6" si="25">Y6</f>
        <v>1.3577999999999999</v>
      </c>
      <c r="AA6" s="1777">
        <f>ROUND(IF(项目基本情况!B8="出让",SUMPRODUCT(PRODUCT(1+P6:P$30)),SUMPRODUCT(PRODUCT(1+P6:P$29))),4)</f>
        <v>1.6254999999999999</v>
      </c>
      <c r="AB6" s="1777">
        <f>ROUND(IF(项目基本情况!B8="出让",SUMPRODUCT(PRODUCT(1+Q6:Q$30)),SUMPRODUCT(PRODUCT(1+Q6:Q$29))),4)</f>
        <v>1.3815999999999999</v>
      </c>
      <c r="AC6" s="1779"/>
      <c r="AD6" s="1778">
        <f>ROUND(AVERAGE(I6:I$30)/100,4)</f>
        <v>1.9199999999999998E-2</v>
      </c>
      <c r="AE6" s="1778">
        <f>ROUND(AVERAGE(J6:J$30)/100,4)</f>
        <v>1.3299999999999999E-2</v>
      </c>
      <c r="AF6" s="1778">
        <f t="shared" ref="AF6" si="26">AE6</f>
        <v>1.3299999999999999E-2</v>
      </c>
      <c r="AG6" s="1778">
        <f>ROUND(AVERAGE(K6:K$30)/100,4)</f>
        <v>2.1100000000000001E-2</v>
      </c>
      <c r="AH6" s="1778">
        <f>ROUND(AVERAGE(L6:L$30)/100,4)</f>
        <v>1.3599999999999999E-2</v>
      </c>
    </row>
    <row r="7" spans="1:34" s="1463" customFormat="1">
      <c r="A7" s="1458" t="s">
        <v>3051</v>
      </c>
      <c r="B7" s="1474">
        <f t="shared" ref="B7" si="27">B8*(1+N7)</f>
        <v>479.34737379023579</v>
      </c>
      <c r="C7" s="1474">
        <f t="shared" ref="C7" si="28">C8*(1+O7)</f>
        <v>351.4265287986122</v>
      </c>
      <c r="D7" s="1474">
        <f t="shared" ref="D7" si="29">C7</f>
        <v>351.4265287986122</v>
      </c>
      <c r="E7" s="1474">
        <f t="shared" ref="E7" si="30">E8*(1+P7)</f>
        <v>685.98209703803116</v>
      </c>
      <c r="F7" s="1474">
        <f t="shared" ref="F7" si="31">F8*(1+Q7)</f>
        <v>316.78315206651001</v>
      </c>
      <c r="G7" s="2937">
        <v>2019</v>
      </c>
      <c r="H7" s="1461">
        <v>4</v>
      </c>
      <c r="I7" s="1461">
        <v>0.45</v>
      </c>
      <c r="J7" s="1461">
        <v>-0.12</v>
      </c>
      <c r="K7" s="1461">
        <v>0.54</v>
      </c>
      <c r="L7" s="1475">
        <v>0.48</v>
      </c>
      <c r="M7" s="1468"/>
      <c r="N7" s="1469">
        <f t="shared" ref="N7:N12" si="32">I7/100</f>
        <v>4.5000000000000005E-3</v>
      </c>
      <c r="O7" s="1470">
        <f t="shared" ref="O7" si="33">J7/100</f>
        <v>-1.1999999999999999E-3</v>
      </c>
      <c r="P7" s="1470">
        <f t="shared" ref="P7" si="34">K7/100</f>
        <v>5.4000000000000003E-3</v>
      </c>
      <c r="Q7" s="1470">
        <f t="shared" ref="Q7" si="35">L7/100</f>
        <v>4.7999999999999996E-3</v>
      </c>
      <c r="R7" s="1471"/>
      <c r="S7" s="1469"/>
      <c r="T7" s="1470"/>
      <c r="U7" s="1470"/>
      <c r="V7" s="1470"/>
      <c r="W7" s="1779"/>
      <c r="X7" s="1777">
        <f>ROUND(IF(项目基本情况!B8="出让",SUMPRODUCT(PRODUCT(1+N7:N$30)),SUMPRODUCT(PRODUCT(1+N7:N$29))),4)</f>
        <v>1.5586</v>
      </c>
      <c r="Y7" s="1777">
        <f>ROUND(IF(项目基本情况!B8="出让",SUMPRODUCT(PRODUCT(1+O7:O$30)),SUMPRODUCT(PRODUCT(1+O7:O$29))),4)</f>
        <v>1.3633</v>
      </c>
      <c r="Z7" s="1777">
        <f t="shared" ref="Z7" si="36">Y7</f>
        <v>1.3633</v>
      </c>
      <c r="AA7" s="1777">
        <f>ROUND(IF(项目基本情况!B8="出让",SUMPRODUCT(PRODUCT(1+P7:P$30)),SUMPRODUCT(PRODUCT(1+P7:P$29))),4)</f>
        <v>1.6221000000000001</v>
      </c>
      <c r="AB7" s="1777">
        <f>ROUND(IF(项目基本情况!B8="出让",SUMPRODUCT(PRODUCT(1+Q7:Q$30)),SUMPRODUCT(PRODUCT(1+Q7:Q$29))),4)</f>
        <v>1.3777999999999999</v>
      </c>
      <c r="AC7" s="1779"/>
      <c r="AD7" s="1778">
        <f>ROUND(AVERAGE(I7:I$30)/100,4)</f>
        <v>0.02</v>
      </c>
      <c r="AE7" s="1778">
        <f>ROUND(AVERAGE(J7:J$30)/100,4)</f>
        <v>1.4E-2</v>
      </c>
      <c r="AF7" s="1778">
        <f t="shared" ref="AF7" si="37">AE7</f>
        <v>1.4E-2</v>
      </c>
      <c r="AG7" s="1778">
        <f>ROUND(AVERAGE(K7:K$30)/100,4)</f>
        <v>2.1899999999999999E-2</v>
      </c>
      <c r="AH7" s="1778">
        <f>ROUND(AVERAGE(L7:L$30)/100,4)</f>
        <v>1.4E-2</v>
      </c>
    </row>
    <row r="8" spans="1:34" s="1463" customFormat="1" ht="13.5" thickBot="1">
      <c r="A8" s="1458" t="s">
        <v>3047</v>
      </c>
      <c r="B8" s="1474">
        <f t="shared" ref="B8" si="38">B9*(1+N8)</f>
        <v>477.19997390765138</v>
      </c>
      <c r="C8" s="1474">
        <f t="shared" ref="C8" si="39">C9*(1+O8)</f>
        <v>351.84874729536665</v>
      </c>
      <c r="D8" s="1474">
        <f t="shared" ref="D8" si="40">C8</f>
        <v>351.84874729536665</v>
      </c>
      <c r="E8" s="1474">
        <f t="shared" ref="E8" si="41">E9*(1+P8)</f>
        <v>682.29768951465201</v>
      </c>
      <c r="F8" s="1474">
        <f t="shared" ref="F8" si="42">F9*(1+Q8)</f>
        <v>315.26985675409043</v>
      </c>
      <c r="G8" s="2936">
        <v>2019</v>
      </c>
      <c r="H8" s="1461">
        <v>3</v>
      </c>
      <c r="I8" s="1461">
        <v>0.61</v>
      </c>
      <c r="J8" s="1461">
        <v>0.67</v>
      </c>
      <c r="K8" s="1461">
        <v>0.6</v>
      </c>
      <c r="L8" s="1475">
        <v>1.03</v>
      </c>
      <c r="M8" s="1468"/>
      <c r="N8" s="1469">
        <f t="shared" si="32"/>
        <v>6.0999999999999995E-3</v>
      </c>
      <c r="O8" s="1470">
        <f t="shared" ref="O8" si="43">J8/100</f>
        <v>6.7000000000000002E-3</v>
      </c>
      <c r="P8" s="1470">
        <f t="shared" ref="P8" si="44">K8/100</f>
        <v>6.0000000000000001E-3</v>
      </c>
      <c r="Q8" s="1470">
        <f t="shared" ref="Q8" si="45">L8/100</f>
        <v>1.03E-2</v>
      </c>
      <c r="R8" s="1471"/>
      <c r="S8" s="1469"/>
      <c r="T8" s="1470"/>
      <c r="U8" s="1470"/>
      <c r="V8" s="1470"/>
      <c r="W8" s="1779"/>
      <c r="X8" s="1777">
        <f>ROUND(IF(项目基本情况!B8="出让",SUMPRODUCT(PRODUCT(1+N8:N$30)),SUMPRODUCT(PRODUCT(1+N8:N$29))),4)</f>
        <v>1.5516000000000001</v>
      </c>
      <c r="Y8" s="1777">
        <f>ROUND(IF(项目基本情况!B8="出让",SUMPRODUCT(PRODUCT(1+O8:O$30)),SUMPRODUCT(PRODUCT(1+O8:O$29))),4)</f>
        <v>1.3649</v>
      </c>
      <c r="Z8" s="1777">
        <f t="shared" ref="Z8" si="46">Y8</f>
        <v>1.3649</v>
      </c>
      <c r="AA8" s="1777">
        <f>ROUND(IF(项目基本情况!B8="出让",SUMPRODUCT(PRODUCT(1+P8:P$30)),SUMPRODUCT(PRODUCT(1+P8:P$29))),4)</f>
        <v>1.6133999999999999</v>
      </c>
      <c r="AB8" s="1777">
        <f>ROUND(IF(项目基本情况!B8="出让",SUMPRODUCT(PRODUCT(1+Q8:Q$30)),SUMPRODUCT(PRODUCT(1+Q8:Q$29))),4)</f>
        <v>1.3713</v>
      </c>
      <c r="AC8" s="1779"/>
      <c r="AD8" s="1778">
        <f>ROUND(AVERAGE(I8:I$30)/100,4)</f>
        <v>2.07E-2</v>
      </c>
      <c r="AE8" s="1778">
        <f>ROUND(AVERAGE(J8:J$30)/100,4)</f>
        <v>1.47E-2</v>
      </c>
      <c r="AF8" s="1778">
        <f t="shared" ref="AF8" si="47">AE8</f>
        <v>1.47E-2</v>
      </c>
      <c r="AG8" s="1778">
        <f>ROUND(AVERAGE(K8:K$30)/100,4)</f>
        <v>2.2599999999999999E-2</v>
      </c>
      <c r="AH8" s="1778">
        <f>ROUND(AVERAGE(L8:L$30)/100,4)</f>
        <v>1.44E-2</v>
      </c>
    </row>
    <row r="9" spans="1:34" s="1463" customFormat="1">
      <c r="A9" s="1458" t="s">
        <v>3045</v>
      </c>
      <c r="B9" s="1474">
        <f t="shared" ref="B9" si="48">B10*(1+N9)</f>
        <v>474.30670301923408</v>
      </c>
      <c r="C9" s="1474">
        <f t="shared" ref="C9" si="49">C10*(1+O9)</f>
        <v>349.50705005996491</v>
      </c>
      <c r="D9" s="1474">
        <f t="shared" ref="D9" si="50">C9</f>
        <v>349.50705005996491</v>
      </c>
      <c r="E9" s="1474">
        <f t="shared" ref="E9" si="51">E10*(1+P9)</f>
        <v>678.22831959706957</v>
      </c>
      <c r="F9" s="1474">
        <f t="shared" ref="F9" si="52">F10*(1+Q9)</f>
        <v>312.0556832169558</v>
      </c>
      <c r="G9" s="2932">
        <v>2019</v>
      </c>
      <c r="H9" s="1459">
        <v>2</v>
      </c>
      <c r="I9" s="1459">
        <v>1.53</v>
      </c>
      <c r="J9" s="1459">
        <v>1.01</v>
      </c>
      <c r="K9" s="1459">
        <v>1.62</v>
      </c>
      <c r="L9" s="1460">
        <v>1.25</v>
      </c>
      <c r="M9" s="1468"/>
      <c r="N9" s="1469">
        <f t="shared" si="32"/>
        <v>1.5300000000000001E-2</v>
      </c>
      <c r="O9" s="1470">
        <f t="shared" ref="O9" si="53">J9/100</f>
        <v>1.01E-2</v>
      </c>
      <c r="P9" s="1470">
        <f t="shared" ref="P9" si="54">K9/100</f>
        <v>1.6200000000000003E-2</v>
      </c>
      <c r="Q9" s="1470">
        <f t="shared" ref="Q9" si="55">L9/100</f>
        <v>1.2500000000000001E-2</v>
      </c>
      <c r="R9" s="1471"/>
      <c r="S9" s="1469"/>
      <c r="T9" s="1470"/>
      <c r="U9" s="1470"/>
      <c r="V9" s="1470"/>
      <c r="W9" s="1779"/>
      <c r="X9" s="1777">
        <f>ROUND(IF(项目基本情况!B8="出让",SUMPRODUCT(PRODUCT(1+N9:N$30)),SUMPRODUCT(PRODUCT(1+N9:N$29))),4)</f>
        <v>1.5422</v>
      </c>
      <c r="Y9" s="1777">
        <f>ROUND(IF(项目基本情况!B8="出让",SUMPRODUCT(PRODUCT(1+O9:O$30)),SUMPRODUCT(PRODUCT(1+O9:O$29))),4)</f>
        <v>1.3557999999999999</v>
      </c>
      <c r="Z9" s="1777">
        <f t="shared" ref="Z9" si="56">Y9</f>
        <v>1.3557999999999999</v>
      </c>
      <c r="AA9" s="1777">
        <f>ROUND(IF(项目基本情况!B8="出让",SUMPRODUCT(PRODUCT(1+P9:P$30)),SUMPRODUCT(PRODUCT(1+P9:P$29))),4)</f>
        <v>1.6036999999999999</v>
      </c>
      <c r="AB9" s="1777">
        <f>ROUND(IF(项目基本情况!B8="出让",SUMPRODUCT(PRODUCT(1+Q9:Q$30)),SUMPRODUCT(PRODUCT(1+Q9:Q$29))),4)</f>
        <v>1.3573</v>
      </c>
      <c r="AC9" s="1779"/>
      <c r="AD9" s="1778">
        <f>ROUND(AVERAGE(I9:I$30)/100,4)</f>
        <v>2.1299999999999999E-2</v>
      </c>
      <c r="AE9" s="1778">
        <f>ROUND(AVERAGE(J9:J$30)/100,4)</f>
        <v>1.4999999999999999E-2</v>
      </c>
      <c r="AF9" s="1778">
        <f t="shared" ref="AF9" si="57">AE9</f>
        <v>1.4999999999999999E-2</v>
      </c>
      <c r="AG9" s="1778">
        <f>ROUND(AVERAGE(K9:K$30)/100,4)</f>
        <v>2.3300000000000001E-2</v>
      </c>
      <c r="AH9" s="1778">
        <f>ROUND(AVERAGE(L9:L$30)/100,4)</f>
        <v>1.46E-2</v>
      </c>
    </row>
    <row r="10" spans="1:34" s="1463" customFormat="1" ht="13.5" thickBot="1">
      <c r="A10" s="1458" t="s">
        <v>3043</v>
      </c>
      <c r="B10" s="1474">
        <f t="shared" ref="B10" si="58">B11*(1+N10)</f>
        <v>467.15916775261894</v>
      </c>
      <c r="C10" s="1474">
        <f t="shared" ref="C10" si="59">C11*(1+O10)</f>
        <v>346.01232557169084</v>
      </c>
      <c r="D10" s="1474">
        <f t="shared" ref="D10" si="60">C10</f>
        <v>346.01232557169084</v>
      </c>
      <c r="E10" s="1474">
        <f t="shared" ref="E10" si="61">E11*(1+P10)</f>
        <v>667.41617752122568</v>
      </c>
      <c r="F10" s="1474">
        <f t="shared" ref="F10" si="62">F11*(1+Q10)</f>
        <v>308.20314391798104</v>
      </c>
      <c r="G10" s="2916">
        <v>2019</v>
      </c>
      <c r="H10" s="1461">
        <v>1</v>
      </c>
      <c r="I10" s="1461">
        <v>0.6</v>
      </c>
      <c r="J10" s="1461">
        <v>0.37</v>
      </c>
      <c r="K10" s="1461">
        <v>0.63</v>
      </c>
      <c r="L10" s="1475">
        <v>1.1299999999999999</v>
      </c>
      <c r="M10" s="1468"/>
      <c r="N10" s="1469">
        <f t="shared" si="32"/>
        <v>6.0000000000000001E-3</v>
      </c>
      <c r="O10" s="1470">
        <f t="shared" ref="O10" si="63">J10/100</f>
        <v>3.7000000000000002E-3</v>
      </c>
      <c r="P10" s="1470">
        <f t="shared" ref="P10" si="64">K10/100</f>
        <v>6.3E-3</v>
      </c>
      <c r="Q10" s="1470">
        <f t="shared" ref="Q10" si="65">L10/100</f>
        <v>1.1299999999999999E-2</v>
      </c>
      <c r="R10" s="1471"/>
      <c r="S10" s="1469">
        <f>B10/B11-1</f>
        <v>6.0000000000000053E-3</v>
      </c>
      <c r="T10" s="1470">
        <f t="shared" ref="T10" si="66">C10/C11-1</f>
        <v>3.7000000000000366E-3</v>
      </c>
      <c r="U10" s="1470">
        <f t="shared" ref="U10" si="67">D10/D11-1</f>
        <v>3.7000000000000366E-3</v>
      </c>
      <c r="V10" s="1470">
        <f t="shared" ref="V10" si="68">E10/E11-1</f>
        <v>6.2999999999999723E-3</v>
      </c>
      <c r="W10" s="1779"/>
      <c r="X10" s="1777">
        <f>ROUND(IF(项目基本情况!B8="出让",SUMPRODUCT(PRODUCT(1+N10:N$30)),SUMPRODUCT(PRODUCT(1+N10:N$29))),4)</f>
        <v>1.5189999999999999</v>
      </c>
      <c r="Y10" s="1777">
        <f>ROUND(IF(项目基本情况!B8="出让",SUMPRODUCT(PRODUCT(1+O10:O$30)),SUMPRODUCT(PRODUCT(1+O10:O$29))),4)</f>
        <v>1.3423</v>
      </c>
      <c r="Z10" s="1777">
        <f t="shared" ref="Z10" si="69">Y10</f>
        <v>1.3423</v>
      </c>
      <c r="AA10" s="1777">
        <f>ROUND(IF(项目基本情况!B8="出让",SUMPRODUCT(PRODUCT(1+P10:P$30)),SUMPRODUCT(PRODUCT(1+P10:P$29))),4)</f>
        <v>1.5782</v>
      </c>
      <c r="AB10" s="1777">
        <f>ROUND(IF(项目基本情况!B8="出让",SUMPRODUCT(PRODUCT(1+Q10:Q$30)),SUMPRODUCT(PRODUCT(1+Q10:Q$29))),4)</f>
        <v>1.3405</v>
      </c>
      <c r="AC10" s="1779"/>
      <c r="AD10" s="1778">
        <f>ROUND(AVERAGE(I10:I$30)/100,4)</f>
        <v>2.1600000000000001E-2</v>
      </c>
      <c r="AE10" s="1778">
        <f>ROUND(AVERAGE(J10:J$30)/100,4)</f>
        <v>1.5299999999999999E-2</v>
      </c>
      <c r="AF10" s="1778">
        <f t="shared" ref="AF10" si="70">AE10</f>
        <v>1.5299999999999999E-2</v>
      </c>
      <c r="AG10" s="1778">
        <f>ROUND(AVERAGE(K10:K$30)/100,4)</f>
        <v>2.3699999999999999E-2</v>
      </c>
      <c r="AH10" s="1778">
        <f>ROUND(AVERAGE(L10:L$30)/100,4)</f>
        <v>1.47E-2</v>
      </c>
    </row>
    <row r="11" spans="1:34" s="1463" customFormat="1">
      <c r="A11" s="1458" t="s">
        <v>3046</v>
      </c>
      <c r="B11" s="2933">
        <f t="shared" ref="B11" si="71">B12*(1+N11)</f>
        <v>464.37293017158942</v>
      </c>
      <c r="C11" s="2933">
        <f t="shared" ref="C11" si="72">C12*(1+O11)</f>
        <v>344.73679941385956</v>
      </c>
      <c r="D11" s="2933">
        <f t="shared" ref="D11" si="73">C11</f>
        <v>344.73679941385956</v>
      </c>
      <c r="E11" s="2933">
        <f t="shared" ref="E11" si="74">E12*(1+P11)</f>
        <v>663.2377795103107</v>
      </c>
      <c r="F11" s="2934">
        <f t="shared" ref="F11" si="75">F12*(1+Q11)</f>
        <v>304.75936311478398</v>
      </c>
      <c r="G11" s="3309">
        <v>2018</v>
      </c>
      <c r="H11" s="1459">
        <v>4</v>
      </c>
      <c r="I11" s="1459">
        <v>0.96</v>
      </c>
      <c r="J11" s="1459">
        <v>1.03</v>
      </c>
      <c r="K11" s="1459">
        <v>0.92</v>
      </c>
      <c r="L11" s="1460">
        <v>1.29</v>
      </c>
      <c r="M11" s="1468"/>
      <c r="N11" s="1469">
        <f t="shared" si="32"/>
        <v>9.5999999999999992E-3</v>
      </c>
      <c r="O11" s="1470">
        <f t="shared" ref="O11" si="76">J11/100</f>
        <v>1.03E-2</v>
      </c>
      <c r="P11" s="1470">
        <f t="shared" ref="P11" si="77">K11/100</f>
        <v>9.1999999999999998E-3</v>
      </c>
      <c r="Q11" s="1470">
        <f t="shared" ref="Q11" si="78">L11/100</f>
        <v>1.29E-2</v>
      </c>
      <c r="R11" s="1471"/>
      <c r="S11" s="1469"/>
      <c r="T11" s="1470"/>
      <c r="U11" s="1470"/>
      <c r="V11" s="1470"/>
      <c r="W11" s="1779"/>
      <c r="X11" s="1777">
        <f>ROUND(SUMPRODUCT(PRODUCT(1+N11:N$29)),4)</f>
        <v>1.5099</v>
      </c>
      <c r="Y11" s="1777">
        <f>ROUND(SUMPRODUCT(PRODUCT(1+O11:O$29)),4)</f>
        <v>1.3372999999999999</v>
      </c>
      <c r="Z11" s="1777">
        <f t="shared" ref="Z11" si="79">Y11</f>
        <v>1.3372999999999999</v>
      </c>
      <c r="AA11" s="1777">
        <f>ROUND(SUMPRODUCT(PRODUCT(1+P11:P$29)),4)</f>
        <v>1.5683</v>
      </c>
      <c r="AB11" s="1777">
        <f>ROUND(SUMPRODUCT(PRODUCT(1+Q11:Q$29)),4)</f>
        <v>1.3255999999999999</v>
      </c>
      <c r="AC11" s="1779"/>
      <c r="AD11" s="1778">
        <f>ROUND(AVERAGE(I11:I$30)/100,4)</f>
        <v>2.24E-2</v>
      </c>
      <c r="AE11" s="1778">
        <f>ROUND(AVERAGE(J11:J$30)/100,4)</f>
        <v>1.5800000000000002E-2</v>
      </c>
      <c r="AF11" s="1778">
        <f t="shared" ref="AF11" si="80">AE11</f>
        <v>1.5800000000000002E-2</v>
      </c>
      <c r="AG11" s="1778">
        <f>ROUND(AVERAGE(K11:K$30)/100,4)</f>
        <v>2.4500000000000001E-2</v>
      </c>
      <c r="AH11" s="1778">
        <f>ROUND(AVERAGE(L11:L$30)/100,4)</f>
        <v>1.49E-2</v>
      </c>
    </row>
    <row r="12" spans="1:34" s="1463" customFormat="1" ht="14.45" customHeight="1">
      <c r="A12" s="1458" t="s">
        <v>3040</v>
      </c>
      <c r="B12" s="1474">
        <f t="shared" ref="B12" si="81">B13*(1+N12)</f>
        <v>459.95733971036987</v>
      </c>
      <c r="C12" s="1474">
        <f t="shared" ref="C12" si="82">C13*(1+O12)</f>
        <v>341.22221064422405</v>
      </c>
      <c r="D12" s="1474">
        <f t="shared" ref="D12" si="83">C12</f>
        <v>341.22221064422405</v>
      </c>
      <c r="E12" s="1474">
        <f t="shared" ref="E12" si="84">E13*(1+P12)</f>
        <v>657.19161663724799</v>
      </c>
      <c r="F12" s="1474">
        <f t="shared" ref="F12" si="85">F13*(1+Q12)</f>
        <v>300.87803644464805</v>
      </c>
      <c r="G12" s="3309"/>
      <c r="H12" s="1461">
        <v>3</v>
      </c>
      <c r="I12" s="1461">
        <v>1.51</v>
      </c>
      <c r="J12" s="1461">
        <v>1.41</v>
      </c>
      <c r="K12" s="1461">
        <v>1.52</v>
      </c>
      <c r="L12" s="1475">
        <v>1.74</v>
      </c>
      <c r="M12" s="1468"/>
      <c r="N12" s="1469">
        <f t="shared" si="32"/>
        <v>1.5100000000000001E-2</v>
      </c>
      <c r="O12" s="1470">
        <f t="shared" ref="O12" si="86">J12/100</f>
        <v>1.41E-2</v>
      </c>
      <c r="P12" s="1470">
        <f t="shared" ref="P12" si="87">K12/100</f>
        <v>1.52E-2</v>
      </c>
      <c r="Q12" s="1470">
        <f t="shared" ref="Q12" si="88">L12/100</f>
        <v>1.7399999999999999E-2</v>
      </c>
      <c r="R12" s="1471"/>
      <c r="S12" s="1469"/>
      <c r="T12" s="1470"/>
      <c r="U12" s="1470"/>
      <c r="V12" s="1470"/>
      <c r="W12" s="1779"/>
      <c r="X12" s="1777">
        <f>ROUND(SUMPRODUCT(PRODUCT(1+N12:N$29)),4)</f>
        <v>1.4956</v>
      </c>
      <c r="Y12" s="1777">
        <f>ROUND(SUMPRODUCT(PRODUCT(1+O12:O$29)),4)</f>
        <v>1.3237000000000001</v>
      </c>
      <c r="Z12" s="1777">
        <f t="shared" ref="Z12" si="89">Y12</f>
        <v>1.3237000000000001</v>
      </c>
      <c r="AA12" s="1777">
        <f>ROUND(SUMPRODUCT(PRODUCT(1+P12:P$29)),4)</f>
        <v>1.554</v>
      </c>
      <c r="AB12" s="1777">
        <f>ROUND(SUMPRODUCT(PRODUCT(1+Q12:Q$29)),4)</f>
        <v>1.3087</v>
      </c>
      <c r="AC12" s="1779"/>
      <c r="AD12" s="1778">
        <f>ROUND(AVERAGE(I12:I$30)/100,4)</f>
        <v>2.3099999999999999E-2</v>
      </c>
      <c r="AE12" s="1778">
        <f>ROUND(AVERAGE(J12:J$30)/100,4)</f>
        <v>1.61E-2</v>
      </c>
      <c r="AF12" s="1778">
        <f t="shared" ref="AF12" si="90">AE12</f>
        <v>1.61E-2</v>
      </c>
      <c r="AG12" s="1778">
        <f>ROUND(AVERAGE(K12:K$30)/100,4)</f>
        <v>2.53E-2</v>
      </c>
      <c r="AH12" s="1778">
        <f>ROUND(AVERAGE(L12:L$30)/100,4)</f>
        <v>1.4999999999999999E-2</v>
      </c>
    </row>
    <row r="13" spans="1:34" s="1463" customFormat="1" ht="14.45" customHeight="1">
      <c r="A13" s="1458" t="s">
        <v>3039</v>
      </c>
      <c r="B13" s="1474">
        <f t="shared" ref="B13" si="91">B14*(1+N13)</f>
        <v>453.11529869999993</v>
      </c>
      <c r="C13" s="1474">
        <f t="shared" ref="C13" si="92">C14*(1+O13)</f>
        <v>336.47787264000004</v>
      </c>
      <c r="D13" s="1474">
        <f t="shared" ref="D13" si="93">C13</f>
        <v>336.47787264000004</v>
      </c>
      <c r="E13" s="1474">
        <f t="shared" ref="E13" si="94">E14*(1+P13)</f>
        <v>647.35186823999993</v>
      </c>
      <c r="F13" s="1474">
        <f t="shared" ref="F13" si="95">F14*(1+Q13)</f>
        <v>295.73229452000004</v>
      </c>
      <c r="G13" s="3309"/>
      <c r="H13" s="1462">
        <v>2</v>
      </c>
      <c r="I13" s="1462">
        <v>1.49</v>
      </c>
      <c r="J13" s="1462">
        <v>0.96</v>
      </c>
      <c r="K13" s="1462">
        <v>1.58</v>
      </c>
      <c r="L13" s="1476">
        <v>2.44</v>
      </c>
      <c r="M13" s="1468"/>
      <c r="N13" s="1469">
        <f t="shared" ref="N13" si="96">I13/100</f>
        <v>1.49E-2</v>
      </c>
      <c r="O13" s="1470">
        <f t="shared" ref="O13" si="97">J13/100</f>
        <v>9.5999999999999992E-3</v>
      </c>
      <c r="P13" s="1470">
        <f t="shared" ref="P13" si="98">K13/100</f>
        <v>1.5800000000000002E-2</v>
      </c>
      <c r="Q13" s="1470">
        <f t="shared" ref="Q13" si="99">L13/100</f>
        <v>2.4399999999999998E-2</v>
      </c>
      <c r="R13" s="1471"/>
      <c r="S13" s="1469"/>
      <c r="T13" s="1470"/>
      <c r="U13" s="1470"/>
      <c r="V13" s="1470"/>
      <c r="W13" s="1779"/>
      <c r="X13" s="1777">
        <f>ROUND(SUMPRODUCT(PRODUCT(1+N13:N$29)),4)</f>
        <v>1.4733000000000001</v>
      </c>
      <c r="Y13" s="1777">
        <f>ROUND(SUMPRODUCT(PRODUCT(1+O13:O$29)),4)</f>
        <v>1.3052999999999999</v>
      </c>
      <c r="Z13" s="1777">
        <f t="shared" ref="Z13" si="100">Y13</f>
        <v>1.3052999999999999</v>
      </c>
      <c r="AA13" s="1777">
        <f>ROUND(SUMPRODUCT(PRODUCT(1+P13:P$29)),4)</f>
        <v>1.5306999999999999</v>
      </c>
      <c r="AB13" s="1777">
        <f>ROUND(SUMPRODUCT(PRODUCT(1+Q13:Q$29)),4)</f>
        <v>1.2863</v>
      </c>
      <c r="AC13" s="1779"/>
      <c r="AD13" s="1778">
        <f>ROUND(AVERAGE(I13:I$30)/100,4)</f>
        <v>2.35E-2</v>
      </c>
      <c r="AE13" s="1778">
        <f>ROUND(AVERAGE(J13:J$30)/100,4)</f>
        <v>1.6199999999999999E-2</v>
      </c>
      <c r="AF13" s="1778">
        <f t="shared" ref="AF13" si="101">AE13</f>
        <v>1.6199999999999999E-2</v>
      </c>
      <c r="AG13" s="1778">
        <f>ROUND(AVERAGE(K13:K$30)/100,4)</f>
        <v>2.5899999999999999E-2</v>
      </c>
      <c r="AH13" s="1778">
        <f>ROUND(AVERAGE(L13:L$30)/100,4)</f>
        <v>1.49E-2</v>
      </c>
    </row>
    <row r="14" spans="1:34" s="1463" customFormat="1" ht="15" customHeight="1" thickBot="1">
      <c r="A14" s="1458" t="s">
        <v>3032</v>
      </c>
      <c r="B14" s="1474">
        <f t="shared" ref="B14" si="102">B15*(1+N14)</f>
        <v>446.46299999999997</v>
      </c>
      <c r="C14" s="1474">
        <f t="shared" ref="C14" si="103">C15*(1+O14)</f>
        <v>333.27840000000003</v>
      </c>
      <c r="D14" s="1474">
        <f t="shared" ref="D14" si="104">C14</f>
        <v>333.27840000000003</v>
      </c>
      <c r="E14" s="1474">
        <f t="shared" ref="E14" si="105">E15*(1+P14)</f>
        <v>637.28279999999995</v>
      </c>
      <c r="F14" s="1474">
        <f t="shared" ref="F14" si="106">F15*(1+Q14)</f>
        <v>288.68830000000003</v>
      </c>
      <c r="G14" s="3316"/>
      <c r="H14" s="1461">
        <v>1</v>
      </c>
      <c r="I14" s="1461">
        <v>1.7</v>
      </c>
      <c r="J14" s="1461">
        <v>1.92</v>
      </c>
      <c r="K14" s="1461">
        <v>1.64</v>
      </c>
      <c r="L14" s="1475">
        <v>2.0099999999999998</v>
      </c>
      <c r="M14" s="1468"/>
      <c r="N14" s="1469">
        <f t="shared" ref="N14:N19" si="107">I14/100</f>
        <v>1.7000000000000001E-2</v>
      </c>
      <c r="O14" s="1470">
        <f t="shared" ref="O14" si="108">J14/100</f>
        <v>1.9199999999999998E-2</v>
      </c>
      <c r="P14" s="1470">
        <f t="shared" ref="P14" si="109">K14/100</f>
        <v>1.6399999999999998E-2</v>
      </c>
      <c r="Q14" s="1470">
        <f t="shared" ref="Q14" si="110">L14/100</f>
        <v>2.0099999999999996E-2</v>
      </c>
      <c r="R14" s="1471"/>
      <c r="S14" s="1469">
        <f>B14/B15-1</f>
        <v>1.6999999999999904E-2</v>
      </c>
      <c r="T14" s="1470">
        <f t="shared" ref="T14" si="111">C14/C15-1</f>
        <v>1.9200000000000106E-2</v>
      </c>
      <c r="U14" s="1470">
        <f t="shared" ref="U14" si="112">D14/D15-1</f>
        <v>1.9200000000000106E-2</v>
      </c>
      <c r="V14" s="1470">
        <f t="shared" ref="V14" si="113">E14/E15-1</f>
        <v>1.639999999999997E-2</v>
      </c>
      <c r="W14" s="1779"/>
      <c r="X14" s="1777">
        <f>ROUND(SUMPRODUCT(PRODUCT(1+N14:N$29)),4)</f>
        <v>1.4517</v>
      </c>
      <c r="Y14" s="1777">
        <f>ROUND(SUMPRODUCT(PRODUCT(1+O14:O$29)),4)</f>
        <v>1.2928999999999999</v>
      </c>
      <c r="Z14" s="1777">
        <f t="shared" ref="Z14" si="114">Y14</f>
        <v>1.2928999999999999</v>
      </c>
      <c r="AA14" s="1777">
        <f>ROUND(SUMPRODUCT(PRODUCT(1+P14:P$29)),4)</f>
        <v>1.5068999999999999</v>
      </c>
      <c r="AB14" s="1777">
        <f>ROUND(SUMPRODUCT(PRODUCT(1+Q14:Q$29)),4)</f>
        <v>1.2557</v>
      </c>
      <c r="AC14" s="1779"/>
      <c r="AD14" s="1778">
        <f>ROUND(AVERAGE(I14:I$30)/100,4)</f>
        <v>2.4E-2</v>
      </c>
      <c r="AE14" s="1778">
        <f>ROUND(AVERAGE(J14:J$30)/100,4)</f>
        <v>1.66E-2</v>
      </c>
      <c r="AF14" s="1778">
        <f t="shared" ref="AF14" si="115">AE14</f>
        <v>1.66E-2</v>
      </c>
      <c r="AG14" s="1778">
        <f>ROUND(AVERAGE(K14:K$30)/100,4)</f>
        <v>2.6499999999999999E-2</v>
      </c>
      <c r="AH14" s="1778">
        <f>ROUND(AVERAGE(L14:L$30)/100,4)</f>
        <v>1.43E-2</v>
      </c>
    </row>
    <row r="15" spans="1:34">
      <c r="A15" s="1458" t="s">
        <v>3029</v>
      </c>
      <c r="B15" s="1466">
        <v>439</v>
      </c>
      <c r="C15" s="1466">
        <v>327</v>
      </c>
      <c r="D15" s="1466">
        <f>C15</f>
        <v>327</v>
      </c>
      <c r="E15" s="1466">
        <v>627</v>
      </c>
      <c r="F15" s="1467">
        <v>283</v>
      </c>
      <c r="G15" s="3312">
        <v>2017</v>
      </c>
      <c r="H15" s="1459">
        <v>4</v>
      </c>
      <c r="I15" s="1459">
        <v>1.71</v>
      </c>
      <c r="J15" s="1459">
        <v>1.78</v>
      </c>
      <c r="K15" s="1459">
        <v>1.71</v>
      </c>
      <c r="L15" s="1460">
        <v>1.43</v>
      </c>
      <c r="N15" s="1469">
        <f t="shared" si="107"/>
        <v>1.7100000000000001E-2</v>
      </c>
      <c r="O15" s="1470">
        <f t="shared" ref="O15" si="116">J15/100</f>
        <v>1.78E-2</v>
      </c>
      <c r="P15" s="1470">
        <f t="shared" ref="P15" si="117">K15/100</f>
        <v>1.7100000000000001E-2</v>
      </c>
      <c r="Q15" s="1470">
        <f t="shared" ref="Q15" si="118">L15/100</f>
        <v>1.43E-2</v>
      </c>
      <c r="R15" s="1471"/>
      <c r="S15" s="1472"/>
      <c r="T15" s="1473"/>
      <c r="U15" s="1473"/>
      <c r="V15" s="1473"/>
      <c r="X15" s="1456">
        <f>ROUND(SUMPRODUCT(PRODUCT(1+N15:N$29)),4)</f>
        <v>1.4274</v>
      </c>
      <c r="Y15" s="1456">
        <f>ROUND(SUMPRODUCT(PRODUCT(1+O15:O$29)),4)</f>
        <v>1.2685</v>
      </c>
      <c r="Z15" s="1456">
        <f t="shared" si="0"/>
        <v>1.2685</v>
      </c>
      <c r="AA15" s="1456">
        <f>ROUND(SUMPRODUCT(PRODUCT(1+P15:P$29)),4)</f>
        <v>1.4825999999999999</v>
      </c>
      <c r="AB15" s="1456">
        <f>ROUND(SUMPRODUCT(PRODUCT(1+Q15:Q$29)),4)</f>
        <v>1.2309000000000001</v>
      </c>
      <c r="AD15" s="1457">
        <f>ROUND(AVERAGE(I15:I$30)/100,4)</f>
        <v>2.4500000000000001E-2</v>
      </c>
      <c r="AE15" s="1457">
        <f>ROUND(AVERAGE(J15:J$30)/100,4)</f>
        <v>1.6500000000000001E-2</v>
      </c>
      <c r="AF15" s="1457">
        <f t="shared" si="1"/>
        <v>1.6500000000000001E-2</v>
      </c>
      <c r="AG15" s="1457">
        <f>ROUND(AVERAGE(K15:K$30)/100,4)</f>
        <v>2.7099999999999999E-2</v>
      </c>
      <c r="AH15" s="1457">
        <f>ROUND(AVERAGE(L15:L$30)/100,4)</f>
        <v>1.3899999999999999E-2</v>
      </c>
    </row>
    <row r="16" spans="1:34" s="1463" customFormat="1" ht="14.45" customHeight="1">
      <c r="A16" s="1458" t="s">
        <v>3030</v>
      </c>
      <c r="B16" s="1474">
        <f t="shared" ref="B16:B17" si="119">B17*(1+N16)</f>
        <v>431.80730811680002</v>
      </c>
      <c r="C16" s="1474">
        <f t="shared" ref="C16:C17" si="120">C17*(1+O16)</f>
        <v>320.57880516480003</v>
      </c>
      <c r="D16" s="1474">
        <f t="shared" ref="D16:D17" si="121">C16</f>
        <v>320.57880516480003</v>
      </c>
      <c r="E16" s="1474">
        <f t="shared" ref="E16:E17" si="122">E17*(1+P16)</f>
        <v>615.96110553196797</v>
      </c>
      <c r="F16" s="1474">
        <f t="shared" ref="F16:F17" si="123">F17*(1+Q16)</f>
        <v>279.46777300108801</v>
      </c>
      <c r="G16" s="3309"/>
      <c r="H16" s="1461">
        <v>3</v>
      </c>
      <c r="I16" s="1461">
        <v>2.98</v>
      </c>
      <c r="J16" s="1461">
        <v>2.11</v>
      </c>
      <c r="K16" s="1461">
        <v>3.24</v>
      </c>
      <c r="L16" s="1475">
        <v>1.72</v>
      </c>
      <c r="M16" s="1468"/>
      <c r="N16" s="1469">
        <f t="shared" si="107"/>
        <v>2.98E-2</v>
      </c>
      <c r="O16" s="1470">
        <f t="shared" ref="O16" si="124">J16/100</f>
        <v>2.1099999999999997E-2</v>
      </c>
      <c r="P16" s="1470">
        <f t="shared" ref="P16" si="125">K16/100</f>
        <v>3.2400000000000005E-2</v>
      </c>
      <c r="Q16" s="1470">
        <f t="shared" ref="Q16" si="126">L16/100</f>
        <v>1.72E-2</v>
      </c>
      <c r="R16" s="1471"/>
      <c r="S16" s="1469"/>
      <c r="T16" s="1470"/>
      <c r="U16" s="1470"/>
      <c r="V16" s="1470"/>
      <c r="W16" s="1779"/>
      <c r="X16" s="1777">
        <f>ROUND(SUMPRODUCT(PRODUCT(1+N16:N$29)),4)</f>
        <v>1.4034</v>
      </c>
      <c r="Y16" s="1777">
        <f>ROUND(SUMPRODUCT(PRODUCT(1+O16:O$29)),4)</f>
        <v>1.2463</v>
      </c>
      <c r="Z16" s="1777">
        <f t="shared" si="0"/>
        <v>1.2463</v>
      </c>
      <c r="AA16" s="1777">
        <f>ROUND(SUMPRODUCT(PRODUCT(1+P16:P$29)),4)</f>
        <v>1.4577</v>
      </c>
      <c r="AB16" s="1777">
        <f>ROUND(SUMPRODUCT(PRODUCT(1+Q16:Q$29)),4)</f>
        <v>1.2136</v>
      </c>
      <c r="AC16" s="1779"/>
      <c r="AD16" s="1778">
        <f>ROUND(AVERAGE(I16:I$30)/100,4)</f>
        <v>2.4899999999999999E-2</v>
      </c>
      <c r="AE16" s="1778">
        <f>ROUND(AVERAGE(J16:J$30)/100,4)</f>
        <v>1.6400000000000001E-2</v>
      </c>
      <c r="AF16" s="1778">
        <f t="shared" si="1"/>
        <v>1.6400000000000001E-2</v>
      </c>
      <c r="AG16" s="1778">
        <f>ROUND(AVERAGE(K16:K$30)/100,4)</f>
        <v>2.7799999999999998E-2</v>
      </c>
      <c r="AH16" s="1778">
        <f>ROUND(AVERAGE(L16:L$30)/100,4)</f>
        <v>1.3899999999999999E-2</v>
      </c>
    </row>
    <row r="17" spans="1:34" s="1728" customFormat="1" ht="14.45" customHeight="1">
      <c r="A17" s="1458" t="s">
        <v>1380</v>
      </c>
      <c r="B17" s="1474">
        <f t="shared" si="119"/>
        <v>419.31181600000002</v>
      </c>
      <c r="C17" s="1474">
        <f t="shared" si="120"/>
        <v>313.95436800000004</v>
      </c>
      <c r="D17" s="1474">
        <f t="shared" si="121"/>
        <v>313.95436800000004</v>
      </c>
      <c r="E17" s="1474">
        <f t="shared" si="122"/>
        <v>596.63028431999999</v>
      </c>
      <c r="F17" s="1474">
        <f t="shared" si="123"/>
        <v>274.74220703999998</v>
      </c>
      <c r="G17" s="3309"/>
      <c r="H17" s="1462">
        <v>2</v>
      </c>
      <c r="I17" s="1462">
        <v>3.4</v>
      </c>
      <c r="J17" s="1462">
        <v>2</v>
      </c>
      <c r="K17" s="1462">
        <v>3.82</v>
      </c>
      <c r="L17" s="1476">
        <v>1.68</v>
      </c>
      <c r="M17" s="1468"/>
      <c r="N17" s="1469">
        <f t="shared" si="107"/>
        <v>3.4000000000000002E-2</v>
      </c>
      <c r="O17" s="1470">
        <f t="shared" ref="O17" si="127">J17/100</f>
        <v>0.02</v>
      </c>
      <c r="P17" s="1470">
        <f t="shared" ref="P17" si="128">K17/100</f>
        <v>3.8199999999999998E-2</v>
      </c>
      <c r="Q17" s="1470">
        <f t="shared" ref="Q17" si="129">L17/100</f>
        <v>1.6799999999999999E-2</v>
      </c>
      <c r="R17" s="1471"/>
      <c r="S17" s="1472"/>
      <c r="T17" s="1473"/>
      <c r="U17" s="1473"/>
      <c r="V17" s="1473"/>
      <c r="W17" s="1450"/>
      <c r="X17" s="1777">
        <f>ROUND(SUMPRODUCT(PRODUCT(1+N17:N$29)),4)</f>
        <v>1.3628</v>
      </c>
      <c r="Y17" s="1777">
        <f>ROUND(SUMPRODUCT(PRODUCT(1+O17:O$29)),4)</f>
        <v>1.2205999999999999</v>
      </c>
      <c r="Z17" s="1777">
        <f t="shared" si="0"/>
        <v>1.2205999999999999</v>
      </c>
      <c r="AA17" s="1777">
        <f>ROUND(SUMPRODUCT(PRODUCT(1+P17:P$29)),4)</f>
        <v>1.4118999999999999</v>
      </c>
      <c r="AB17" s="1777">
        <f>ROUND(SUMPRODUCT(PRODUCT(1+Q17:Q$29)),4)</f>
        <v>1.1930000000000001</v>
      </c>
      <c r="AC17" s="1450"/>
      <c r="AD17" s="1778">
        <f>ROUND(AVERAGE(I17:I$30)/100,4)</f>
        <v>2.46E-2</v>
      </c>
      <c r="AE17" s="1778">
        <f>ROUND(AVERAGE(J17:J$30)/100,4)</f>
        <v>1.6E-2</v>
      </c>
      <c r="AF17" s="1778">
        <f t="shared" si="1"/>
        <v>1.6E-2</v>
      </c>
      <c r="AG17" s="1778">
        <f>ROUND(AVERAGE(K17:K$30)/100,4)</f>
        <v>2.75E-2</v>
      </c>
      <c r="AH17" s="1778">
        <f>ROUND(AVERAGE(L17:L$30)/100,4)</f>
        <v>1.37E-2</v>
      </c>
    </row>
    <row r="18" spans="1:34" s="1463" customFormat="1" ht="15" customHeight="1" thickBot="1">
      <c r="A18" s="1458" t="s">
        <v>1156</v>
      </c>
      <c r="B18" s="1474">
        <f>B19*(1+N18)</f>
        <v>405.524</v>
      </c>
      <c r="C18" s="1474">
        <f>C19*(1+O18)</f>
        <v>307.79840000000002</v>
      </c>
      <c r="D18" s="1474">
        <f>C18</f>
        <v>307.79840000000002</v>
      </c>
      <c r="E18" s="1474">
        <f>E19*(1+P18)</f>
        <v>574.67759999999998</v>
      </c>
      <c r="F18" s="1474">
        <f>F19*(1+Q18)</f>
        <v>270.20280000000002</v>
      </c>
      <c r="G18" s="3316"/>
      <c r="H18" s="1461">
        <v>1</v>
      </c>
      <c r="I18" s="1461">
        <v>3.45</v>
      </c>
      <c r="J18" s="1461">
        <v>1.92</v>
      </c>
      <c r="K18" s="1461">
        <v>3.92</v>
      </c>
      <c r="L18" s="1475">
        <v>1.58</v>
      </c>
      <c r="M18" s="1468"/>
      <c r="N18" s="1469">
        <f t="shared" si="107"/>
        <v>3.4500000000000003E-2</v>
      </c>
      <c r="O18" s="1470">
        <f t="shared" ref="O18:Q33" si="130">J18/100</f>
        <v>1.9199999999999998E-2</v>
      </c>
      <c r="P18" s="1470">
        <f t="shared" si="130"/>
        <v>3.9199999999999999E-2</v>
      </c>
      <c r="Q18" s="1470">
        <f t="shared" si="130"/>
        <v>1.5800000000000002E-2</v>
      </c>
      <c r="R18" s="1471"/>
      <c r="S18" s="1469">
        <f>B18/B19-1</f>
        <v>3.4499999999999975E-2</v>
      </c>
      <c r="T18" s="1470">
        <f t="shared" ref="T18:V18" si="131">C18/C19-1</f>
        <v>1.9200000000000106E-2</v>
      </c>
      <c r="U18" s="1470">
        <f t="shared" si="131"/>
        <v>1.9200000000000106E-2</v>
      </c>
      <c r="V18" s="1470">
        <f t="shared" si="131"/>
        <v>3.9199999999999902E-2</v>
      </c>
      <c r="W18" s="1779"/>
      <c r="X18" s="1777">
        <f>ROUND(SUMPRODUCT(PRODUCT(1+N18:N$29)),4)</f>
        <v>1.3180000000000001</v>
      </c>
      <c r="Y18" s="1777">
        <f>ROUND(SUMPRODUCT(PRODUCT(1+O18:O$29)),4)</f>
        <v>1.1966000000000001</v>
      </c>
      <c r="Z18" s="1777">
        <f t="shared" si="0"/>
        <v>1.1966000000000001</v>
      </c>
      <c r="AA18" s="1777">
        <f>ROUND(SUMPRODUCT(PRODUCT(1+P18:P$29)),4)</f>
        <v>1.36</v>
      </c>
      <c r="AB18" s="1777">
        <f>ROUND(SUMPRODUCT(PRODUCT(1+Q18:Q$29)),4)</f>
        <v>1.1733</v>
      </c>
      <c r="AC18" s="1779"/>
      <c r="AD18" s="1778">
        <f>ROUND(AVERAGE(I18:I$30)/100,4)</f>
        <v>2.3900000000000001E-2</v>
      </c>
      <c r="AE18" s="1778">
        <f>ROUND(AVERAGE(J18:J$30)/100,4)</f>
        <v>1.5699999999999999E-2</v>
      </c>
      <c r="AF18" s="1778">
        <f t="shared" si="1"/>
        <v>1.5699999999999999E-2</v>
      </c>
      <c r="AG18" s="1778">
        <f>ROUND(AVERAGE(K18:K$30)/100,4)</f>
        <v>2.6599999999999999E-2</v>
      </c>
      <c r="AH18" s="1778">
        <f>ROUND(AVERAGE(L18:L$30)/100,4)</f>
        <v>1.34E-2</v>
      </c>
    </row>
    <row r="19" spans="1:34">
      <c r="A19" s="1458" t="s">
        <v>154</v>
      </c>
      <c r="B19" s="1466">
        <v>392</v>
      </c>
      <c r="C19" s="1466">
        <v>302</v>
      </c>
      <c r="D19" s="1466">
        <f>C19</f>
        <v>302</v>
      </c>
      <c r="E19" s="1466">
        <v>553</v>
      </c>
      <c r="F19" s="1467">
        <v>266</v>
      </c>
      <c r="G19" s="3312">
        <v>2016</v>
      </c>
      <c r="H19" s="1459">
        <v>4</v>
      </c>
      <c r="I19" s="1459">
        <v>4.5599999999999996</v>
      </c>
      <c r="J19" s="1459">
        <v>2.15</v>
      </c>
      <c r="K19" s="1459">
        <v>5.32</v>
      </c>
      <c r="L19" s="1460">
        <v>1.57</v>
      </c>
      <c r="N19" s="1469">
        <f t="shared" si="107"/>
        <v>4.5599999999999995E-2</v>
      </c>
      <c r="O19" s="1470">
        <f t="shared" si="130"/>
        <v>2.1499999999999998E-2</v>
      </c>
      <c r="P19" s="1470">
        <f t="shared" si="130"/>
        <v>5.3200000000000004E-2</v>
      </c>
      <c r="Q19" s="1470">
        <f t="shared" si="130"/>
        <v>1.5700000000000002E-2</v>
      </c>
      <c r="R19" s="1471"/>
      <c r="S19" s="1472"/>
      <c r="T19" s="1473"/>
      <c r="U19" s="1473"/>
      <c r="V19" s="1473"/>
      <c r="X19" s="1456">
        <f>ROUND(SUMPRODUCT(PRODUCT(1+N19:N$29)),4)</f>
        <v>1.274</v>
      </c>
      <c r="Y19" s="1456">
        <f>ROUND(SUMPRODUCT(PRODUCT(1+O19:O$29)),4)</f>
        <v>1.1740999999999999</v>
      </c>
      <c r="Z19" s="1456">
        <f t="shared" si="0"/>
        <v>1.1740999999999999</v>
      </c>
      <c r="AA19" s="1456">
        <f>ROUND(SUMPRODUCT(PRODUCT(1+P19:P$29)),4)</f>
        <v>1.3087</v>
      </c>
      <c r="AB19" s="1456">
        <f>ROUND(SUMPRODUCT(PRODUCT(1+Q19:Q$29)),4)</f>
        <v>1.1551</v>
      </c>
      <c r="AD19" s="1457">
        <f>ROUND(AVERAGE(I19:I$30)/100,4)</f>
        <v>2.3E-2</v>
      </c>
      <c r="AE19" s="1457">
        <f>ROUND(AVERAGE(J19:J$30)/100,4)</f>
        <v>1.55E-2</v>
      </c>
      <c r="AF19" s="1457">
        <f t="shared" si="1"/>
        <v>1.55E-2</v>
      </c>
      <c r="AG19" s="1457">
        <f>ROUND(AVERAGE(K19:K$30)/100,4)</f>
        <v>2.5600000000000001E-2</v>
      </c>
      <c r="AH19" s="1457">
        <f>ROUND(AVERAGE(L19:L$30)/100,4)</f>
        <v>1.32E-2</v>
      </c>
    </row>
    <row r="20" spans="1:34">
      <c r="A20" s="1458" t="s">
        <v>153</v>
      </c>
      <c r="B20" s="1474">
        <f t="shared" ref="B20:C22" si="132">B19/(1+N19)</f>
        <v>374.90436113236416</v>
      </c>
      <c r="C20" s="1474">
        <f t="shared" si="132"/>
        <v>295.64366128242779</v>
      </c>
      <c r="D20" s="1474">
        <f t="shared" ref="D20:D79" si="133">C20</f>
        <v>295.64366128242779</v>
      </c>
      <c r="E20" s="1474">
        <f t="shared" ref="E20:F22" si="134">E19/(1+P19)</f>
        <v>525.06646410938095</v>
      </c>
      <c r="F20" s="1474">
        <f t="shared" si="134"/>
        <v>261.88835286009646</v>
      </c>
      <c r="G20" s="3309"/>
      <c r="H20" s="1461">
        <v>3</v>
      </c>
      <c r="I20" s="1461">
        <v>4.12</v>
      </c>
      <c r="J20" s="1461">
        <v>2</v>
      </c>
      <c r="K20" s="1461">
        <v>4.79</v>
      </c>
      <c r="L20" s="1475">
        <v>1.97</v>
      </c>
      <c r="N20" s="1469">
        <f t="shared" ref="N20:Q54" si="135">I20/100</f>
        <v>4.1200000000000001E-2</v>
      </c>
      <c r="O20" s="1470">
        <f t="shared" si="130"/>
        <v>0.02</v>
      </c>
      <c r="P20" s="1470">
        <f t="shared" si="130"/>
        <v>4.7899999999999998E-2</v>
      </c>
      <c r="Q20" s="1470">
        <f t="shared" si="130"/>
        <v>1.9699999999999999E-2</v>
      </c>
      <c r="R20" s="1471"/>
      <c r="S20" s="1469"/>
      <c r="T20" s="1470"/>
      <c r="U20" s="1470"/>
      <c r="V20" s="1470"/>
      <c r="X20" s="1456">
        <f>ROUND(SUMPRODUCT(PRODUCT(1+N20:N$29)),4)</f>
        <v>1.2184999999999999</v>
      </c>
      <c r="Y20" s="1456">
        <f>ROUND(SUMPRODUCT(PRODUCT(1+O20:O$29)),4)</f>
        <v>1.1494</v>
      </c>
      <c r="Z20" s="1456">
        <f t="shared" si="0"/>
        <v>1.1494</v>
      </c>
      <c r="AA20" s="1456">
        <f>ROUND(SUMPRODUCT(PRODUCT(1+P20:P$29)),4)</f>
        <v>1.2425999999999999</v>
      </c>
      <c r="AB20" s="1456">
        <f>ROUND(SUMPRODUCT(PRODUCT(1+Q20:Q$29)),4)</f>
        <v>1.1372</v>
      </c>
      <c r="AD20" s="1457">
        <f>ROUND(AVERAGE(I20:I$30)/100,4)</f>
        <v>2.0899999999999998E-2</v>
      </c>
      <c r="AE20" s="1457">
        <f>ROUND(AVERAGE(J20:J$30)/100,4)</f>
        <v>1.49E-2</v>
      </c>
      <c r="AF20" s="1457">
        <f t="shared" si="1"/>
        <v>1.49E-2</v>
      </c>
      <c r="AG20" s="1457">
        <f>ROUND(AVERAGE(K20:K$30)/100,4)</f>
        <v>2.3099999999999999E-2</v>
      </c>
      <c r="AH20" s="1457">
        <f>ROUND(AVERAGE(L20:L$30)/100,4)</f>
        <v>1.2999999999999999E-2</v>
      </c>
    </row>
    <row r="21" spans="1:34">
      <c r="A21" s="1458" t="s">
        <v>143</v>
      </c>
      <c r="B21" s="1474">
        <f t="shared" si="132"/>
        <v>360.06949782209392</v>
      </c>
      <c r="C21" s="1474">
        <f t="shared" si="132"/>
        <v>289.84672674747821</v>
      </c>
      <c r="D21" s="1474">
        <f t="shared" si="133"/>
        <v>289.84672674747821</v>
      </c>
      <c r="E21" s="1474">
        <f t="shared" si="134"/>
        <v>501.06543001181495</v>
      </c>
      <c r="F21" s="1474">
        <f t="shared" si="134"/>
        <v>256.82882500744967</v>
      </c>
      <c r="G21" s="3309"/>
      <c r="H21" s="1462">
        <v>2</v>
      </c>
      <c r="I21" s="1462">
        <v>3.85</v>
      </c>
      <c r="J21" s="1462">
        <v>1.95</v>
      </c>
      <c r="K21" s="1462">
        <v>4.4800000000000004</v>
      </c>
      <c r="L21" s="1476">
        <v>1.41</v>
      </c>
      <c r="N21" s="1469">
        <f t="shared" si="135"/>
        <v>3.85E-2</v>
      </c>
      <c r="O21" s="1470">
        <f t="shared" si="130"/>
        <v>1.95E-2</v>
      </c>
      <c r="P21" s="1470">
        <f t="shared" si="130"/>
        <v>4.4800000000000006E-2</v>
      </c>
      <c r="Q21" s="1470">
        <f t="shared" si="130"/>
        <v>1.41E-2</v>
      </c>
      <c r="R21" s="1471"/>
      <c r="S21" s="1469"/>
      <c r="T21" s="1470"/>
      <c r="U21" s="1470"/>
      <c r="V21" s="1470"/>
      <c r="X21" s="1456">
        <f>ROUND(SUMPRODUCT(PRODUCT(1+N21:N$29)),4)</f>
        <v>1.1702999999999999</v>
      </c>
      <c r="Y21" s="1456">
        <f>ROUND(SUMPRODUCT(PRODUCT(1+O21:O$29)),4)</f>
        <v>1.1269</v>
      </c>
      <c r="Z21" s="1456">
        <f t="shared" si="0"/>
        <v>1.1269</v>
      </c>
      <c r="AA21" s="1456">
        <f>ROUND(SUMPRODUCT(PRODUCT(1+P21:P$29)),4)</f>
        <v>1.1858</v>
      </c>
      <c r="AB21" s="1456">
        <f>ROUND(SUMPRODUCT(PRODUCT(1+Q21:Q$29)),4)</f>
        <v>1.1152</v>
      </c>
      <c r="AD21" s="1457">
        <f>ROUND(AVERAGE(I21:I$30)/100,4)</f>
        <v>1.89E-2</v>
      </c>
      <c r="AE21" s="1457">
        <f>ROUND(AVERAGE(J21:J$30)/100,4)</f>
        <v>1.44E-2</v>
      </c>
      <c r="AF21" s="1457">
        <f t="shared" si="1"/>
        <v>1.44E-2</v>
      </c>
      <c r="AG21" s="1457">
        <f>ROUND(AVERAGE(K21:K$30)/100,4)</f>
        <v>2.06E-2</v>
      </c>
      <c r="AH21" s="1457">
        <f>ROUND(AVERAGE(L21:L$30)/100,4)</f>
        <v>1.23E-2</v>
      </c>
    </row>
    <row r="22" spans="1:34" ht="13.5" thickBot="1">
      <c r="A22" s="1458" t="s">
        <v>152</v>
      </c>
      <c r="B22" s="1474">
        <f t="shared" si="132"/>
        <v>346.720748986128</v>
      </c>
      <c r="C22" s="1474">
        <f t="shared" si="132"/>
        <v>284.30282172386285</v>
      </c>
      <c r="D22" s="1474">
        <f t="shared" si="133"/>
        <v>284.30282172386285</v>
      </c>
      <c r="E22" s="1474">
        <f t="shared" si="134"/>
        <v>479.58023546306947</v>
      </c>
      <c r="F22" s="1474">
        <f t="shared" si="134"/>
        <v>253.25788877571213</v>
      </c>
      <c r="G22" s="3310"/>
      <c r="H22" s="1461">
        <v>1</v>
      </c>
      <c r="I22" s="1461">
        <v>4.09</v>
      </c>
      <c r="J22" s="1461">
        <v>2.93</v>
      </c>
      <c r="K22" s="1461">
        <v>4.54</v>
      </c>
      <c r="L22" s="1475">
        <v>1.48</v>
      </c>
      <c r="N22" s="1469">
        <f t="shared" si="135"/>
        <v>4.0899999999999999E-2</v>
      </c>
      <c r="O22" s="1470">
        <f t="shared" si="130"/>
        <v>2.9300000000000003E-2</v>
      </c>
      <c r="P22" s="1470">
        <f t="shared" si="130"/>
        <v>4.5400000000000003E-2</v>
      </c>
      <c r="Q22" s="1470">
        <f t="shared" si="130"/>
        <v>1.4800000000000001E-2</v>
      </c>
      <c r="R22" s="1471"/>
      <c r="S22" s="1477">
        <f>B22/B23-1</f>
        <v>4.1203450408792808E-2</v>
      </c>
      <c r="T22" s="1478">
        <f>C22/C23-1</f>
        <v>2.6363977342465095E-2</v>
      </c>
      <c r="U22" s="1478">
        <f>E22/E23-1</f>
        <v>4.4837114298626357E-2</v>
      </c>
      <c r="V22" s="1478">
        <f>F22/F23-1</f>
        <v>1.7099954922538574E-2</v>
      </c>
      <c r="X22" s="1456">
        <f>ROUND(SUMPRODUCT(PRODUCT(1+N22:N$29)),4)</f>
        <v>1.1269</v>
      </c>
      <c r="Y22" s="1456">
        <f>ROUND(SUMPRODUCT(PRODUCT(1+O22:O$29)),4)</f>
        <v>1.1052999999999999</v>
      </c>
      <c r="Z22" s="1456">
        <f t="shared" si="0"/>
        <v>1.1052999999999999</v>
      </c>
      <c r="AA22" s="1456">
        <f>ROUND(SUMPRODUCT(PRODUCT(1+P22:P$29)),4)</f>
        <v>1.1349</v>
      </c>
      <c r="AB22" s="1456">
        <f>ROUND(SUMPRODUCT(PRODUCT(1+Q22:Q$29)),4)</f>
        <v>1.0996999999999999</v>
      </c>
      <c r="AD22" s="1457">
        <f>ROUND(AVERAGE(I22:I$30)/100,4)</f>
        <v>1.67E-2</v>
      </c>
      <c r="AE22" s="1457">
        <f>ROUND(AVERAGE(J22:J$30)/100,4)</f>
        <v>1.38E-2</v>
      </c>
      <c r="AF22" s="1457">
        <f t="shared" si="1"/>
        <v>1.38E-2</v>
      </c>
      <c r="AG22" s="1457">
        <f>ROUND(AVERAGE(K22:K$30)/100,4)</f>
        <v>1.7899999999999999E-2</v>
      </c>
      <c r="AH22" s="1457">
        <f>ROUND(AVERAGE(L22:L$30)/100,4)</f>
        <v>1.21E-2</v>
      </c>
    </row>
    <row r="23" spans="1:34" ht="13.5" thickBot="1">
      <c r="A23" s="1458" t="s">
        <v>151</v>
      </c>
      <c r="B23" s="1466">
        <v>333</v>
      </c>
      <c r="C23" s="1466">
        <v>277</v>
      </c>
      <c r="D23" s="1466">
        <f t="shared" si="133"/>
        <v>277</v>
      </c>
      <c r="E23" s="1466">
        <v>459</v>
      </c>
      <c r="F23" s="1467">
        <v>249</v>
      </c>
      <c r="G23" s="3308">
        <v>2015</v>
      </c>
      <c r="H23" s="1479">
        <v>4</v>
      </c>
      <c r="I23" s="1479">
        <v>1.63</v>
      </c>
      <c r="J23" s="1479">
        <v>1.1100000000000001</v>
      </c>
      <c r="K23" s="1479">
        <v>1.77</v>
      </c>
      <c r="L23" s="1480">
        <v>1.89</v>
      </c>
      <c r="N23" s="1481">
        <f t="shared" si="135"/>
        <v>1.6299999999999999E-2</v>
      </c>
      <c r="O23" s="1482">
        <f t="shared" si="130"/>
        <v>1.11E-2</v>
      </c>
      <c r="P23" s="1482">
        <f t="shared" si="130"/>
        <v>1.77E-2</v>
      </c>
      <c r="Q23" s="1482">
        <f t="shared" si="130"/>
        <v>1.89E-2</v>
      </c>
      <c r="R23" s="1471"/>
      <c r="X23" s="1456">
        <f>ROUND(SUMPRODUCT(PRODUCT(1+N23:N$29)),4)</f>
        <v>1.0826</v>
      </c>
      <c r="Y23" s="1456">
        <f>ROUND(SUMPRODUCT(PRODUCT(1+O23:O$29)),4)</f>
        <v>1.0738000000000001</v>
      </c>
      <c r="Z23" s="1456">
        <f t="shared" si="0"/>
        <v>1.0738000000000001</v>
      </c>
      <c r="AA23" s="1456">
        <f>ROUND(SUMPRODUCT(PRODUCT(1+P23:P$29)),4)</f>
        <v>1.0855999999999999</v>
      </c>
      <c r="AB23" s="1456">
        <f>ROUND(SUMPRODUCT(PRODUCT(1+Q23:Q$29)),4)</f>
        <v>1.0837000000000001</v>
      </c>
      <c r="AD23" s="1457">
        <f>ROUND(AVERAGE(I23:I$30)/100,4)</f>
        <v>1.37E-2</v>
      </c>
      <c r="AE23" s="1457">
        <f>ROUND(AVERAGE(J23:J$30)/100,4)</f>
        <v>1.1900000000000001E-2</v>
      </c>
      <c r="AF23" s="1457">
        <f t="shared" si="1"/>
        <v>1.1900000000000001E-2</v>
      </c>
      <c r="AG23" s="1457">
        <f>ROUND(AVERAGE(K23:K$30)/100,4)</f>
        <v>1.4500000000000001E-2</v>
      </c>
      <c r="AH23" s="1457">
        <f>ROUND(AVERAGE(L23:L$30)/100,4)</f>
        <v>1.18E-2</v>
      </c>
    </row>
    <row r="24" spans="1:34">
      <c r="A24" s="1458" t="s">
        <v>150</v>
      </c>
      <c r="B24" s="1474">
        <f t="shared" ref="B24:C26" si="136">B23/(1+N23)</f>
        <v>327.65915576109415</v>
      </c>
      <c r="C24" s="1474">
        <f t="shared" si="136"/>
        <v>273.95905449510434</v>
      </c>
      <c r="D24" s="1474">
        <f t="shared" si="133"/>
        <v>273.95905449510434</v>
      </c>
      <c r="E24" s="1474">
        <f t="shared" ref="E24:F26" si="137">E23/(1+P23)</f>
        <v>451.01699911565294</v>
      </c>
      <c r="F24" s="1474">
        <f t="shared" si="137"/>
        <v>244.38119540681129</v>
      </c>
      <c r="G24" s="3309"/>
      <c r="H24" s="1484">
        <v>3</v>
      </c>
      <c r="I24" s="1484">
        <v>1.65</v>
      </c>
      <c r="J24" s="1484">
        <v>0.92</v>
      </c>
      <c r="K24" s="1484">
        <v>1.88</v>
      </c>
      <c r="L24" s="1485">
        <v>1.26</v>
      </c>
      <c r="N24" s="1469">
        <f t="shared" si="135"/>
        <v>1.6500000000000001E-2</v>
      </c>
      <c r="O24" s="1486">
        <f t="shared" si="130"/>
        <v>9.1999999999999998E-3</v>
      </c>
      <c r="P24" s="1486">
        <f t="shared" si="130"/>
        <v>1.8799999999999997E-2</v>
      </c>
      <c r="Q24" s="1486">
        <f t="shared" si="130"/>
        <v>1.26E-2</v>
      </c>
      <c r="R24" s="1471"/>
      <c r="S24" s="1469"/>
      <c r="T24" s="1470"/>
      <c r="U24" s="1470"/>
      <c r="V24" s="1470"/>
      <c r="X24" s="1456">
        <f>ROUND(SUMPRODUCT(PRODUCT(1+N24:N$29)),4)</f>
        <v>1.0651999999999999</v>
      </c>
      <c r="Y24" s="1456">
        <f>ROUND(SUMPRODUCT(PRODUCT(1+O24:O$29)),4)</f>
        <v>1.0621</v>
      </c>
      <c r="Z24" s="1456">
        <f t="shared" si="0"/>
        <v>1.0621</v>
      </c>
      <c r="AA24" s="1456">
        <f>ROUND(SUMPRODUCT(PRODUCT(1+P24:P$29)),4)</f>
        <v>1.0668</v>
      </c>
      <c r="AB24" s="1456">
        <f>ROUND(SUMPRODUCT(PRODUCT(1+Q24:Q$29)),4)</f>
        <v>1.0636000000000001</v>
      </c>
      <c r="AD24" s="1457">
        <f>ROUND(AVERAGE(I24:I$30)/100,4)</f>
        <v>1.3299999999999999E-2</v>
      </c>
      <c r="AE24" s="1457">
        <f>ROUND(AVERAGE(J24:J$30)/100,4)</f>
        <v>1.2E-2</v>
      </c>
      <c r="AF24" s="1457">
        <f t="shared" si="1"/>
        <v>1.2E-2</v>
      </c>
      <c r="AG24" s="1457">
        <f>ROUND(AVERAGE(K24:K$30)/100,4)</f>
        <v>1.4E-2</v>
      </c>
      <c r="AH24" s="1457">
        <f>ROUND(AVERAGE(L24:L$30)/100,4)</f>
        <v>1.0800000000000001E-2</v>
      </c>
    </row>
    <row r="25" spans="1:34">
      <c r="A25" s="1458" t="s">
        <v>149</v>
      </c>
      <c r="B25" s="1474">
        <f t="shared" si="136"/>
        <v>322.34053690220776</v>
      </c>
      <c r="C25" s="1474">
        <f t="shared" si="136"/>
        <v>271.46160770422546</v>
      </c>
      <c r="D25" s="1474">
        <f t="shared" si="133"/>
        <v>271.46160770422546</v>
      </c>
      <c r="E25" s="1474">
        <f t="shared" si="137"/>
        <v>442.69434542172456</v>
      </c>
      <c r="F25" s="1474">
        <f t="shared" si="137"/>
        <v>241.34030753190925</v>
      </c>
      <c r="G25" s="3309"/>
      <c r="H25" s="1462">
        <v>2</v>
      </c>
      <c r="I25" s="1462">
        <v>0.77</v>
      </c>
      <c r="J25" s="1462">
        <v>0.69</v>
      </c>
      <c r="K25" s="1462">
        <v>0.8</v>
      </c>
      <c r="L25" s="1476">
        <v>0.88</v>
      </c>
      <c r="N25" s="1469">
        <f t="shared" si="135"/>
        <v>7.7000000000000002E-3</v>
      </c>
      <c r="O25" s="1486">
        <f t="shared" si="130"/>
        <v>6.8999999999999999E-3</v>
      </c>
      <c r="P25" s="1486">
        <f t="shared" si="130"/>
        <v>8.0000000000000002E-3</v>
      </c>
      <c r="Q25" s="1486">
        <f t="shared" si="130"/>
        <v>8.8000000000000005E-3</v>
      </c>
      <c r="R25" s="1471"/>
      <c r="S25" s="1469"/>
      <c r="T25" s="1470"/>
      <c r="U25" s="1470"/>
      <c r="V25" s="1470"/>
      <c r="X25" s="1456">
        <f>ROUND(SUMPRODUCT(PRODUCT(1+N25:N$29)),4)</f>
        <v>1.048</v>
      </c>
      <c r="Y25" s="1456">
        <f>ROUND(SUMPRODUCT(PRODUCT(1+O25:O$29)),4)</f>
        <v>1.0524</v>
      </c>
      <c r="Z25" s="1456">
        <f t="shared" si="0"/>
        <v>1.0524</v>
      </c>
      <c r="AA25" s="1456">
        <f>ROUND(SUMPRODUCT(PRODUCT(1+P25:P$29)),4)</f>
        <v>1.0470999999999999</v>
      </c>
      <c r="AB25" s="1456">
        <f>ROUND(SUMPRODUCT(PRODUCT(1+Q25:Q$29)),4)</f>
        <v>1.0504</v>
      </c>
      <c r="AD25" s="1457">
        <f>ROUND(AVERAGE(I25:I$30)/100,4)</f>
        <v>1.2800000000000001E-2</v>
      </c>
      <c r="AE25" s="1457">
        <f>ROUND(AVERAGE(J25:J$30)/100,4)</f>
        <v>1.2500000000000001E-2</v>
      </c>
      <c r="AF25" s="1457">
        <f t="shared" si="1"/>
        <v>1.2500000000000001E-2</v>
      </c>
      <c r="AG25" s="1457">
        <f>ROUND(AVERAGE(K25:K$30)/100,4)</f>
        <v>1.32E-2</v>
      </c>
      <c r="AH25" s="1457">
        <f>ROUND(AVERAGE(L25:L$30)/100,4)</f>
        <v>1.0500000000000001E-2</v>
      </c>
    </row>
    <row r="26" spans="1:34">
      <c r="A26" s="1458" t="s">
        <v>148</v>
      </c>
      <c r="B26" s="1474">
        <f t="shared" si="136"/>
        <v>319.87748030386797</v>
      </c>
      <c r="C26" s="1474">
        <f t="shared" si="136"/>
        <v>269.60135833173649</v>
      </c>
      <c r="D26" s="1474">
        <f t="shared" si="133"/>
        <v>269.60135833173649</v>
      </c>
      <c r="E26" s="1474">
        <f t="shared" si="137"/>
        <v>439.18089823583784</v>
      </c>
      <c r="F26" s="1474">
        <f t="shared" si="137"/>
        <v>239.23503918706311</v>
      </c>
      <c r="G26" s="3310"/>
      <c r="H26" s="1461">
        <v>1</v>
      </c>
      <c r="I26" s="1461">
        <v>0.51</v>
      </c>
      <c r="J26" s="1461">
        <v>0.54</v>
      </c>
      <c r="K26" s="1461">
        <v>0.48</v>
      </c>
      <c r="L26" s="1475">
        <v>0.93</v>
      </c>
      <c r="N26" s="1477">
        <f t="shared" si="135"/>
        <v>5.1000000000000004E-3</v>
      </c>
      <c r="O26" s="1478">
        <f t="shared" si="130"/>
        <v>5.4000000000000003E-3</v>
      </c>
      <c r="P26" s="1478">
        <f t="shared" si="130"/>
        <v>4.7999999999999996E-3</v>
      </c>
      <c r="Q26" s="1478">
        <f t="shared" si="130"/>
        <v>9.300000000000001E-3</v>
      </c>
      <c r="R26" s="1471"/>
      <c r="S26" s="1477">
        <f>B26/B27-1</f>
        <v>5.9040261127922822E-3</v>
      </c>
      <c r="T26" s="1478">
        <f>C26/C27-1</f>
        <v>5.9752176557332781E-3</v>
      </c>
      <c r="U26" s="1478">
        <f>E26/E27-1</f>
        <v>4.9906138119859556E-3</v>
      </c>
      <c r="V26" s="1478">
        <f>F26/F27-1</f>
        <v>9.4305450930933787E-3</v>
      </c>
      <c r="X26" s="1456">
        <f>ROUND(SUMPRODUCT(PRODUCT(1+N26:N$29)),4)</f>
        <v>1.0399</v>
      </c>
      <c r="Y26" s="1456">
        <f>ROUND(SUMPRODUCT(PRODUCT(1+O26:O$29)),4)</f>
        <v>1.0451999999999999</v>
      </c>
      <c r="Z26" s="1456">
        <f t="shared" si="0"/>
        <v>1.0451999999999999</v>
      </c>
      <c r="AA26" s="1456">
        <f>ROUND(SUMPRODUCT(PRODUCT(1+P26:P$29)),4)</f>
        <v>1.0387999999999999</v>
      </c>
      <c r="AB26" s="1456">
        <f>ROUND(SUMPRODUCT(PRODUCT(1+Q26:Q$29)),4)</f>
        <v>1.0411999999999999</v>
      </c>
      <c r="AD26" s="1457">
        <f>ROUND(AVERAGE(I26:I$30)/100,4)</f>
        <v>1.38E-2</v>
      </c>
      <c r="AE26" s="1457">
        <f>ROUND(AVERAGE(J26:J$30)/100,4)</f>
        <v>1.3599999999999999E-2</v>
      </c>
      <c r="AF26" s="1457">
        <f t="shared" si="1"/>
        <v>1.3599999999999999E-2</v>
      </c>
      <c r="AG26" s="1457">
        <f>ROUND(AVERAGE(K26:K$30)/100,4)</f>
        <v>1.4200000000000001E-2</v>
      </c>
      <c r="AH26" s="1457">
        <f>ROUND(AVERAGE(L26:L$30)/100,4)</f>
        <v>1.0800000000000001E-2</v>
      </c>
    </row>
    <row r="27" spans="1:34" ht="13.5" thickBot="1">
      <c r="A27" s="1458" t="s">
        <v>147</v>
      </c>
      <c r="B27" s="1487">
        <v>318</v>
      </c>
      <c r="C27" s="1487">
        <v>268</v>
      </c>
      <c r="D27" s="1487">
        <f t="shared" si="133"/>
        <v>268</v>
      </c>
      <c r="E27" s="1487">
        <v>437</v>
      </c>
      <c r="F27" s="1488">
        <v>237</v>
      </c>
      <c r="G27" s="3308">
        <v>2014</v>
      </c>
      <c r="H27" s="1479">
        <v>4</v>
      </c>
      <c r="I27" s="1479">
        <v>0.21</v>
      </c>
      <c r="J27" s="1479">
        <v>0.41</v>
      </c>
      <c r="K27" s="1479">
        <v>0.12</v>
      </c>
      <c r="L27" s="1480">
        <v>0.89</v>
      </c>
      <c r="N27" s="1469">
        <f t="shared" si="135"/>
        <v>2.0999999999999999E-3</v>
      </c>
      <c r="O27" s="1470">
        <f t="shared" si="130"/>
        <v>4.0999999999999995E-3</v>
      </c>
      <c r="P27" s="1470">
        <f t="shared" si="130"/>
        <v>1.1999999999999999E-3</v>
      </c>
      <c r="Q27" s="1470">
        <f t="shared" si="130"/>
        <v>8.8999999999999999E-3</v>
      </c>
      <c r="R27" s="1471"/>
      <c r="S27" s="1472"/>
      <c r="T27" s="1473"/>
      <c r="U27" s="1473"/>
      <c r="V27" s="1473"/>
      <c r="X27" s="1456">
        <f>ROUND(SUMPRODUCT(PRODUCT(1+N27:N$29)),4)</f>
        <v>1.0347</v>
      </c>
      <c r="Y27" s="1456">
        <f>ROUND(SUMPRODUCT(PRODUCT(1+O27:O$29)),4)</f>
        <v>1.0395000000000001</v>
      </c>
      <c r="Z27" s="1456">
        <f t="shared" si="0"/>
        <v>1.0395000000000001</v>
      </c>
      <c r="AA27" s="1456">
        <f>ROUND(SUMPRODUCT(PRODUCT(1+P27:P$29)),4)</f>
        <v>1.0338000000000001</v>
      </c>
      <c r="AB27" s="1456">
        <f>ROUND(SUMPRODUCT(PRODUCT(1+Q27:Q$29)),4)</f>
        <v>1.0316000000000001</v>
      </c>
      <c r="AD27" s="1457">
        <f>ROUND(AVERAGE(I27:I$30)/100,4)</f>
        <v>1.6E-2</v>
      </c>
      <c r="AE27" s="1457">
        <f>ROUND(AVERAGE(J27:J$30)/100,4)</f>
        <v>1.5599999999999999E-2</v>
      </c>
      <c r="AF27" s="1457">
        <f t="shared" si="1"/>
        <v>1.5599999999999999E-2</v>
      </c>
      <c r="AG27" s="1457">
        <f>ROUND(AVERAGE(K27:K$30)/100,4)</f>
        <v>1.66E-2</v>
      </c>
      <c r="AH27" s="1457">
        <f>ROUND(AVERAGE(L27:L$30)/100,4)</f>
        <v>1.12E-2</v>
      </c>
    </row>
    <row r="28" spans="1:34">
      <c r="A28" s="1458" t="s">
        <v>146</v>
      </c>
      <c r="B28" s="1474">
        <f t="shared" ref="B28:C30" si="138">B27/(1+N27)</f>
        <v>317.33359944117353</v>
      </c>
      <c r="C28" s="1474">
        <f t="shared" si="138"/>
        <v>266.90568668459315</v>
      </c>
      <c r="D28" s="1474">
        <f t="shared" si="133"/>
        <v>266.90568668459315</v>
      </c>
      <c r="E28" s="1474">
        <f t="shared" ref="E28:F30" si="139">E27/(1+P27)</f>
        <v>436.47622852576905</v>
      </c>
      <c r="F28" s="1474">
        <f t="shared" si="139"/>
        <v>234.90930716622066</v>
      </c>
      <c r="G28" s="3309"/>
      <c r="H28" s="1489">
        <v>3</v>
      </c>
      <c r="I28" s="1489">
        <v>0.83</v>
      </c>
      <c r="J28" s="1489">
        <v>1.47</v>
      </c>
      <c r="K28" s="1489">
        <v>0.65</v>
      </c>
      <c r="L28" s="1490">
        <v>0.72</v>
      </c>
      <c r="N28" s="1469">
        <f t="shared" si="135"/>
        <v>8.3000000000000001E-3</v>
      </c>
      <c r="O28" s="1470">
        <f t="shared" si="130"/>
        <v>1.47E-2</v>
      </c>
      <c r="P28" s="1470">
        <f t="shared" si="130"/>
        <v>6.5000000000000006E-3</v>
      </c>
      <c r="Q28" s="1470">
        <f t="shared" si="130"/>
        <v>7.1999999999999998E-3</v>
      </c>
      <c r="R28" s="1471"/>
      <c r="S28" s="1469"/>
      <c r="T28" s="1470"/>
      <c r="U28" s="1470"/>
      <c r="V28" s="1470"/>
      <c r="X28" s="1456">
        <f>ROUND(SUMPRODUCT(PRODUCT(1+N28:N$29)),4)</f>
        <v>1.0325</v>
      </c>
      <c r="Y28" s="1456">
        <f>ROUND(SUMPRODUCT(PRODUCT(1+O28:O$29)),4)</f>
        <v>1.0353000000000001</v>
      </c>
      <c r="Z28" s="1456">
        <f t="shared" ref="Z28:Z29" si="140">Y28</f>
        <v>1.0353000000000001</v>
      </c>
      <c r="AA28" s="1456">
        <f>ROUND(SUMPRODUCT(PRODUCT(1+P28:P$29)),4)</f>
        <v>1.0326</v>
      </c>
      <c r="AB28" s="1456">
        <f>ROUND(SUMPRODUCT(PRODUCT(1+Q28:Q$29)),4)</f>
        <v>1.0225</v>
      </c>
      <c r="AD28" s="1457">
        <f>ROUND(AVERAGE(I28:I$30)/100,4)</f>
        <v>2.07E-2</v>
      </c>
      <c r="AE28" s="1457">
        <f>ROUND(AVERAGE(J28:J$30)/100,4)</f>
        <v>1.95E-2</v>
      </c>
      <c r="AF28" s="1457">
        <f t="shared" si="1"/>
        <v>1.95E-2</v>
      </c>
      <c r="AG28" s="1457">
        <f>ROUND(AVERAGE(K28:K$30)/100,4)</f>
        <v>2.1700000000000001E-2</v>
      </c>
      <c r="AH28" s="1457">
        <f>ROUND(AVERAGE(L28:L$30)/100,4)</f>
        <v>1.2E-2</v>
      </c>
    </row>
    <row r="29" spans="1:34" ht="13.5" thickBot="1">
      <c r="A29" s="1458" t="s">
        <v>145</v>
      </c>
      <c r="B29" s="1474">
        <f t="shared" si="138"/>
        <v>314.72141172386546</v>
      </c>
      <c r="C29" s="1474">
        <f t="shared" si="138"/>
        <v>263.03901319069001</v>
      </c>
      <c r="D29" s="1474">
        <f t="shared" si="133"/>
        <v>263.03901319069001</v>
      </c>
      <c r="E29" s="1474">
        <f t="shared" si="139"/>
        <v>433.65745506782821</v>
      </c>
      <c r="F29" s="1474">
        <f t="shared" si="139"/>
        <v>233.23005080045735</v>
      </c>
      <c r="G29" s="3309"/>
      <c r="H29" s="1479">
        <v>2</v>
      </c>
      <c r="I29" s="1479">
        <v>2.4</v>
      </c>
      <c r="J29" s="1479">
        <v>2.0299999999999998</v>
      </c>
      <c r="K29" s="1479">
        <v>2.59</v>
      </c>
      <c r="L29" s="1480">
        <v>1.52</v>
      </c>
      <c r="N29" s="1469">
        <f t="shared" si="135"/>
        <v>2.4E-2</v>
      </c>
      <c r="O29" s="1470">
        <f t="shared" si="130"/>
        <v>2.0299999999999999E-2</v>
      </c>
      <c r="P29" s="1470">
        <f t="shared" si="130"/>
        <v>2.5899999999999999E-2</v>
      </c>
      <c r="Q29" s="1470">
        <f t="shared" si="130"/>
        <v>1.52E-2</v>
      </c>
      <c r="R29" s="1471"/>
      <c r="S29" s="1469"/>
      <c r="T29" s="1470"/>
      <c r="U29" s="1470"/>
      <c r="V29" s="1470"/>
      <c r="X29" s="1456">
        <f>1+N29</f>
        <v>1.024</v>
      </c>
      <c r="Y29" s="1456">
        <f>1+O29</f>
        <v>1.0203</v>
      </c>
      <c r="Z29" s="1456">
        <f t="shared" si="140"/>
        <v>1.0203</v>
      </c>
      <c r="AA29" s="1456">
        <f>1+P29</f>
        <v>1.0259</v>
      </c>
      <c r="AB29" s="1456">
        <f>1+Q29</f>
        <v>1.0152000000000001</v>
      </c>
      <c r="AD29" s="1457">
        <f>ROUND(AVERAGE(I29:I$30)/100,4)</f>
        <v>2.69E-2</v>
      </c>
      <c r="AE29" s="1457">
        <f>ROUND(AVERAGE(J29:J$30)/100,4)</f>
        <v>2.1899999999999999E-2</v>
      </c>
      <c r="AF29" s="1457">
        <f t="shared" ref="AF29" si="141">AE29</f>
        <v>2.1899999999999999E-2</v>
      </c>
      <c r="AG29" s="1457">
        <f>ROUND(AVERAGE(K29:K$30)/100,4)</f>
        <v>2.9399999999999999E-2</v>
      </c>
      <c r="AH29" s="1457">
        <f>ROUND(AVERAGE(L29:L$30)/100,4)</f>
        <v>1.44E-2</v>
      </c>
    </row>
    <row r="30" spans="1:34" s="1495" customFormat="1" ht="13.5" thickBot="1">
      <c r="A30" s="1491" t="s">
        <v>144</v>
      </c>
      <c r="B30" s="1492">
        <f t="shared" si="138"/>
        <v>307.34512863658733</v>
      </c>
      <c r="C30" s="1492">
        <f t="shared" si="138"/>
        <v>257.80556031626975</v>
      </c>
      <c r="D30" s="1492">
        <f t="shared" si="133"/>
        <v>257.80556031626975</v>
      </c>
      <c r="E30" s="1492">
        <f t="shared" si="139"/>
        <v>422.70928459677179</v>
      </c>
      <c r="F30" s="1492">
        <f t="shared" si="139"/>
        <v>229.73803270336617</v>
      </c>
      <c r="G30" s="3310"/>
      <c r="H30" s="1493">
        <v>1</v>
      </c>
      <c r="I30" s="1493">
        <v>2.97</v>
      </c>
      <c r="J30" s="1493">
        <v>2.34</v>
      </c>
      <c r="K30" s="1493">
        <v>3.28</v>
      </c>
      <c r="L30" s="1494">
        <v>1.36</v>
      </c>
      <c r="N30" s="1496">
        <f t="shared" si="135"/>
        <v>2.9700000000000001E-2</v>
      </c>
      <c r="O30" s="1497">
        <f t="shared" si="130"/>
        <v>2.3399999999999997E-2</v>
      </c>
      <c r="P30" s="1497">
        <f t="shared" si="130"/>
        <v>3.2799999999999996E-2</v>
      </c>
      <c r="Q30" s="1497">
        <f t="shared" si="130"/>
        <v>1.3600000000000001E-2</v>
      </c>
      <c r="R30" s="1498"/>
      <c r="S30" s="1499">
        <f>B30/B31-1</f>
        <v>2.7910129219355539E-2</v>
      </c>
      <c r="T30" s="1500">
        <f>C30/C31-1</f>
        <v>2.3037937762975247E-2</v>
      </c>
      <c r="U30" s="1500">
        <f>E30/E31-1</f>
        <v>3.3519033243940788E-2</v>
      </c>
      <c r="V30" s="1500">
        <f>F30/F31-1</f>
        <v>1.2061818076502862E-2</v>
      </c>
      <c r="W30" s="1501" t="s">
        <v>1157</v>
      </c>
      <c r="X30" s="1502">
        <v>1</v>
      </c>
      <c r="Y30" s="1502">
        <v>1</v>
      </c>
      <c r="Z30" s="1502">
        <v>1</v>
      </c>
      <c r="AA30" s="1502">
        <v>1</v>
      </c>
      <c r="AB30" s="1502">
        <v>1</v>
      </c>
      <c r="AD30" s="1724">
        <f>I30/100</f>
        <v>2.9700000000000001E-2</v>
      </c>
      <c r="AE30" s="1724">
        <f>J30/100</f>
        <v>2.3399999999999997E-2</v>
      </c>
      <c r="AF30" s="1724">
        <f>AE30</f>
        <v>2.3399999999999997E-2</v>
      </c>
      <c r="AG30" s="1724">
        <f>K30/100</f>
        <v>3.2799999999999996E-2</v>
      </c>
      <c r="AH30" s="1724">
        <f>L30/100</f>
        <v>1.3600000000000001E-2</v>
      </c>
    </row>
    <row r="31" spans="1:34" ht="13.5" thickBot="1">
      <c r="A31" s="1458" t="s">
        <v>1158</v>
      </c>
      <c r="B31" s="1466">
        <v>299</v>
      </c>
      <c r="C31" s="1466">
        <v>252</v>
      </c>
      <c r="D31" s="1466">
        <f t="shared" si="133"/>
        <v>252</v>
      </c>
      <c r="E31" s="1466">
        <v>409</v>
      </c>
      <c r="F31" s="1467">
        <v>227</v>
      </c>
      <c r="G31" s="3313">
        <v>2013</v>
      </c>
      <c r="H31" s="1503">
        <v>4</v>
      </c>
      <c r="I31" s="1503">
        <v>1.83</v>
      </c>
      <c r="J31" s="1503">
        <v>1.68</v>
      </c>
      <c r="K31" s="1503">
        <v>1.97</v>
      </c>
      <c r="L31" s="1504">
        <v>0.87</v>
      </c>
      <c r="N31" s="1481">
        <f t="shared" si="135"/>
        <v>1.83E-2</v>
      </c>
      <c r="O31" s="1482">
        <f t="shared" si="130"/>
        <v>1.6799999999999999E-2</v>
      </c>
      <c r="P31" s="1482">
        <f t="shared" si="130"/>
        <v>1.9699999999999999E-2</v>
      </c>
      <c r="Q31" s="1482">
        <f t="shared" si="130"/>
        <v>8.6999999999999994E-3</v>
      </c>
      <c r="R31" s="1471"/>
      <c r="S31" s="1472"/>
      <c r="T31" s="1473"/>
      <c r="U31" s="1473"/>
      <c r="V31" s="1473"/>
      <c r="X31" s="1473"/>
      <c r="Y31" s="1473"/>
      <c r="Z31" s="1473"/>
    </row>
    <row r="32" spans="1:34">
      <c r="A32" s="1458" t="s">
        <v>1159</v>
      </c>
      <c r="B32" s="1474">
        <f t="shared" ref="B32:C34" si="142">B31/(1+N31)</f>
        <v>293.62663262299913</v>
      </c>
      <c r="C32" s="1474">
        <f t="shared" si="142"/>
        <v>247.83634933123525</v>
      </c>
      <c r="D32" s="1474">
        <f t="shared" si="133"/>
        <v>247.83634933123525</v>
      </c>
      <c r="E32" s="1474">
        <f t="shared" ref="E32:F34" si="143">E31/(1+P31)</f>
        <v>401.09836226341076</v>
      </c>
      <c r="F32" s="1474">
        <f t="shared" si="143"/>
        <v>225.04213343908003</v>
      </c>
      <c r="G32" s="3314"/>
      <c r="H32" s="1484">
        <v>3</v>
      </c>
      <c r="I32" s="1484">
        <v>1.86</v>
      </c>
      <c r="J32" s="1484">
        <v>1.72</v>
      </c>
      <c r="K32" s="1484">
        <v>1.98</v>
      </c>
      <c r="L32" s="1485">
        <v>0.88</v>
      </c>
      <c r="N32" s="1469">
        <f t="shared" si="135"/>
        <v>1.8600000000000002E-2</v>
      </c>
      <c r="O32" s="1486">
        <f t="shared" si="130"/>
        <v>1.72E-2</v>
      </c>
      <c r="P32" s="1486">
        <f t="shared" si="130"/>
        <v>1.9799999999999998E-2</v>
      </c>
      <c r="Q32" s="1486">
        <f t="shared" si="130"/>
        <v>8.8000000000000005E-3</v>
      </c>
      <c r="R32" s="1471"/>
      <c r="S32" s="1469"/>
      <c r="T32" s="1470"/>
      <c r="U32" s="1470"/>
      <c r="V32" s="1470"/>
    </row>
    <row r="33" spans="1:26">
      <c r="A33" s="1458" t="s">
        <v>1160</v>
      </c>
      <c r="B33" s="1474">
        <f t="shared" si="142"/>
        <v>288.2649053828776</v>
      </c>
      <c r="C33" s="1474">
        <f t="shared" si="142"/>
        <v>243.64564425013293</v>
      </c>
      <c r="D33" s="1474">
        <f t="shared" si="133"/>
        <v>243.64564425013293</v>
      </c>
      <c r="E33" s="1474">
        <f t="shared" si="143"/>
        <v>393.31080825986544</v>
      </c>
      <c r="F33" s="1474">
        <f t="shared" si="143"/>
        <v>223.07903790551154</v>
      </c>
      <c r="G33" s="3314"/>
      <c r="H33" s="1462">
        <v>2</v>
      </c>
      <c r="I33" s="1462">
        <v>2.04</v>
      </c>
      <c r="J33" s="1462">
        <v>2.33</v>
      </c>
      <c r="K33" s="1462">
        <v>2.0699999999999998</v>
      </c>
      <c r="L33" s="1476">
        <v>0.69</v>
      </c>
      <c r="N33" s="1469">
        <f t="shared" si="135"/>
        <v>2.0400000000000001E-2</v>
      </c>
      <c r="O33" s="1486">
        <f t="shared" si="130"/>
        <v>2.3300000000000001E-2</v>
      </c>
      <c r="P33" s="1486">
        <f t="shared" si="130"/>
        <v>2.07E-2</v>
      </c>
      <c r="Q33" s="1486">
        <f t="shared" si="130"/>
        <v>6.8999999999999999E-3</v>
      </c>
      <c r="R33" s="1471"/>
      <c r="S33" s="1469"/>
      <c r="T33" s="1470"/>
      <c r="U33" s="1470"/>
      <c r="V33" s="1470"/>
      <c r="X33" s="1505"/>
      <c r="Y33" s="1506"/>
    </row>
    <row r="34" spans="1:26">
      <c r="A34" s="1458" t="s">
        <v>1161</v>
      </c>
      <c r="B34" s="1474">
        <f t="shared" si="142"/>
        <v>282.50186729015837</v>
      </c>
      <c r="C34" s="1474">
        <f t="shared" si="142"/>
        <v>238.09796174155468</v>
      </c>
      <c r="D34" s="1474">
        <f t="shared" si="133"/>
        <v>238.09796174155468</v>
      </c>
      <c r="E34" s="1474">
        <f t="shared" si="143"/>
        <v>385.33438646014054</v>
      </c>
      <c r="F34" s="1474">
        <f t="shared" si="143"/>
        <v>221.55034055567739</v>
      </c>
      <c r="G34" s="3315"/>
      <c r="H34" s="1461">
        <v>1</v>
      </c>
      <c r="I34" s="1461">
        <v>1.67</v>
      </c>
      <c r="J34" s="1461">
        <v>1.31</v>
      </c>
      <c r="K34" s="1461">
        <v>1.85</v>
      </c>
      <c r="L34" s="1475">
        <v>0.96</v>
      </c>
      <c r="N34" s="1477">
        <f t="shared" si="135"/>
        <v>1.67E-2</v>
      </c>
      <c r="O34" s="1478">
        <f t="shared" si="135"/>
        <v>1.3100000000000001E-2</v>
      </c>
      <c r="P34" s="1478">
        <f t="shared" si="135"/>
        <v>1.8500000000000003E-2</v>
      </c>
      <c r="Q34" s="1478">
        <f t="shared" si="135"/>
        <v>9.5999999999999992E-3</v>
      </c>
      <c r="R34" s="1471"/>
      <c r="S34" s="1477">
        <f>B34/B35-1</f>
        <v>1.6193767230785472E-2</v>
      </c>
      <c r="T34" s="1478">
        <f>C34/C35-1</f>
        <v>1.7512657015190891E-2</v>
      </c>
      <c r="U34" s="1478">
        <f>E34/E35-1</f>
        <v>1.6713420739157048E-2</v>
      </c>
      <c r="V34" s="1478">
        <f>F34/F35-1</f>
        <v>7.0470025258062563E-3</v>
      </c>
      <c r="X34" s="1507"/>
      <c r="Y34" s="1457"/>
      <c r="Z34" s="1457"/>
    </row>
    <row r="35" spans="1:26" ht="13.5" thickBot="1">
      <c r="A35" s="1458" t="s">
        <v>1162</v>
      </c>
      <c r="B35" s="1508">
        <v>278</v>
      </c>
      <c r="C35" s="1508">
        <v>234</v>
      </c>
      <c r="D35" s="1508">
        <f t="shared" si="133"/>
        <v>234</v>
      </c>
      <c r="E35" s="1508">
        <v>379</v>
      </c>
      <c r="F35" s="1509">
        <v>220</v>
      </c>
      <c r="G35" s="3308">
        <v>2012</v>
      </c>
      <c r="H35" s="1479">
        <v>4</v>
      </c>
      <c r="I35" s="1479">
        <v>0.91</v>
      </c>
      <c r="J35" s="1479">
        <v>0.68</v>
      </c>
      <c r="K35" s="1479">
        <v>0.98</v>
      </c>
      <c r="L35" s="1480">
        <v>0.9</v>
      </c>
      <c r="N35" s="1469">
        <f t="shared" si="135"/>
        <v>9.1000000000000004E-3</v>
      </c>
      <c r="O35" s="1470">
        <f t="shared" si="135"/>
        <v>6.8000000000000005E-3</v>
      </c>
      <c r="P35" s="1470">
        <f t="shared" si="135"/>
        <v>9.7999999999999997E-3</v>
      </c>
      <c r="Q35" s="1470">
        <f t="shared" si="135"/>
        <v>9.0000000000000011E-3</v>
      </c>
      <c r="R35" s="1471"/>
      <c r="S35" s="1472"/>
      <c r="T35" s="1473"/>
      <c r="U35" s="1473"/>
      <c r="V35" s="1473"/>
      <c r="X35" s="1473"/>
      <c r="Y35" s="1473"/>
      <c r="Z35" s="1473"/>
    </row>
    <row r="36" spans="1:26">
      <c r="A36" s="1458" t="s">
        <v>1163</v>
      </c>
      <c r="B36" s="1474">
        <f>B35/(1+N35)</f>
        <v>275.49301357645425</v>
      </c>
      <c r="C36" s="1474">
        <f>C35/(1+O35)</f>
        <v>232.41954707985698</v>
      </c>
      <c r="D36" s="1474">
        <f t="shared" si="133"/>
        <v>232.41954707985698</v>
      </c>
      <c r="E36" s="1474">
        <f t="shared" ref="E36:F38" si="144">E35/(1+P35)</f>
        <v>375.32184591008121</v>
      </c>
      <c r="F36" s="1474">
        <f t="shared" si="144"/>
        <v>218.03766105054513</v>
      </c>
      <c r="G36" s="3309"/>
      <c r="H36" s="1484">
        <v>3</v>
      </c>
      <c r="I36" s="1484">
        <v>0.09</v>
      </c>
      <c r="J36" s="1484">
        <v>0.28999999999999998</v>
      </c>
      <c r="K36" s="1484">
        <v>-0.01</v>
      </c>
      <c r="L36" s="1485">
        <v>0.57999999999999996</v>
      </c>
      <c r="N36" s="1469">
        <f t="shared" si="135"/>
        <v>8.9999999999999998E-4</v>
      </c>
      <c r="O36" s="1470">
        <f t="shared" si="135"/>
        <v>2.8999999999999998E-3</v>
      </c>
      <c r="P36" s="1470">
        <f t="shared" si="135"/>
        <v>-1E-4</v>
      </c>
      <c r="Q36" s="1470">
        <f t="shared" si="135"/>
        <v>5.7999999999999996E-3</v>
      </c>
      <c r="R36" s="1471"/>
      <c r="S36" s="1469"/>
      <c r="T36" s="1470"/>
      <c r="U36" s="1470"/>
      <c r="V36" s="1470"/>
    </row>
    <row r="37" spans="1:26">
      <c r="A37" s="1458" t="s">
        <v>1164</v>
      </c>
      <c r="B37" s="1474">
        <f>B36/(1+N36)</f>
        <v>275.24529281292263</v>
      </c>
      <c r="C37" s="1474">
        <f>C36/(1+O36)</f>
        <v>231.74747938962707</v>
      </c>
      <c r="D37" s="1474">
        <f t="shared" si="133"/>
        <v>231.74747938962707</v>
      </c>
      <c r="E37" s="1474">
        <f t="shared" si="144"/>
        <v>375.35938184826603</v>
      </c>
      <c r="F37" s="1474">
        <f t="shared" si="144"/>
        <v>216.78033510692495</v>
      </c>
      <c r="G37" s="3309"/>
      <c r="H37" s="1462">
        <v>2</v>
      </c>
      <c r="I37" s="1462">
        <v>0.02</v>
      </c>
      <c r="J37" s="1462">
        <v>0.12</v>
      </c>
      <c r="K37" s="1462">
        <v>-0.08</v>
      </c>
      <c r="L37" s="1476">
        <v>1.24</v>
      </c>
      <c r="N37" s="1469">
        <f t="shared" si="135"/>
        <v>2.0000000000000001E-4</v>
      </c>
      <c r="O37" s="1470">
        <f t="shared" si="135"/>
        <v>1.1999999999999999E-3</v>
      </c>
      <c r="P37" s="1470">
        <f t="shared" si="135"/>
        <v>-8.0000000000000004E-4</v>
      </c>
      <c r="Q37" s="1470">
        <f t="shared" si="135"/>
        <v>1.24E-2</v>
      </c>
      <c r="R37" s="1471"/>
      <c r="S37" s="1469"/>
      <c r="T37" s="1470"/>
      <c r="U37" s="1470"/>
      <c r="V37" s="1470"/>
    </row>
    <row r="38" spans="1:26" ht="13.5" thickBot="1">
      <c r="A38" s="1458" t="s">
        <v>1165</v>
      </c>
      <c r="B38" s="1474">
        <f>B37/(1+N37)</f>
        <v>275.19025476197027</v>
      </c>
      <c r="C38" s="1510">
        <v>232</v>
      </c>
      <c r="D38" s="1510">
        <f t="shared" si="133"/>
        <v>232</v>
      </c>
      <c r="E38" s="1474">
        <f t="shared" si="144"/>
        <v>375.65990977608692</v>
      </c>
      <c r="F38" s="1474">
        <f t="shared" si="144"/>
        <v>214.12518283971252</v>
      </c>
      <c r="G38" s="3310"/>
      <c r="H38" s="1461">
        <v>1</v>
      </c>
      <c r="I38" s="1461">
        <v>0.02</v>
      </c>
      <c r="J38" s="1461">
        <v>0.13</v>
      </c>
      <c r="K38" s="1461">
        <v>-0.04</v>
      </c>
      <c r="L38" s="1475">
        <v>0.46</v>
      </c>
      <c r="N38" s="1469">
        <f t="shared" si="135"/>
        <v>2.0000000000000001E-4</v>
      </c>
      <c r="O38" s="1470">
        <f t="shared" si="135"/>
        <v>1.2999999999999999E-3</v>
      </c>
      <c r="P38" s="1470">
        <f t="shared" si="135"/>
        <v>-4.0000000000000002E-4</v>
      </c>
      <c r="Q38" s="1470">
        <f t="shared" si="135"/>
        <v>4.5999999999999999E-3</v>
      </c>
      <c r="R38" s="1471"/>
      <c r="S38" s="1477">
        <f>B38/B39-1</f>
        <v>6.9183549807361189E-4</v>
      </c>
      <c r="T38" s="1478">
        <f>C38/C39-1</f>
        <v>0</v>
      </c>
      <c r="U38" s="1478">
        <f>E38/E39-1</f>
        <v>-9.0449527636460303E-4</v>
      </c>
      <c r="V38" s="1478">
        <f>F38/F39-1</f>
        <v>5.2825485432512753E-3</v>
      </c>
      <c r="X38" s="1457"/>
      <c r="Y38" s="1457"/>
      <c r="Z38" s="1457"/>
    </row>
    <row r="39" spans="1:26" ht="13.5" thickBot="1">
      <c r="A39" s="1458" t="s">
        <v>1166</v>
      </c>
      <c r="B39" s="1466">
        <v>275</v>
      </c>
      <c r="C39" s="1466">
        <v>232</v>
      </c>
      <c r="D39" s="1466">
        <f t="shared" si="133"/>
        <v>232</v>
      </c>
      <c r="E39" s="1466">
        <v>376</v>
      </c>
      <c r="F39" s="1467">
        <v>213</v>
      </c>
      <c r="G39" s="3308">
        <v>2011</v>
      </c>
      <c r="H39" s="1479">
        <v>4</v>
      </c>
      <c r="I39" s="1479">
        <v>-0.2</v>
      </c>
      <c r="J39" s="1479">
        <v>0.04</v>
      </c>
      <c r="K39" s="1479">
        <v>-0.34</v>
      </c>
      <c r="L39" s="1480">
        <v>0.46</v>
      </c>
      <c r="N39" s="1481">
        <f t="shared" si="135"/>
        <v>-2E-3</v>
      </c>
      <c r="O39" s="1482">
        <f t="shared" si="135"/>
        <v>4.0000000000000002E-4</v>
      </c>
      <c r="P39" s="1482">
        <f t="shared" si="135"/>
        <v>-3.4000000000000002E-3</v>
      </c>
      <c r="Q39" s="1482">
        <f t="shared" si="135"/>
        <v>4.5999999999999999E-3</v>
      </c>
      <c r="R39" s="1471"/>
      <c r="S39" s="1472"/>
      <c r="T39" s="1473"/>
      <c r="U39" s="1473"/>
      <c r="V39" s="1473"/>
      <c r="X39" s="1473"/>
      <c r="Y39" s="1473"/>
      <c r="Z39" s="1473"/>
    </row>
    <row r="40" spans="1:26">
      <c r="A40" s="1458" t="s">
        <v>1167</v>
      </c>
      <c r="B40" s="1474">
        <f t="shared" ref="B40:C42" si="145">B39/(1+N39)</f>
        <v>275.55110220440883</v>
      </c>
      <c r="C40" s="1474">
        <f t="shared" si="145"/>
        <v>231.90723710515795</v>
      </c>
      <c r="D40" s="1474">
        <f t="shared" si="133"/>
        <v>231.90723710515795</v>
      </c>
      <c r="E40" s="1474">
        <f t="shared" ref="E40:F42" si="146">E39/(1+P39)</f>
        <v>377.28276138872161</v>
      </c>
      <c r="F40" s="1474">
        <f t="shared" si="146"/>
        <v>212.02468644236512</v>
      </c>
      <c r="G40" s="3309">
        <v>2011</v>
      </c>
      <c r="H40" s="1484">
        <v>3</v>
      </c>
      <c r="I40" s="1484">
        <v>0.13</v>
      </c>
      <c r="J40" s="1484">
        <v>0.75</v>
      </c>
      <c r="K40" s="1484">
        <v>-0.08</v>
      </c>
      <c r="L40" s="1485">
        <v>0.53</v>
      </c>
      <c r="N40" s="1469">
        <f t="shared" si="135"/>
        <v>1.2999999999999999E-3</v>
      </c>
      <c r="O40" s="1486">
        <f t="shared" si="135"/>
        <v>7.4999999999999997E-3</v>
      </c>
      <c r="P40" s="1486">
        <f t="shared" si="135"/>
        <v>-8.0000000000000004E-4</v>
      </c>
      <c r="Q40" s="1486">
        <f t="shared" si="135"/>
        <v>5.3E-3</v>
      </c>
      <c r="R40" s="1471"/>
      <c r="S40" s="1469"/>
      <c r="T40" s="1470"/>
      <c r="U40" s="1470"/>
      <c r="V40" s="1470"/>
    </row>
    <row r="41" spans="1:26">
      <c r="A41" s="1458" t="s">
        <v>1168</v>
      </c>
      <c r="B41" s="1474">
        <f t="shared" si="145"/>
        <v>275.19335084830601</v>
      </c>
      <c r="C41" s="1474">
        <f t="shared" si="145"/>
        <v>230.18088050139744</v>
      </c>
      <c r="D41" s="1474">
        <f t="shared" si="133"/>
        <v>230.18088050139744</v>
      </c>
      <c r="E41" s="1474">
        <f t="shared" si="146"/>
        <v>377.58482925212331</v>
      </c>
      <c r="F41" s="1474">
        <f t="shared" si="146"/>
        <v>210.90687997847917</v>
      </c>
      <c r="G41" s="3309">
        <v>2011</v>
      </c>
      <c r="H41" s="1462">
        <v>2</v>
      </c>
      <c r="I41" s="1462">
        <v>-0.4</v>
      </c>
      <c r="J41" s="1462">
        <v>0.17</v>
      </c>
      <c r="K41" s="1462">
        <v>-0.57999999999999996</v>
      </c>
      <c r="L41" s="1476">
        <v>-0.2</v>
      </c>
      <c r="N41" s="1469">
        <f t="shared" si="135"/>
        <v>-4.0000000000000001E-3</v>
      </c>
      <c r="O41" s="1486">
        <f t="shared" si="135"/>
        <v>1.7000000000000001E-3</v>
      </c>
      <c r="P41" s="1486">
        <f t="shared" si="135"/>
        <v>-5.7999999999999996E-3</v>
      </c>
      <c r="Q41" s="1486">
        <f t="shared" si="135"/>
        <v>-2E-3</v>
      </c>
      <c r="R41" s="1471"/>
      <c r="S41" s="1469"/>
      <c r="T41" s="1470"/>
      <c r="U41" s="1470"/>
      <c r="V41" s="1470"/>
    </row>
    <row r="42" spans="1:26" ht="13.5" thickBot="1">
      <c r="A42" s="1458" t="s">
        <v>1169</v>
      </c>
      <c r="B42" s="1474">
        <f t="shared" si="145"/>
        <v>276.29854502841971</v>
      </c>
      <c r="C42" s="1474">
        <f t="shared" si="145"/>
        <v>229.79023709833027</v>
      </c>
      <c r="D42" s="1474">
        <f t="shared" si="133"/>
        <v>229.79023709833027</v>
      </c>
      <c r="E42" s="1474">
        <f t="shared" si="146"/>
        <v>379.78759731655936</v>
      </c>
      <c r="F42" s="1474">
        <f t="shared" si="146"/>
        <v>211.32953905659235</v>
      </c>
      <c r="G42" s="3310">
        <v>2011</v>
      </c>
      <c r="H42" s="1461">
        <v>1</v>
      </c>
      <c r="I42" s="1461">
        <v>2.65</v>
      </c>
      <c r="J42" s="1461">
        <v>3.76</v>
      </c>
      <c r="K42" s="1461">
        <v>1.89</v>
      </c>
      <c r="L42" s="1475">
        <v>7.95</v>
      </c>
      <c r="N42" s="1477">
        <f t="shared" si="135"/>
        <v>2.6499999999999999E-2</v>
      </c>
      <c r="O42" s="1478">
        <f t="shared" si="135"/>
        <v>3.7599999999999995E-2</v>
      </c>
      <c r="P42" s="1478">
        <f t="shared" si="135"/>
        <v>1.89E-2</v>
      </c>
      <c r="Q42" s="1478">
        <f t="shared" si="135"/>
        <v>7.9500000000000001E-2</v>
      </c>
      <c r="R42" s="1471"/>
      <c r="S42" s="1477">
        <f>B42/B43-1</f>
        <v>2.713213765211786E-2</v>
      </c>
      <c r="T42" s="1478">
        <f>C42/C43-1</f>
        <v>3.9774828499231862E-2</v>
      </c>
      <c r="U42" s="1478">
        <f>E42/E43-1</f>
        <v>1.8197311840641772E-2</v>
      </c>
      <c r="V42" s="1478">
        <f>F42/F43-1</f>
        <v>7.8211933962205826E-2</v>
      </c>
      <c r="X42" s="1457"/>
      <c r="Y42" s="1457"/>
      <c r="Z42" s="1457"/>
    </row>
    <row r="43" spans="1:26" ht="13.5" thickBot="1">
      <c r="A43" s="1458" t="s">
        <v>1170</v>
      </c>
      <c r="B43" s="1466">
        <v>269</v>
      </c>
      <c r="C43" s="1466">
        <v>221</v>
      </c>
      <c r="D43" s="1466">
        <f t="shared" si="133"/>
        <v>221</v>
      </c>
      <c r="E43" s="1466">
        <v>373</v>
      </c>
      <c r="F43" s="1467">
        <v>196</v>
      </c>
      <c r="G43" s="3308">
        <v>2010</v>
      </c>
      <c r="H43" s="1479">
        <v>4</v>
      </c>
      <c r="I43" s="1479">
        <v>5.72</v>
      </c>
      <c r="J43" s="1479">
        <v>6.57</v>
      </c>
      <c r="K43" s="1479">
        <v>5.72</v>
      </c>
      <c r="L43" s="1480">
        <v>2.72</v>
      </c>
      <c r="N43" s="1469">
        <f t="shared" si="135"/>
        <v>5.7200000000000001E-2</v>
      </c>
      <c r="O43" s="1470">
        <f t="shared" si="135"/>
        <v>6.5700000000000008E-2</v>
      </c>
      <c r="P43" s="1470">
        <f t="shared" si="135"/>
        <v>5.7200000000000001E-2</v>
      </c>
      <c r="Q43" s="1470">
        <f t="shared" si="135"/>
        <v>2.7200000000000002E-2</v>
      </c>
      <c r="R43" s="1471"/>
      <c r="S43" s="1472"/>
      <c r="T43" s="1473"/>
      <c r="U43" s="1473"/>
      <c r="V43" s="1473"/>
      <c r="X43" s="1473"/>
      <c r="Y43" s="1473"/>
      <c r="Z43" s="1473"/>
    </row>
    <row r="44" spans="1:26">
      <c r="A44" s="1458" t="s">
        <v>1171</v>
      </c>
      <c r="B44" s="1474">
        <f t="shared" ref="B44:C46" si="147">B43/(1+N43)</f>
        <v>254.44570563753314</v>
      </c>
      <c r="C44" s="1474">
        <f t="shared" si="147"/>
        <v>207.37543398705074</v>
      </c>
      <c r="D44" s="1474">
        <f t="shared" si="133"/>
        <v>207.37543398705074</v>
      </c>
      <c r="E44" s="1474">
        <f t="shared" ref="E44:F46" si="148">E43/(1+P43)</f>
        <v>352.81876655315932</v>
      </c>
      <c r="F44" s="1474">
        <f t="shared" si="148"/>
        <v>190.809968847352</v>
      </c>
      <c r="G44" s="3309">
        <v>2010</v>
      </c>
      <c r="H44" s="1484">
        <v>3</v>
      </c>
      <c r="I44" s="1484">
        <v>4.7300000000000004</v>
      </c>
      <c r="J44" s="1484">
        <v>3.9</v>
      </c>
      <c r="K44" s="1484">
        <v>5.03</v>
      </c>
      <c r="L44" s="1485">
        <v>4.21</v>
      </c>
      <c r="N44" s="1469">
        <f t="shared" si="135"/>
        <v>4.7300000000000002E-2</v>
      </c>
      <c r="O44" s="1470">
        <f t="shared" si="135"/>
        <v>3.9E-2</v>
      </c>
      <c r="P44" s="1470">
        <f t="shared" si="135"/>
        <v>5.0300000000000004E-2</v>
      </c>
      <c r="Q44" s="1470">
        <f t="shared" si="135"/>
        <v>4.2099999999999999E-2</v>
      </c>
      <c r="R44" s="1471"/>
      <c r="S44" s="1469"/>
      <c r="T44" s="1470"/>
      <c r="U44" s="1470"/>
      <c r="V44" s="1470"/>
    </row>
    <row r="45" spans="1:26">
      <c r="A45" s="1458" t="s">
        <v>1172</v>
      </c>
      <c r="B45" s="1474">
        <f t="shared" si="147"/>
        <v>242.95398227588385</v>
      </c>
      <c r="C45" s="1474">
        <f t="shared" si="147"/>
        <v>199.59137053614126</v>
      </c>
      <c r="D45" s="1474">
        <f t="shared" si="133"/>
        <v>199.59137053614126</v>
      </c>
      <c r="E45" s="1474">
        <f t="shared" si="148"/>
        <v>335.92189522342125</v>
      </c>
      <c r="F45" s="1474">
        <f t="shared" si="148"/>
        <v>183.10139991109489</v>
      </c>
      <c r="G45" s="3309">
        <v>2010</v>
      </c>
      <c r="H45" s="1462">
        <v>2</v>
      </c>
      <c r="I45" s="1462">
        <v>4.6900000000000004</v>
      </c>
      <c r="J45" s="1462">
        <v>3.55</v>
      </c>
      <c r="K45" s="1462">
        <v>5.07</v>
      </c>
      <c r="L45" s="1476">
        <v>4.2300000000000004</v>
      </c>
      <c r="N45" s="1469">
        <f t="shared" si="135"/>
        <v>4.6900000000000004E-2</v>
      </c>
      <c r="O45" s="1470">
        <f t="shared" si="135"/>
        <v>3.5499999999999997E-2</v>
      </c>
      <c r="P45" s="1470">
        <f t="shared" si="135"/>
        <v>5.0700000000000002E-2</v>
      </c>
      <c r="Q45" s="1470">
        <f t="shared" si="135"/>
        <v>4.2300000000000004E-2</v>
      </c>
      <c r="R45" s="1471"/>
      <c r="S45" s="1469"/>
      <c r="T45" s="1470"/>
      <c r="U45" s="1470"/>
      <c r="V45" s="1470"/>
    </row>
    <row r="46" spans="1:26" ht="13.5" thickBot="1">
      <c r="A46" s="1458" t="s">
        <v>1173</v>
      </c>
      <c r="B46" s="1474">
        <f t="shared" si="147"/>
        <v>232.06990378821649</v>
      </c>
      <c r="C46" s="1474">
        <f t="shared" si="147"/>
        <v>192.74878854286936</v>
      </c>
      <c r="D46" s="1474">
        <f t="shared" si="133"/>
        <v>192.74878854286936</v>
      </c>
      <c r="E46" s="1474">
        <f t="shared" si="148"/>
        <v>319.71247284992984</v>
      </c>
      <c r="F46" s="1474">
        <f t="shared" si="148"/>
        <v>175.67053622862409</v>
      </c>
      <c r="G46" s="3310">
        <v>2010</v>
      </c>
      <c r="H46" s="1461">
        <v>1</v>
      </c>
      <c r="I46" s="1461">
        <v>5.4</v>
      </c>
      <c r="J46" s="1461">
        <v>3.2</v>
      </c>
      <c r="K46" s="1461">
        <v>6.16</v>
      </c>
      <c r="L46" s="1475">
        <v>4.51</v>
      </c>
      <c r="N46" s="1469">
        <f t="shared" si="135"/>
        <v>5.4000000000000006E-2</v>
      </c>
      <c r="O46" s="1470">
        <f t="shared" si="135"/>
        <v>3.2000000000000001E-2</v>
      </c>
      <c r="P46" s="1470">
        <f t="shared" si="135"/>
        <v>6.1600000000000002E-2</v>
      </c>
      <c r="Q46" s="1470">
        <f t="shared" si="135"/>
        <v>4.5100000000000001E-2</v>
      </c>
      <c r="R46" s="1471"/>
      <c r="S46" s="1477">
        <f>B46/B47-1</f>
        <v>5.4863199037347599E-2</v>
      </c>
      <c r="T46" s="1478">
        <f>C46/C47-1</f>
        <v>3.0742184721226584E-2</v>
      </c>
      <c r="U46" s="1478">
        <f>E46/E47-1</f>
        <v>6.2167683886810154E-2</v>
      </c>
      <c r="V46" s="1478">
        <f>F46/F47-1</f>
        <v>4.5657953741810031E-2</v>
      </c>
      <c r="X46" s="1457"/>
      <c r="Y46" s="1457"/>
      <c r="Z46" s="1457"/>
    </row>
    <row r="47" spans="1:26" ht="13.5" thickBot="1">
      <c r="A47" s="1458" t="s">
        <v>1174</v>
      </c>
      <c r="B47" s="1466">
        <v>220</v>
      </c>
      <c r="C47" s="1466">
        <v>187</v>
      </c>
      <c r="D47" s="1466">
        <f t="shared" si="133"/>
        <v>187</v>
      </c>
      <c r="E47" s="1466">
        <v>301</v>
      </c>
      <c r="F47" s="1467">
        <v>168</v>
      </c>
      <c r="G47" s="3308">
        <v>2009</v>
      </c>
      <c r="H47" s="1479">
        <v>4</v>
      </c>
      <c r="I47" s="1479">
        <v>2.2999999999999998</v>
      </c>
      <c r="J47" s="1479">
        <v>1.04</v>
      </c>
      <c r="K47" s="1479">
        <v>2.84</v>
      </c>
      <c r="L47" s="1480">
        <v>0.67</v>
      </c>
      <c r="N47" s="1481">
        <f t="shared" si="135"/>
        <v>2.3E-2</v>
      </c>
      <c r="O47" s="1482">
        <f t="shared" si="135"/>
        <v>1.04E-2</v>
      </c>
      <c r="P47" s="1482">
        <f t="shared" si="135"/>
        <v>2.8399999999999998E-2</v>
      </c>
      <c r="Q47" s="1482">
        <f t="shared" si="135"/>
        <v>6.7000000000000002E-3</v>
      </c>
      <c r="R47" s="1471"/>
      <c r="S47" s="1472"/>
      <c r="T47" s="1473"/>
      <c r="U47" s="1473"/>
      <c r="V47" s="1473"/>
      <c r="X47" s="1473"/>
      <c r="Y47" s="1473"/>
      <c r="Z47" s="1473"/>
    </row>
    <row r="48" spans="1:26">
      <c r="A48" s="1458" t="s">
        <v>1175</v>
      </c>
      <c r="B48" s="1474">
        <f t="shared" ref="B48:C50" si="149">B47/(1+N47)</f>
        <v>215.05376344086022</v>
      </c>
      <c r="C48" s="1474">
        <f t="shared" si="149"/>
        <v>185.0752177355503</v>
      </c>
      <c r="D48" s="1474">
        <f t="shared" si="133"/>
        <v>185.0752177355503</v>
      </c>
      <c r="E48" s="1474">
        <f t="shared" ref="E48:F50" si="150">E47/(1+P47)</f>
        <v>292.68767016725008</v>
      </c>
      <c r="F48" s="1474">
        <f t="shared" si="150"/>
        <v>166.88189132810174</v>
      </c>
      <c r="G48" s="3309">
        <v>2009</v>
      </c>
      <c r="H48" s="1484">
        <v>3</v>
      </c>
      <c r="I48" s="1484">
        <v>2.1</v>
      </c>
      <c r="J48" s="1484">
        <v>1.86</v>
      </c>
      <c r="K48" s="1484">
        <v>2.29</v>
      </c>
      <c r="L48" s="1485">
        <v>0.85</v>
      </c>
      <c r="N48" s="1469">
        <f t="shared" si="135"/>
        <v>2.1000000000000001E-2</v>
      </c>
      <c r="O48" s="1486">
        <f t="shared" si="135"/>
        <v>1.8600000000000002E-2</v>
      </c>
      <c r="P48" s="1486">
        <f t="shared" si="135"/>
        <v>2.29E-2</v>
      </c>
      <c r="Q48" s="1486">
        <f t="shared" si="135"/>
        <v>8.5000000000000006E-3</v>
      </c>
      <c r="R48" s="1471"/>
      <c r="S48" s="1469"/>
      <c r="T48" s="1470"/>
      <c r="U48" s="1470"/>
      <c r="V48" s="1470"/>
    </row>
    <row r="49" spans="1:26">
      <c r="A49" s="1458" t="s">
        <v>1176</v>
      </c>
      <c r="B49" s="1474">
        <f t="shared" si="149"/>
        <v>210.630522469011</v>
      </c>
      <c r="C49" s="1474">
        <f t="shared" si="149"/>
        <v>181.69567812247232</v>
      </c>
      <c r="D49" s="1474">
        <f t="shared" si="133"/>
        <v>181.69567812247232</v>
      </c>
      <c r="E49" s="1474">
        <f t="shared" si="150"/>
        <v>286.13517466736738</v>
      </c>
      <c r="F49" s="1474">
        <f t="shared" si="150"/>
        <v>165.47535084591149</v>
      </c>
      <c r="G49" s="3309">
        <v>2009</v>
      </c>
      <c r="H49" s="1462">
        <v>2</v>
      </c>
      <c r="I49" s="1462">
        <v>0.86</v>
      </c>
      <c r="J49" s="1462">
        <v>-1.1299999999999999</v>
      </c>
      <c r="K49" s="1462">
        <v>1.79</v>
      </c>
      <c r="L49" s="1476">
        <v>-2.0699999999999998</v>
      </c>
      <c r="N49" s="1469">
        <f t="shared" si="135"/>
        <v>8.6E-3</v>
      </c>
      <c r="O49" s="1486">
        <f t="shared" si="135"/>
        <v>-1.1299999999999999E-2</v>
      </c>
      <c r="P49" s="1486">
        <f t="shared" si="135"/>
        <v>1.7899999999999999E-2</v>
      </c>
      <c r="Q49" s="1486">
        <f t="shared" si="135"/>
        <v>-2.07E-2</v>
      </c>
      <c r="R49" s="1471"/>
      <c r="S49" s="1469"/>
      <c r="T49" s="1470"/>
      <c r="U49" s="1470"/>
      <c r="V49" s="1470"/>
    </row>
    <row r="50" spans="1:26">
      <c r="A50" s="1458" t="s">
        <v>1177</v>
      </c>
      <c r="B50" s="1474">
        <f t="shared" si="149"/>
        <v>208.83454537875372</v>
      </c>
      <c r="C50" s="1474">
        <f t="shared" si="149"/>
        <v>183.77230517090351</v>
      </c>
      <c r="D50" s="1474">
        <f t="shared" si="133"/>
        <v>183.77230517090351</v>
      </c>
      <c r="E50" s="1474">
        <f t="shared" si="150"/>
        <v>281.10342338870947</v>
      </c>
      <c r="F50" s="1474">
        <f t="shared" si="150"/>
        <v>168.97309388942256</v>
      </c>
      <c r="G50" s="3310">
        <v>2009</v>
      </c>
      <c r="H50" s="1461">
        <v>1</v>
      </c>
      <c r="I50" s="1461">
        <v>-2.64</v>
      </c>
      <c r="J50" s="1461">
        <v>-2.5299999999999998</v>
      </c>
      <c r="K50" s="1461">
        <v>-3.02</v>
      </c>
      <c r="L50" s="1475">
        <v>1.52</v>
      </c>
      <c r="N50" s="1477">
        <f t="shared" si="135"/>
        <v>-2.64E-2</v>
      </c>
      <c r="O50" s="1478">
        <f t="shared" si="135"/>
        <v>-2.53E-2</v>
      </c>
      <c r="P50" s="1478">
        <f t="shared" si="135"/>
        <v>-3.0200000000000001E-2</v>
      </c>
      <c r="Q50" s="1478">
        <f t="shared" si="135"/>
        <v>1.52E-2</v>
      </c>
      <c r="R50" s="1471"/>
      <c r="S50" s="1477">
        <f>B50/B51-1</f>
        <v>-2.4137638417038754E-2</v>
      </c>
      <c r="T50" s="1478">
        <f>C50/C51-1</f>
        <v>-2.248773845264096E-2</v>
      </c>
      <c r="U50" s="1478">
        <f>E50/E51-1</f>
        <v>-2.7323794502735366E-2</v>
      </c>
      <c r="V50" s="1478">
        <f>F50/F51-1</f>
        <v>1.7910204153148035E-2</v>
      </c>
      <c r="X50" s="1457"/>
      <c r="Y50" s="1457"/>
      <c r="Z50" s="1457"/>
    </row>
    <row r="51" spans="1:26" ht="13.5" thickBot="1">
      <c r="A51" s="1458" t="s">
        <v>1178</v>
      </c>
      <c r="B51" s="1508">
        <v>214</v>
      </c>
      <c r="C51" s="1508">
        <v>188</v>
      </c>
      <c r="D51" s="1508">
        <f t="shared" si="133"/>
        <v>188</v>
      </c>
      <c r="E51" s="1508">
        <v>289</v>
      </c>
      <c r="F51" s="1509">
        <v>166</v>
      </c>
      <c r="G51" s="3308">
        <v>2008</v>
      </c>
      <c r="H51" s="1479">
        <v>4</v>
      </c>
      <c r="I51" s="1479">
        <v>1.73</v>
      </c>
      <c r="J51" s="1479">
        <v>0.03</v>
      </c>
      <c r="K51" s="1479">
        <v>2.59</v>
      </c>
      <c r="L51" s="1480">
        <v>-1.66</v>
      </c>
      <c r="N51" s="1469">
        <f t="shared" si="135"/>
        <v>1.7299999999999999E-2</v>
      </c>
      <c r="O51" s="1470">
        <f t="shared" si="135"/>
        <v>2.9999999999999997E-4</v>
      </c>
      <c r="P51" s="1470">
        <f t="shared" si="135"/>
        <v>2.5899999999999999E-2</v>
      </c>
      <c r="Q51" s="1470">
        <f t="shared" si="135"/>
        <v>-1.66E-2</v>
      </c>
      <c r="R51" s="1471"/>
      <c r="S51" s="1472"/>
      <c r="T51" s="1473"/>
      <c r="U51" s="1473"/>
      <c r="V51" s="1473"/>
      <c r="X51" s="1473"/>
      <c r="Y51" s="1473"/>
      <c r="Z51" s="1473"/>
    </row>
    <row r="52" spans="1:26">
      <c r="A52" s="1458" t="s">
        <v>1179</v>
      </c>
      <c r="B52" s="1474">
        <f t="shared" ref="B52:C54" si="151">B51/(1+N51)</f>
        <v>210.36075887152265</v>
      </c>
      <c r="C52" s="1474">
        <f t="shared" si="151"/>
        <v>187.94361691492554</v>
      </c>
      <c r="D52" s="1474">
        <f t="shared" si="133"/>
        <v>187.94361691492554</v>
      </c>
      <c r="E52" s="1474">
        <f t="shared" ref="E52:F54" si="152">E51/(1+P51)</f>
        <v>281.70386977288234</v>
      </c>
      <c r="F52" s="1474">
        <f t="shared" si="152"/>
        <v>168.80211511083994</v>
      </c>
      <c r="G52" s="3309">
        <v>2008</v>
      </c>
      <c r="H52" s="1484">
        <v>3</v>
      </c>
      <c r="I52" s="1484">
        <v>1.96</v>
      </c>
      <c r="J52" s="1484">
        <v>2.36</v>
      </c>
      <c r="K52" s="1484">
        <v>1.82</v>
      </c>
      <c r="L52" s="1485">
        <v>2.2200000000000002</v>
      </c>
      <c r="N52" s="1469">
        <f t="shared" si="135"/>
        <v>1.9599999999999999E-2</v>
      </c>
      <c r="O52" s="1470">
        <f t="shared" si="135"/>
        <v>2.3599999999999999E-2</v>
      </c>
      <c r="P52" s="1470">
        <f t="shared" si="135"/>
        <v>1.8200000000000001E-2</v>
      </c>
      <c r="Q52" s="1470">
        <f t="shared" si="135"/>
        <v>2.2200000000000001E-2</v>
      </c>
      <c r="R52" s="1471"/>
      <c r="S52" s="1469"/>
      <c r="T52" s="1470"/>
      <c r="U52" s="1470"/>
      <c r="V52" s="1470"/>
    </row>
    <row r="53" spans="1:26">
      <c r="A53" s="1458" t="s">
        <v>1180</v>
      </c>
      <c r="B53" s="1474">
        <f t="shared" si="151"/>
        <v>206.31694671589116</v>
      </c>
      <c r="C53" s="1474">
        <f t="shared" si="151"/>
        <v>183.61041121036101</v>
      </c>
      <c r="D53" s="1474">
        <f t="shared" si="133"/>
        <v>183.61041121036101</v>
      </c>
      <c r="E53" s="1474">
        <f t="shared" si="152"/>
        <v>276.66850301795557</v>
      </c>
      <c r="F53" s="1474">
        <f t="shared" si="152"/>
        <v>165.1360938278614</v>
      </c>
      <c r="G53" s="3309">
        <v>2008</v>
      </c>
      <c r="H53" s="1462">
        <v>2</v>
      </c>
      <c r="I53" s="1462">
        <v>4.93</v>
      </c>
      <c r="J53" s="1462">
        <v>7.38</v>
      </c>
      <c r="K53" s="1462">
        <v>3.98</v>
      </c>
      <c r="L53" s="1476">
        <v>6.86</v>
      </c>
      <c r="N53" s="1469">
        <f t="shared" si="135"/>
        <v>4.9299999999999997E-2</v>
      </c>
      <c r="O53" s="1470">
        <f t="shared" si="135"/>
        <v>7.3800000000000004E-2</v>
      </c>
      <c r="P53" s="1470">
        <f t="shared" si="135"/>
        <v>3.9800000000000002E-2</v>
      </c>
      <c r="Q53" s="1470">
        <f t="shared" si="135"/>
        <v>6.8600000000000008E-2</v>
      </c>
      <c r="R53" s="1471"/>
      <c r="S53" s="1469"/>
      <c r="T53" s="1470"/>
      <c r="U53" s="1470"/>
      <c r="V53" s="1470"/>
    </row>
    <row r="54" spans="1:26" s="1514" customFormat="1" ht="13.5" thickBot="1">
      <c r="A54" s="1458" t="s">
        <v>1181</v>
      </c>
      <c r="B54" s="1511">
        <f t="shared" si="151"/>
        <v>196.62341248059772</v>
      </c>
      <c r="C54" s="1511">
        <f t="shared" si="151"/>
        <v>170.99125648199012</v>
      </c>
      <c r="D54" s="1511">
        <f t="shared" si="133"/>
        <v>170.99125648199012</v>
      </c>
      <c r="E54" s="1511">
        <f t="shared" si="152"/>
        <v>266.07857570490052</v>
      </c>
      <c r="F54" s="1511">
        <f t="shared" si="152"/>
        <v>154.53499328828505</v>
      </c>
      <c r="G54" s="3310">
        <v>2008</v>
      </c>
      <c r="H54" s="1512">
        <v>1</v>
      </c>
      <c r="I54" s="1512">
        <v>4.1399999999999997</v>
      </c>
      <c r="J54" s="1512">
        <v>3.45</v>
      </c>
      <c r="K54" s="1512">
        <v>4.95</v>
      </c>
      <c r="L54" s="1513">
        <v>4.82</v>
      </c>
      <c r="N54" s="1515">
        <f t="shared" si="135"/>
        <v>4.1399999999999999E-2</v>
      </c>
      <c r="O54" s="1516">
        <f t="shared" si="135"/>
        <v>3.4500000000000003E-2</v>
      </c>
      <c r="P54" s="1516">
        <f t="shared" si="135"/>
        <v>4.9500000000000002E-2</v>
      </c>
      <c r="Q54" s="1516">
        <f t="shared" si="135"/>
        <v>4.82E-2</v>
      </c>
      <c r="R54" s="1517"/>
      <c r="S54" s="1515">
        <f>B54/B55-1</f>
        <v>4.5869215322328349E-2</v>
      </c>
      <c r="T54" s="1516">
        <f>C54/C55-1</f>
        <v>3.6310645345394743E-2</v>
      </c>
      <c r="U54" s="1516">
        <f>E54/E55-1</f>
        <v>4.7553447657088688E-2</v>
      </c>
      <c r="V54" s="1516">
        <f>F54/F55-1</f>
        <v>4.4155360055980086E-2</v>
      </c>
      <c r="X54" s="1518"/>
      <c r="Y54" s="1518"/>
      <c r="Z54" s="1518"/>
    </row>
    <row r="55" spans="1:26" ht="13.5" thickBot="1">
      <c r="A55" s="1458" t="s">
        <v>1182</v>
      </c>
      <c r="B55" s="1466">
        <v>188</v>
      </c>
      <c r="C55" s="1466">
        <v>165</v>
      </c>
      <c r="D55" s="1466">
        <f t="shared" si="133"/>
        <v>165</v>
      </c>
      <c r="E55" s="1466">
        <v>254</v>
      </c>
      <c r="F55" s="1467">
        <v>148</v>
      </c>
      <c r="G55" s="3308">
        <v>2007</v>
      </c>
      <c r="H55" s="1519">
        <v>4</v>
      </c>
      <c r="I55" s="1519">
        <v>5.51</v>
      </c>
      <c r="J55" s="1519">
        <v>4.8899999999999997</v>
      </c>
      <c r="K55" s="1519">
        <v>6.43</v>
      </c>
      <c r="L55" s="1520">
        <v>5.36</v>
      </c>
      <c r="N55" s="1521">
        <f t="shared" ref="N55:O58" si="153">B55/B56-1</f>
        <v>4.1339718365245526E-2</v>
      </c>
      <c r="O55" s="1522">
        <f t="shared" si="153"/>
        <v>4.0324492593776018E-2</v>
      </c>
      <c r="P55" s="1522">
        <f t="shared" ref="P55:Q58" si="154">E55/E56-1</f>
        <v>6.1625555347990968E-2</v>
      </c>
      <c r="Q55" s="1522">
        <f t="shared" si="154"/>
        <v>4.6757569250590603E-2</v>
      </c>
      <c r="R55" s="1471"/>
      <c r="S55" s="1472"/>
      <c r="T55" s="1473"/>
      <c r="U55" s="1473"/>
      <c r="V55" s="1473"/>
      <c r="X55" s="1473"/>
      <c r="Y55" s="1473"/>
      <c r="Z55" s="1473"/>
    </row>
    <row r="56" spans="1:26">
      <c r="A56" s="1458" t="s">
        <v>1183</v>
      </c>
      <c r="B56" s="1474">
        <f t="shared" ref="B56:C58" si="155">B57+(B$55-B$59)*I56/SUM(I$55:I$58)</f>
        <v>180.5366651097618</v>
      </c>
      <c r="C56" s="1474">
        <f t="shared" si="155"/>
        <v>158.60435967302453</v>
      </c>
      <c r="D56" s="1474">
        <f t="shared" si="133"/>
        <v>158.60435967302453</v>
      </c>
      <c r="E56" s="1474">
        <f t="shared" ref="E56:F58" si="156">E57+(E$55-E$59)*K56/SUM(K$55:K$58)</f>
        <v>239.25573260785075</v>
      </c>
      <c r="F56" s="1474">
        <f t="shared" si="156"/>
        <v>141.38899430740037</v>
      </c>
      <c r="G56" s="3309">
        <v>2007</v>
      </c>
      <c r="H56" s="1484">
        <v>3</v>
      </c>
      <c r="I56" s="1484">
        <v>8.65</v>
      </c>
      <c r="J56" s="1484">
        <v>8.06</v>
      </c>
      <c r="K56" s="1484">
        <v>9.94</v>
      </c>
      <c r="L56" s="1485">
        <v>5.8</v>
      </c>
      <c r="N56" s="1521">
        <f t="shared" si="153"/>
        <v>6.940217571740015E-2</v>
      </c>
      <c r="O56" s="1522">
        <f t="shared" si="153"/>
        <v>7.1197482471153428E-2</v>
      </c>
      <c r="P56" s="1522">
        <f t="shared" si="154"/>
        <v>0.10529679922579582</v>
      </c>
      <c r="Q56" s="1522">
        <f t="shared" si="154"/>
        <v>5.3292245059512133E-2</v>
      </c>
      <c r="R56" s="1471"/>
      <c r="S56" s="1469"/>
      <c r="T56" s="1470"/>
      <c r="U56" s="1470"/>
      <c r="V56" s="1470"/>
      <c r="X56" s="1523"/>
      <c r="Y56" s="1523"/>
      <c r="Z56" s="1523"/>
    </row>
    <row r="57" spans="1:26">
      <c r="A57" s="1458" t="s">
        <v>1184</v>
      </c>
      <c r="B57" s="1474">
        <f t="shared" si="155"/>
        <v>168.82017748715555</v>
      </c>
      <c r="C57" s="1474">
        <f t="shared" si="155"/>
        <v>148.06267029972753</v>
      </c>
      <c r="D57" s="1474">
        <f t="shared" si="133"/>
        <v>148.06267029972753</v>
      </c>
      <c r="E57" s="1474">
        <f t="shared" si="156"/>
        <v>216.46288379323747</v>
      </c>
      <c r="F57" s="1474">
        <f t="shared" si="156"/>
        <v>134.23529411764704</v>
      </c>
      <c r="G57" s="3309">
        <v>2007</v>
      </c>
      <c r="H57" s="1462">
        <v>2</v>
      </c>
      <c r="I57" s="1462">
        <v>3.67</v>
      </c>
      <c r="J57" s="1462">
        <v>2.3199999999999998</v>
      </c>
      <c r="K57" s="1462">
        <v>5.0199999999999996</v>
      </c>
      <c r="L57" s="1476">
        <v>6.71</v>
      </c>
      <c r="N57" s="1521">
        <f t="shared" si="153"/>
        <v>3.0339138143848032E-2</v>
      </c>
      <c r="O57" s="1522">
        <f t="shared" si="153"/>
        <v>2.0922341588790472E-2</v>
      </c>
      <c r="P57" s="1522">
        <f t="shared" si="154"/>
        <v>5.6164796592717003E-2</v>
      </c>
      <c r="Q57" s="1522">
        <f t="shared" si="154"/>
        <v>6.5704536723887319E-2</v>
      </c>
      <c r="R57" s="1471"/>
      <c r="S57" s="1469"/>
      <c r="T57" s="1470"/>
      <c r="U57" s="1470"/>
      <c r="V57" s="1470"/>
      <c r="X57" s="1523"/>
      <c r="Y57" s="1523"/>
      <c r="Z57" s="1523"/>
    </row>
    <row r="58" spans="1:26">
      <c r="A58" s="1458" t="s">
        <v>1185</v>
      </c>
      <c r="B58" s="1474">
        <f t="shared" si="155"/>
        <v>163.84913591779542</v>
      </c>
      <c r="C58" s="1474">
        <f t="shared" si="155"/>
        <v>145.0283378746594</v>
      </c>
      <c r="D58" s="1474">
        <f t="shared" si="133"/>
        <v>145.0283378746594</v>
      </c>
      <c r="E58" s="1474">
        <f t="shared" si="156"/>
        <v>204.95180722891567</v>
      </c>
      <c r="F58" s="1474">
        <f t="shared" si="156"/>
        <v>125.95920303605313</v>
      </c>
      <c r="G58" s="3310">
        <v>2007</v>
      </c>
      <c r="H58" s="1461">
        <v>1</v>
      </c>
      <c r="I58" s="1461">
        <v>3.58</v>
      </c>
      <c r="J58" s="1461">
        <v>3.08</v>
      </c>
      <c r="K58" s="1461">
        <v>4.34</v>
      </c>
      <c r="L58" s="1475">
        <v>3.21</v>
      </c>
      <c r="N58" s="1524">
        <f t="shared" si="153"/>
        <v>3.0497710174814063E-2</v>
      </c>
      <c r="O58" s="1525">
        <f t="shared" si="153"/>
        <v>2.8569772160704998E-2</v>
      </c>
      <c r="P58" s="1525">
        <f t="shared" si="154"/>
        <v>5.1034908866234296E-2</v>
      </c>
      <c r="Q58" s="1525">
        <f t="shared" si="154"/>
        <v>3.245248390207478E-2</v>
      </c>
      <c r="R58" s="1471"/>
      <c r="S58" s="1477">
        <f>B58/B59-1</f>
        <v>3.0497710174814063E-2</v>
      </c>
      <c r="T58" s="1478">
        <f>C58/C59-1</f>
        <v>2.8569772160704998E-2</v>
      </c>
      <c r="U58" s="1478">
        <f>E58/E59-1</f>
        <v>5.1034908866234296E-2</v>
      </c>
      <c r="V58" s="1478">
        <f>F58/F59-1</f>
        <v>3.245248390207478E-2</v>
      </c>
      <c r="X58" s="1523"/>
      <c r="Y58" s="1523"/>
      <c r="Z58" s="1523"/>
    </row>
    <row r="59" spans="1:26" ht="13.5" thickBot="1">
      <c r="A59" s="1458" t="s">
        <v>1186</v>
      </c>
      <c r="B59" s="1487">
        <v>159</v>
      </c>
      <c r="C59" s="1487">
        <v>141</v>
      </c>
      <c r="D59" s="1487">
        <f t="shared" si="133"/>
        <v>141</v>
      </c>
      <c r="E59" s="1487">
        <v>195</v>
      </c>
      <c r="F59" s="1488">
        <v>122</v>
      </c>
      <c r="G59" s="3308">
        <v>2006</v>
      </c>
      <c r="H59" s="1479">
        <v>4</v>
      </c>
      <c r="I59" s="1479">
        <v>3.79</v>
      </c>
      <c r="J59" s="1479">
        <v>2.21</v>
      </c>
      <c r="K59" s="1479">
        <v>5.65</v>
      </c>
      <c r="L59" s="1480">
        <v>5.41</v>
      </c>
      <c r="N59" s="1521">
        <f t="shared" ref="N59:O62" si="157">I59/SUM(I$59:I$62)*(B$59/B$63-1)</f>
        <v>7.245466462748526E-2</v>
      </c>
      <c r="O59" s="1522">
        <f t="shared" si="157"/>
        <v>2.3237230038062766E-2</v>
      </c>
      <c r="P59" s="1522">
        <f t="shared" ref="P59:Q62" si="158">K59/SUM(K$59:K$62)*(E$59/E$63-1)</f>
        <v>0.16146893866323722</v>
      </c>
      <c r="Q59" s="1522">
        <f t="shared" si="158"/>
        <v>5.0755230321793784E-2</v>
      </c>
      <c r="R59" s="1471"/>
      <c r="S59" s="1472"/>
      <c r="T59" s="1473"/>
      <c r="U59" s="1473"/>
      <c r="V59" s="1473"/>
      <c r="X59" s="1523"/>
      <c r="Y59" s="1523"/>
      <c r="Z59" s="1523"/>
    </row>
    <row r="60" spans="1:26">
      <c r="A60" s="1458" t="s">
        <v>1187</v>
      </c>
      <c r="B60" s="1474">
        <f t="shared" ref="B60:C62" si="159">B61+(B$59-B$63)*I60/SUM(I$59:I$62)</f>
        <v>149.00125628140702</v>
      </c>
      <c r="C60" s="1474">
        <f t="shared" si="159"/>
        <v>137.95592286501378</v>
      </c>
      <c r="D60" s="1474">
        <f t="shared" si="133"/>
        <v>137.95592286501378</v>
      </c>
      <c r="E60" s="1474">
        <f t="shared" ref="E60:F62" si="160">E61+(E$59-E$63)*K60/SUM(K$59:K$62)</f>
        <v>169.97231450719823</v>
      </c>
      <c r="F60" s="1474">
        <f t="shared" si="160"/>
        <v>116.21390374331551</v>
      </c>
      <c r="G60" s="3309">
        <v>2006</v>
      </c>
      <c r="H60" s="1484">
        <v>3</v>
      </c>
      <c r="I60" s="1484">
        <v>0.92</v>
      </c>
      <c r="J60" s="1484">
        <v>1.08</v>
      </c>
      <c r="K60" s="1484">
        <v>0.73</v>
      </c>
      <c r="L60" s="1485">
        <v>1.08</v>
      </c>
      <c r="N60" s="1521">
        <f t="shared" si="157"/>
        <v>1.7587939698492462E-2</v>
      </c>
      <c r="O60" s="1522">
        <f t="shared" si="157"/>
        <v>1.1355750425840628E-2</v>
      </c>
      <c r="P60" s="1522">
        <f t="shared" si="158"/>
        <v>2.0862358446754544E-2</v>
      </c>
      <c r="Q60" s="1522">
        <f t="shared" si="158"/>
        <v>1.0132282578103011E-2</v>
      </c>
      <c r="R60" s="1471"/>
      <c r="S60" s="1469"/>
      <c r="T60" s="1470"/>
      <c r="U60" s="1470"/>
      <c r="V60" s="1470"/>
      <c r="X60" s="1523"/>
      <c r="Y60" s="1523"/>
      <c r="Z60" s="1523"/>
    </row>
    <row r="61" spans="1:26">
      <c r="A61" s="1458" t="s">
        <v>1188</v>
      </c>
      <c r="B61" s="1474">
        <f t="shared" si="159"/>
        <v>146.57412060301507</v>
      </c>
      <c r="C61" s="1474">
        <f t="shared" si="159"/>
        <v>136.46831955922866</v>
      </c>
      <c r="D61" s="1474">
        <f t="shared" si="133"/>
        <v>136.46831955922866</v>
      </c>
      <c r="E61" s="1474">
        <f t="shared" si="160"/>
        <v>166.73864894795128</v>
      </c>
      <c r="F61" s="1474">
        <f t="shared" si="160"/>
        <v>115.05882352941177</v>
      </c>
      <c r="G61" s="3309">
        <v>2006</v>
      </c>
      <c r="H61" s="1462">
        <v>2</v>
      </c>
      <c r="I61" s="1462">
        <v>0.96</v>
      </c>
      <c r="J61" s="1462">
        <v>0.25</v>
      </c>
      <c r="K61" s="1462">
        <v>1.9</v>
      </c>
      <c r="L61" s="1476">
        <v>0.95</v>
      </c>
      <c r="N61" s="1521">
        <f t="shared" si="157"/>
        <v>1.8352632728861701E-2</v>
      </c>
      <c r="O61" s="1522">
        <f t="shared" si="157"/>
        <v>2.6286459319075526E-3</v>
      </c>
      <c r="P61" s="1522">
        <f t="shared" si="158"/>
        <v>5.4299289107991269E-2</v>
      </c>
      <c r="Q61" s="1522">
        <f t="shared" si="158"/>
        <v>8.9126559714794995E-3</v>
      </c>
      <c r="R61" s="1471"/>
      <c r="S61" s="1469"/>
      <c r="T61" s="1470"/>
      <c r="U61" s="1470"/>
      <c r="V61" s="1470"/>
      <c r="X61" s="1523"/>
      <c r="Y61" s="1523"/>
      <c r="Z61" s="1523"/>
    </row>
    <row r="62" spans="1:26">
      <c r="A62" s="1458" t="s">
        <v>1189</v>
      </c>
      <c r="B62" s="1474">
        <f t="shared" si="159"/>
        <v>144.04145728643215</v>
      </c>
      <c r="C62" s="1474">
        <f t="shared" si="159"/>
        <v>136.12396694214877</v>
      </c>
      <c r="D62" s="1474">
        <f t="shared" si="133"/>
        <v>136.12396694214877</v>
      </c>
      <c r="E62" s="1474">
        <f t="shared" si="160"/>
        <v>158.32225913621264</v>
      </c>
      <c r="F62" s="1474">
        <f t="shared" si="160"/>
        <v>114.04278074866311</v>
      </c>
      <c r="G62" s="3310">
        <v>2006</v>
      </c>
      <c r="H62" s="1461">
        <v>1</v>
      </c>
      <c r="I62" s="1461">
        <v>2.29</v>
      </c>
      <c r="J62" s="1461">
        <v>3.72</v>
      </c>
      <c r="K62" s="1461">
        <v>0.75</v>
      </c>
      <c r="L62" s="1475">
        <v>0.04</v>
      </c>
      <c r="N62" s="1524">
        <f t="shared" si="157"/>
        <v>4.3778675988638847E-2</v>
      </c>
      <c r="O62" s="1525">
        <f t="shared" si="157"/>
        <v>3.9114251466784385E-2</v>
      </c>
      <c r="P62" s="1525">
        <f t="shared" si="158"/>
        <v>2.1433929911049188E-2</v>
      </c>
      <c r="Q62" s="1525">
        <f t="shared" si="158"/>
        <v>3.7526972511492629E-4</v>
      </c>
      <c r="R62" s="1471"/>
      <c r="S62" s="1477">
        <f>B62/B63-1</f>
        <v>4.3778675988638716E-2</v>
      </c>
      <c r="T62" s="1478">
        <f>C62/C63-1</f>
        <v>3.91142514667846E-2</v>
      </c>
      <c r="U62" s="1478">
        <f>E62/E63-1</f>
        <v>2.143392991104931E-2</v>
      </c>
      <c r="V62" s="1478">
        <f>F62/F63-1</f>
        <v>3.7526972511492396E-4</v>
      </c>
      <c r="X62" s="1523"/>
      <c r="Y62" s="1523"/>
      <c r="Z62" s="1523"/>
    </row>
    <row r="63" spans="1:26" ht="13.5" thickBot="1">
      <c r="A63" s="1458" t="s">
        <v>1190</v>
      </c>
      <c r="B63" s="1487">
        <v>138</v>
      </c>
      <c r="C63" s="1487">
        <v>131</v>
      </c>
      <c r="D63" s="1487">
        <f t="shared" si="133"/>
        <v>131</v>
      </c>
      <c r="E63" s="1487">
        <v>155</v>
      </c>
      <c r="F63" s="1488">
        <v>114</v>
      </c>
      <c r="G63" s="3308">
        <v>2005</v>
      </c>
      <c r="H63" s="1479">
        <v>4</v>
      </c>
      <c r="I63" s="1479">
        <v>3.29</v>
      </c>
      <c r="J63" s="1479">
        <v>1.44</v>
      </c>
      <c r="K63" s="1479">
        <v>0.66</v>
      </c>
      <c r="L63" s="1480">
        <v>7.78</v>
      </c>
      <c r="N63" s="1521">
        <f t="shared" ref="N63:O66" si="161">I63/SUM(I$63:I$66)*(B$63/B$67-1)</f>
        <v>9.9404603216919935E-2</v>
      </c>
      <c r="O63" s="1522">
        <f t="shared" si="161"/>
        <v>4.7636550760861554E-2</v>
      </c>
      <c r="P63" s="1522">
        <f t="shared" ref="P63:Q66" si="162">K63/SUM(K$63:K$66)*(E$63/E$67-1)</f>
        <v>8.3756345177664976E-2</v>
      </c>
      <c r="Q63" s="1522">
        <f t="shared" si="162"/>
        <v>5.2148766661559584E-2</v>
      </c>
      <c r="R63" s="1471"/>
      <c r="S63" s="1472"/>
      <c r="T63" s="1473"/>
      <c r="U63" s="1473"/>
      <c r="V63" s="1473"/>
      <c r="X63" s="1523"/>
      <c r="Y63" s="1523"/>
      <c r="Z63" s="1523"/>
    </row>
    <row r="64" spans="1:26">
      <c r="A64" s="1458" t="s">
        <v>1191</v>
      </c>
      <c r="B64" s="1474">
        <f t="shared" ref="B64:C66" si="163">B65+(B$63-B$67)*I64/SUM(I$63:I$66)</f>
        <v>125.9720430107527</v>
      </c>
      <c r="C64" s="1474">
        <f t="shared" si="163"/>
        <v>125.1883408071749</v>
      </c>
      <c r="D64" s="1474">
        <f t="shared" si="133"/>
        <v>125.1883408071749</v>
      </c>
      <c r="E64" s="1474">
        <f t="shared" ref="E64:F66" si="164">E65+(E$63-E$67)*K64/SUM(K$63:K$66)</f>
        <v>144.61421319796952</v>
      </c>
      <c r="F64" s="1474">
        <f t="shared" si="164"/>
        <v>108.42008196721311</v>
      </c>
      <c r="G64" s="3309">
        <v>2005</v>
      </c>
      <c r="H64" s="1484">
        <v>3</v>
      </c>
      <c r="I64" s="1484">
        <v>0.46</v>
      </c>
      <c r="J64" s="1484">
        <v>0.32</v>
      </c>
      <c r="K64" s="1484">
        <v>0.42</v>
      </c>
      <c r="L64" s="1485">
        <v>0.64</v>
      </c>
      <c r="N64" s="1521">
        <f t="shared" si="161"/>
        <v>1.3898515951301874E-2</v>
      </c>
      <c r="O64" s="1522">
        <f t="shared" si="161"/>
        <v>1.0585900169080346E-2</v>
      </c>
      <c r="P64" s="1522">
        <f t="shared" si="162"/>
        <v>5.3299492385786795E-2</v>
      </c>
      <c r="Q64" s="1522">
        <f t="shared" si="162"/>
        <v>4.2898728359123568E-3</v>
      </c>
      <c r="R64" s="1471"/>
      <c r="S64" s="1469"/>
      <c r="T64" s="1470"/>
      <c r="U64" s="1470"/>
      <c r="V64" s="1470"/>
      <c r="X64" s="1523"/>
      <c r="Y64" s="1523"/>
      <c r="Z64" s="1523"/>
    </row>
    <row r="65" spans="1:26">
      <c r="A65" s="1458" t="s">
        <v>1192</v>
      </c>
      <c r="B65" s="1474">
        <f t="shared" si="163"/>
        <v>124.29032258064517</v>
      </c>
      <c r="C65" s="1474">
        <f t="shared" si="163"/>
        <v>123.8968609865471</v>
      </c>
      <c r="D65" s="1474">
        <f t="shared" si="133"/>
        <v>123.8968609865471</v>
      </c>
      <c r="E65" s="1474">
        <f t="shared" si="164"/>
        <v>138.00507614213197</v>
      </c>
      <c r="F65" s="1474">
        <f t="shared" si="164"/>
        <v>107.96106557377048</v>
      </c>
      <c r="G65" s="3309">
        <v>2005</v>
      </c>
      <c r="H65" s="1462">
        <v>2</v>
      </c>
      <c r="I65" s="1462">
        <v>0.47</v>
      </c>
      <c r="J65" s="1462">
        <v>0.1</v>
      </c>
      <c r="K65" s="1462">
        <v>0.52</v>
      </c>
      <c r="L65" s="1476">
        <v>0.79</v>
      </c>
      <c r="N65" s="1521">
        <f t="shared" si="161"/>
        <v>1.420065760241713E-2</v>
      </c>
      <c r="O65" s="1522">
        <f t="shared" si="161"/>
        <v>3.3080938028376083E-3</v>
      </c>
      <c r="P65" s="1522">
        <f t="shared" si="162"/>
        <v>6.598984771573603E-2</v>
      </c>
      <c r="Q65" s="1522">
        <f t="shared" si="162"/>
        <v>5.2953117818293153E-3</v>
      </c>
      <c r="R65" s="1471"/>
      <c r="S65" s="1469"/>
      <c r="T65" s="1470"/>
      <c r="U65" s="1470"/>
      <c r="V65" s="1470"/>
      <c r="X65" s="1523"/>
      <c r="Y65" s="1523"/>
      <c r="Z65" s="1523"/>
    </row>
    <row r="66" spans="1:26">
      <c r="A66" s="1458" t="s">
        <v>1193</v>
      </c>
      <c r="B66" s="1474">
        <f t="shared" si="163"/>
        <v>122.57204301075269</v>
      </c>
      <c r="C66" s="1474">
        <f t="shared" si="163"/>
        <v>123.4932735426009</v>
      </c>
      <c r="D66" s="1474">
        <f t="shared" si="133"/>
        <v>123.4932735426009</v>
      </c>
      <c r="E66" s="1474">
        <f t="shared" si="164"/>
        <v>129.82233502538071</v>
      </c>
      <c r="F66" s="1474">
        <f t="shared" si="164"/>
        <v>107.39446721311475</v>
      </c>
      <c r="G66" s="3310">
        <v>2005</v>
      </c>
      <c r="H66" s="1461">
        <v>1</v>
      </c>
      <c r="I66" s="1461">
        <v>0.43</v>
      </c>
      <c r="J66" s="1461">
        <v>0.37</v>
      </c>
      <c r="K66" s="1461">
        <v>0.37</v>
      </c>
      <c r="L66" s="1475">
        <v>0.55000000000000004</v>
      </c>
      <c r="N66" s="1524">
        <f t="shared" si="161"/>
        <v>1.2992090997956099E-2</v>
      </c>
      <c r="O66" s="1525">
        <f t="shared" si="161"/>
        <v>1.2239947070499151E-2</v>
      </c>
      <c r="P66" s="1525">
        <f t="shared" si="162"/>
        <v>4.6954314720812178E-2</v>
      </c>
      <c r="Q66" s="1525">
        <f t="shared" si="162"/>
        <v>3.6866094683621815E-3</v>
      </c>
      <c r="R66" s="1471"/>
      <c r="S66" s="1477">
        <f>B66/B67-1</f>
        <v>1.2992090997956174E-2</v>
      </c>
      <c r="T66" s="1478">
        <f>C66/C67-1</f>
        <v>1.2239947070499246E-2</v>
      </c>
      <c r="U66" s="1478">
        <f>E66/E67-1</f>
        <v>4.695431472081224E-2</v>
      </c>
      <c r="V66" s="1478">
        <f>F66/F67-1</f>
        <v>3.6866094683620787E-3</v>
      </c>
      <c r="X66" s="1523"/>
      <c r="Y66" s="1523"/>
      <c r="Z66" s="1523"/>
    </row>
    <row r="67" spans="1:26" ht="13.5" thickBot="1">
      <c r="A67" s="1458" t="s">
        <v>1194</v>
      </c>
      <c r="B67" s="1508">
        <v>121</v>
      </c>
      <c r="C67" s="1508">
        <v>122</v>
      </c>
      <c r="D67" s="1508">
        <f t="shared" si="133"/>
        <v>122</v>
      </c>
      <c r="E67" s="1508">
        <v>124</v>
      </c>
      <c r="F67" s="1509">
        <v>107</v>
      </c>
      <c r="G67" s="3308">
        <v>2004</v>
      </c>
      <c r="H67" s="1479">
        <v>4</v>
      </c>
      <c r="I67" s="1479">
        <v>0.33</v>
      </c>
      <c r="J67" s="1479">
        <v>0.5</v>
      </c>
      <c r="K67" s="1479">
        <v>0.5</v>
      </c>
      <c r="L67" s="1480">
        <v>0</v>
      </c>
      <c r="N67" s="1521">
        <f t="shared" ref="N67:O70" si="165">I67/SUM(I$67:I$70)*(B$67/B$71-1)</f>
        <v>1.3391770148526898E-2</v>
      </c>
      <c r="O67" s="1522">
        <f t="shared" si="165"/>
        <v>1.063264221158958E-2</v>
      </c>
      <c r="P67" s="1522">
        <f t="shared" ref="P67:Q70" si="166">K67/SUM(K$67:K$70)*(E$67/E$71-1)</f>
        <v>2.2244466688911134E-2</v>
      </c>
      <c r="Q67" s="1522">
        <f t="shared" si="166"/>
        <v>0</v>
      </c>
      <c r="R67" s="1471"/>
      <c r="S67" s="1472"/>
      <c r="T67" s="1473"/>
      <c r="U67" s="1473"/>
      <c r="V67" s="1473"/>
      <c r="X67" s="1523"/>
      <c r="Y67" s="1523"/>
      <c r="Z67" s="1523"/>
    </row>
    <row r="68" spans="1:26">
      <c r="A68" s="1458" t="s">
        <v>1195</v>
      </c>
      <c r="B68" s="1474">
        <f t="shared" ref="B68:C70" si="167">B69+(B$67-B$71)*I68/SUM(I$67:I$70)</f>
        <v>119.51351351351352</v>
      </c>
      <c r="C68" s="1474">
        <f t="shared" si="167"/>
        <v>120.7878787878788</v>
      </c>
      <c r="D68" s="1474">
        <f t="shared" si="133"/>
        <v>120.7878787878788</v>
      </c>
      <c r="E68" s="1474">
        <f t="shared" ref="E68:F70" si="168">E69+(E$67-E$71)*K68/SUM(K$67:K$70)</f>
        <v>121.5975975975976</v>
      </c>
      <c r="F68" s="1474">
        <f t="shared" si="168"/>
        <v>107</v>
      </c>
      <c r="G68" s="3309">
        <v>2004</v>
      </c>
      <c r="H68" s="1484">
        <v>3</v>
      </c>
      <c r="I68" s="1484">
        <v>0.56000000000000005</v>
      </c>
      <c r="J68" s="1484">
        <v>0.8</v>
      </c>
      <c r="K68" s="1484">
        <v>0.83</v>
      </c>
      <c r="L68" s="1485">
        <v>0.06</v>
      </c>
      <c r="N68" s="1521">
        <f t="shared" si="165"/>
        <v>2.2725428130833527E-2</v>
      </c>
      <c r="O68" s="1522">
        <f t="shared" si="165"/>
        <v>1.7012227538543329E-2</v>
      </c>
      <c r="P68" s="1522">
        <f t="shared" si="166"/>
        <v>3.6925814703592477E-2</v>
      </c>
      <c r="Q68" s="1522">
        <f t="shared" si="166"/>
        <v>2.8846153846153744E-2</v>
      </c>
      <c r="R68" s="1471"/>
      <c r="S68" s="1469"/>
      <c r="T68" s="1470"/>
      <c r="U68" s="1470"/>
      <c r="V68" s="1470"/>
      <c r="X68" s="1523"/>
      <c r="Y68" s="1523"/>
      <c r="Z68" s="1523"/>
    </row>
    <row r="69" spans="1:26">
      <c r="A69" s="1458" t="s">
        <v>1196</v>
      </c>
      <c r="B69" s="1474">
        <f t="shared" si="167"/>
        <v>116.99099099099099</v>
      </c>
      <c r="C69" s="1474">
        <f t="shared" si="167"/>
        <v>118.84848484848486</v>
      </c>
      <c r="D69" s="1474">
        <f t="shared" si="133"/>
        <v>118.84848484848486</v>
      </c>
      <c r="E69" s="1474">
        <f t="shared" si="168"/>
        <v>117.60960960960961</v>
      </c>
      <c r="F69" s="1474">
        <f t="shared" si="168"/>
        <v>104</v>
      </c>
      <c r="G69" s="3309">
        <v>2004</v>
      </c>
      <c r="H69" s="1462">
        <v>2</v>
      </c>
      <c r="I69" s="1462">
        <v>1</v>
      </c>
      <c r="J69" s="1462">
        <v>1.5</v>
      </c>
      <c r="K69" s="1462">
        <v>1.5</v>
      </c>
      <c r="L69" s="1476">
        <v>0</v>
      </c>
      <c r="N69" s="1521">
        <f t="shared" si="165"/>
        <v>4.0581121662202721E-2</v>
      </c>
      <c r="O69" s="1522">
        <f t="shared" si="165"/>
        <v>3.1897926634768738E-2</v>
      </c>
      <c r="P69" s="1522">
        <f t="shared" si="166"/>
        <v>6.6733400066733395E-2</v>
      </c>
      <c r="Q69" s="1522">
        <f t="shared" si="166"/>
        <v>0</v>
      </c>
      <c r="R69" s="1471"/>
      <c r="S69" s="1469"/>
      <c r="T69" s="1470"/>
      <c r="U69" s="1470"/>
      <c r="V69" s="1470"/>
      <c r="X69" s="1523"/>
      <c r="Y69" s="1523"/>
      <c r="Z69" s="1523"/>
    </row>
    <row r="70" spans="1:26" s="1514" customFormat="1" ht="13.5" thickBot="1">
      <c r="A70" s="1458" t="s">
        <v>1197</v>
      </c>
      <c r="B70" s="1511">
        <f t="shared" si="167"/>
        <v>112.48648648648648</v>
      </c>
      <c r="C70" s="1511">
        <f t="shared" si="167"/>
        <v>115.21212121212122</v>
      </c>
      <c r="D70" s="1511">
        <f t="shared" si="133"/>
        <v>115.21212121212122</v>
      </c>
      <c r="E70" s="1511">
        <f t="shared" si="168"/>
        <v>110.4024024024024</v>
      </c>
      <c r="F70" s="1511">
        <f t="shared" si="168"/>
        <v>104</v>
      </c>
      <c r="G70" s="3310">
        <v>2004</v>
      </c>
      <c r="H70" s="1512">
        <v>1</v>
      </c>
      <c r="I70" s="1512">
        <v>0.33</v>
      </c>
      <c r="J70" s="1512">
        <v>0.5</v>
      </c>
      <c r="K70" s="1512">
        <v>0.5</v>
      </c>
      <c r="L70" s="1513">
        <v>0</v>
      </c>
      <c r="N70" s="1526">
        <f t="shared" si="165"/>
        <v>1.3391770148526898E-2</v>
      </c>
      <c r="O70" s="1527">
        <f t="shared" si="165"/>
        <v>1.063264221158958E-2</v>
      </c>
      <c r="P70" s="1527">
        <f t="shared" si="166"/>
        <v>2.2244466688911134E-2</v>
      </c>
      <c r="Q70" s="1527">
        <f t="shared" si="166"/>
        <v>0</v>
      </c>
      <c r="R70" s="1517"/>
      <c r="S70" s="1515">
        <f>B70/B71-1</f>
        <v>1.3391770148526883E-2</v>
      </c>
      <c r="T70" s="1516">
        <f>C70/C71-1</f>
        <v>1.063264221158966E-2</v>
      </c>
      <c r="U70" s="1516">
        <f>E70/E71-1</f>
        <v>2.2244466688911224E-2</v>
      </c>
      <c r="V70" s="1516">
        <f>F70/F71-1</f>
        <v>0</v>
      </c>
      <c r="X70" s="1528"/>
      <c r="Y70" s="1528"/>
      <c r="Z70" s="1528"/>
    </row>
    <row r="71" spans="1:26" ht="13.5" thickBot="1">
      <c r="A71" s="1458" t="s">
        <v>1198</v>
      </c>
      <c r="B71" s="1529">
        <v>111</v>
      </c>
      <c r="C71" s="1529">
        <v>114</v>
      </c>
      <c r="D71" s="1529">
        <f t="shared" si="133"/>
        <v>114</v>
      </c>
      <c r="E71" s="1529">
        <v>108</v>
      </c>
      <c r="F71" s="1530">
        <v>104</v>
      </c>
      <c r="G71" s="3308">
        <v>2003</v>
      </c>
      <c r="H71" s="1519">
        <v>4</v>
      </c>
      <c r="I71" s="1531"/>
      <c r="J71" s="1531"/>
      <c r="K71" s="1531"/>
      <c r="L71" s="1531"/>
      <c r="N71" s="1532"/>
      <c r="O71" s="1531"/>
      <c r="P71" s="1531"/>
      <c r="Q71" s="1531"/>
      <c r="S71" s="1532"/>
      <c r="T71" s="1531"/>
      <c r="U71" s="1531"/>
      <c r="V71" s="1531"/>
      <c r="X71" s="1523"/>
      <c r="Y71" s="1523"/>
      <c r="Z71" s="1523"/>
    </row>
    <row r="72" spans="1:26">
      <c r="A72" s="1458" t="s">
        <v>1199</v>
      </c>
      <c r="B72" s="1533">
        <f t="shared" ref="B72:C74" si="169">B73+(B$71-B$75)/4</f>
        <v>109.75</v>
      </c>
      <c r="C72" s="1533">
        <f t="shared" si="169"/>
        <v>112.25</v>
      </c>
      <c r="D72" s="1533">
        <f t="shared" si="133"/>
        <v>112.25</v>
      </c>
      <c r="E72" s="1533">
        <f t="shared" ref="E72:F74" si="170">E73+(E$71-E$75)/4</f>
        <v>107.25</v>
      </c>
      <c r="F72" s="1533">
        <f t="shared" si="170"/>
        <v>103.5</v>
      </c>
      <c r="G72" s="3309">
        <v>2003</v>
      </c>
      <c r="H72" s="1484">
        <v>3</v>
      </c>
      <c r="I72" s="1531"/>
      <c r="J72" s="1531"/>
      <c r="K72" s="1531"/>
      <c r="L72" s="1531"/>
      <c r="X72" s="1523"/>
      <c r="Y72" s="1523"/>
      <c r="Z72" s="1523"/>
    </row>
    <row r="73" spans="1:26">
      <c r="A73" s="1458" t="s">
        <v>1200</v>
      </c>
      <c r="B73" s="1533">
        <f t="shared" si="169"/>
        <v>108.5</v>
      </c>
      <c r="C73" s="1533">
        <f t="shared" si="169"/>
        <v>110.5</v>
      </c>
      <c r="D73" s="1533">
        <f t="shared" si="133"/>
        <v>110.5</v>
      </c>
      <c r="E73" s="1533">
        <f t="shared" si="170"/>
        <v>106.5</v>
      </c>
      <c r="F73" s="1533">
        <f t="shared" si="170"/>
        <v>103</v>
      </c>
      <c r="G73" s="3309">
        <v>2003</v>
      </c>
      <c r="H73" s="1462">
        <v>2</v>
      </c>
      <c r="I73" s="1531"/>
      <c r="J73" s="1531"/>
      <c r="K73" s="1531"/>
      <c r="L73" s="1531"/>
      <c r="X73" s="1523"/>
      <c r="Y73" s="1523"/>
      <c r="Z73" s="1523"/>
    </row>
    <row r="74" spans="1:26" ht="13.5" thickBot="1">
      <c r="A74" s="1458" t="s">
        <v>1201</v>
      </c>
      <c r="B74" s="1533">
        <f t="shared" si="169"/>
        <v>107.25</v>
      </c>
      <c r="C74" s="1533">
        <f t="shared" si="169"/>
        <v>108.75</v>
      </c>
      <c r="D74" s="1533">
        <f t="shared" si="133"/>
        <v>108.75</v>
      </c>
      <c r="E74" s="1533">
        <f t="shared" si="170"/>
        <v>105.75</v>
      </c>
      <c r="F74" s="1533">
        <f t="shared" si="170"/>
        <v>102.5</v>
      </c>
      <c r="G74" s="3310">
        <v>2003</v>
      </c>
      <c r="H74" s="1534">
        <v>1</v>
      </c>
      <c r="I74" s="1531"/>
      <c r="J74" s="1531"/>
      <c r="K74" s="1531"/>
      <c r="L74" s="1531"/>
      <c r="S74" s="1469"/>
      <c r="T74" s="1470"/>
      <c r="U74" s="1470"/>
      <c r="X74" s="1523"/>
      <c r="Y74" s="1523"/>
      <c r="Z74" s="1523"/>
    </row>
    <row r="75" spans="1:26" ht="13.5" thickBot="1">
      <c r="A75" s="1458" t="s">
        <v>1202</v>
      </c>
      <c r="B75" s="1535">
        <v>106</v>
      </c>
      <c r="C75" s="1535">
        <v>107</v>
      </c>
      <c r="D75" s="1535">
        <f t="shared" si="133"/>
        <v>107</v>
      </c>
      <c r="E75" s="1535">
        <v>105</v>
      </c>
      <c r="F75" s="1536">
        <v>102</v>
      </c>
      <c r="G75" s="3308">
        <v>2002</v>
      </c>
      <c r="H75" s="1479">
        <v>4</v>
      </c>
      <c r="I75" s="1531"/>
      <c r="J75" s="1531"/>
      <c r="K75" s="1531"/>
      <c r="L75" s="1531"/>
      <c r="N75" s="1532"/>
      <c r="O75" s="1531"/>
      <c r="P75" s="1531"/>
      <c r="Q75" s="1531"/>
      <c r="S75" s="1532"/>
      <c r="T75" s="1531"/>
      <c r="U75" s="1531"/>
      <c r="V75" s="1531"/>
      <c r="X75" s="1523"/>
      <c r="Y75" s="1523"/>
      <c r="Z75" s="1523"/>
    </row>
    <row r="76" spans="1:26">
      <c r="A76" s="1458" t="s">
        <v>1203</v>
      </c>
      <c r="B76" s="1533">
        <f t="shared" ref="B76:C78" si="171">B77+(B$75-B$79)/4</f>
        <v>105</v>
      </c>
      <c r="C76" s="1533">
        <f t="shared" si="171"/>
        <v>106</v>
      </c>
      <c r="D76" s="1533">
        <f t="shared" si="133"/>
        <v>106</v>
      </c>
      <c r="E76" s="1533">
        <f t="shared" ref="E76:F78" si="172">E77+(E$75-E$79)/4</f>
        <v>104.5</v>
      </c>
      <c r="F76" s="1533">
        <f t="shared" si="172"/>
        <v>101.5</v>
      </c>
      <c r="G76" s="3309">
        <v>2002</v>
      </c>
      <c r="H76" s="1484">
        <v>3</v>
      </c>
      <c r="I76" s="1531"/>
      <c r="J76" s="1531"/>
      <c r="K76" s="1531"/>
      <c r="L76" s="1531"/>
      <c r="X76" s="1523"/>
      <c r="Y76" s="1523"/>
      <c r="Z76" s="1523"/>
    </row>
    <row r="77" spans="1:26">
      <c r="A77" s="1458" t="s">
        <v>1204</v>
      </c>
      <c r="B77" s="1533">
        <f t="shared" si="171"/>
        <v>104</v>
      </c>
      <c r="C77" s="1533">
        <f t="shared" si="171"/>
        <v>105</v>
      </c>
      <c r="D77" s="1533">
        <f t="shared" si="133"/>
        <v>105</v>
      </c>
      <c r="E77" s="1533">
        <f t="shared" si="172"/>
        <v>104</v>
      </c>
      <c r="F77" s="1533">
        <f t="shared" si="172"/>
        <v>101</v>
      </c>
      <c r="G77" s="3309">
        <v>2002</v>
      </c>
      <c r="H77" s="1462">
        <v>2</v>
      </c>
      <c r="I77" s="1531"/>
      <c r="J77" s="1531"/>
      <c r="K77" s="1531"/>
      <c r="L77" s="1531"/>
      <c r="X77" s="1523"/>
      <c r="Y77" s="1523"/>
      <c r="Z77" s="1523"/>
    </row>
    <row r="78" spans="1:26" s="1495" customFormat="1" ht="13.5" thickBot="1">
      <c r="A78" s="1491" t="s">
        <v>1205</v>
      </c>
      <c r="B78" s="1537">
        <f t="shared" si="171"/>
        <v>103</v>
      </c>
      <c r="C78" s="1537">
        <f t="shared" si="171"/>
        <v>104</v>
      </c>
      <c r="D78" s="1537">
        <f t="shared" si="133"/>
        <v>104</v>
      </c>
      <c r="E78" s="1537">
        <f t="shared" si="172"/>
        <v>103.5</v>
      </c>
      <c r="F78" s="1537">
        <f t="shared" si="172"/>
        <v>100.5</v>
      </c>
      <c r="G78" s="3310">
        <v>2002</v>
      </c>
      <c r="H78" s="1538">
        <v>1</v>
      </c>
      <c r="I78" s="1539"/>
      <c r="J78" s="1539"/>
      <c r="K78" s="1539"/>
      <c r="L78" s="1539"/>
      <c r="N78" s="1540"/>
      <c r="S78" s="1540"/>
      <c r="X78" s="1541"/>
      <c r="Y78" s="1541"/>
      <c r="Z78" s="1541"/>
    </row>
    <row r="79" spans="1:26" ht="13.5" thickBot="1">
      <c r="B79" s="1542">
        <v>102</v>
      </c>
      <c r="C79" s="1543">
        <v>103</v>
      </c>
      <c r="D79" s="1543">
        <f t="shared" si="133"/>
        <v>103</v>
      </c>
      <c r="E79" s="1543">
        <v>103</v>
      </c>
      <c r="F79" s="1544">
        <v>100</v>
      </c>
      <c r="I79" s="1531"/>
      <c r="J79" s="1531"/>
      <c r="K79" s="1531"/>
      <c r="L79" s="1531"/>
      <c r="N79" s="1532"/>
      <c r="O79" s="1531"/>
      <c r="P79" s="1531"/>
      <c r="Q79" s="1531"/>
      <c r="S79" s="1532"/>
      <c r="T79" s="1531"/>
      <c r="U79" s="1531"/>
      <c r="V79" s="1531"/>
      <c r="X79" s="1473"/>
      <c r="Y79" s="1473"/>
      <c r="Z79" s="1473"/>
    </row>
    <row r="81" spans="1:22" s="1546" customFormat="1">
      <c r="A81" s="1545" t="s">
        <v>1206</v>
      </c>
      <c r="G81" s="1547"/>
      <c r="N81" s="1547"/>
      <c r="S81" s="1547"/>
    </row>
    <row r="82" spans="1:22" s="1546" customFormat="1">
      <c r="A82" s="1546" t="s">
        <v>1207</v>
      </c>
      <c r="G82" s="1547"/>
      <c r="N82" s="1547"/>
      <c r="S82" s="1547"/>
    </row>
    <row r="83" spans="1:22" s="1546" customFormat="1">
      <c r="A83" s="1546" t="s">
        <v>1208</v>
      </c>
      <c r="G83" s="1547"/>
      <c r="I83" s="1548"/>
      <c r="J83" s="1548"/>
      <c r="K83" s="1548"/>
      <c r="L83" s="1548"/>
      <c r="N83" s="1549"/>
      <c r="O83" s="1548"/>
      <c r="P83" s="1548"/>
      <c r="Q83" s="1548"/>
      <c r="S83" s="1549"/>
      <c r="T83" s="1548"/>
      <c r="U83" s="1548"/>
      <c r="V83" s="1548"/>
    </row>
    <row r="84" spans="1:22" s="1546" customFormat="1">
      <c r="A84" s="1546" t="s">
        <v>1209</v>
      </c>
      <c r="G84" s="1547"/>
      <c r="N84" s="1547"/>
      <c r="S84" s="1547"/>
    </row>
    <row r="91" spans="1:22" ht="13.5" thickBot="1"/>
    <row r="92" spans="1:22">
      <c r="G92" s="1468"/>
      <c r="S92" s="1550" t="s">
        <v>1210</v>
      </c>
      <c r="T92" s="1551" t="s">
        <v>1211</v>
      </c>
      <c r="U92" s="1551" t="s">
        <v>1212</v>
      </c>
      <c r="V92" s="1551" t="s">
        <v>1213</v>
      </c>
    </row>
    <row r="93" spans="1:22">
      <c r="G93" s="1468"/>
      <c r="N93" s="1472"/>
      <c r="O93" s="1473"/>
      <c r="P93" s="1473"/>
      <c r="Q93" s="1473"/>
      <c r="S93" s="1552">
        <v>2006</v>
      </c>
      <c r="T93" s="1553">
        <v>15.1</v>
      </c>
      <c r="U93" s="1553">
        <v>7.43</v>
      </c>
      <c r="V93" s="1553">
        <v>26.26</v>
      </c>
    </row>
    <row r="94" spans="1:22">
      <c r="G94" s="1468"/>
      <c r="N94" s="1472"/>
      <c r="O94" s="1473"/>
      <c r="P94" s="1473"/>
      <c r="Q94" s="1473"/>
      <c r="S94" s="1554">
        <v>2005</v>
      </c>
      <c r="T94" s="1555">
        <v>13.9</v>
      </c>
      <c r="U94" s="1555">
        <v>7.49</v>
      </c>
      <c r="V94" s="1555">
        <v>24.92</v>
      </c>
    </row>
    <row r="95" spans="1:22">
      <c r="G95" s="1468"/>
      <c r="N95" s="1472"/>
      <c r="O95" s="1473"/>
      <c r="P95" s="1473"/>
      <c r="Q95" s="1473"/>
      <c r="S95" s="1552">
        <v>2004</v>
      </c>
      <c r="T95" s="1553">
        <v>9.48</v>
      </c>
      <c r="U95" s="1553">
        <v>7.2</v>
      </c>
      <c r="V95" s="1553">
        <v>14.68</v>
      </c>
    </row>
    <row r="96" spans="1:22">
      <c r="G96" s="1468"/>
      <c r="N96" s="1472"/>
      <c r="O96" s="1473"/>
      <c r="P96" s="1473"/>
      <c r="Q96" s="1473"/>
      <c r="S96" s="1554">
        <v>2003</v>
      </c>
      <c r="T96" s="1555">
        <v>4.5</v>
      </c>
      <c r="U96" s="1555">
        <v>6.12</v>
      </c>
      <c r="V96" s="1555">
        <v>2.34</v>
      </c>
    </row>
    <row r="97" spans="7:22" ht="13.5" thickBot="1">
      <c r="G97" s="1468"/>
      <c r="N97" s="1472"/>
      <c r="O97" s="1473"/>
      <c r="P97" s="1473"/>
      <c r="Q97" s="1473"/>
      <c r="S97" s="1556">
        <v>2002</v>
      </c>
      <c r="T97" s="1557">
        <v>3.59</v>
      </c>
      <c r="U97" s="1557">
        <v>4.54</v>
      </c>
      <c r="V97" s="1557">
        <v>2.5499999999999998</v>
      </c>
    </row>
    <row r="98" spans="7:22">
      <c r="G98" s="1468"/>
      <c r="N98" s="1472"/>
      <c r="O98" s="1473"/>
      <c r="P98" s="1473"/>
      <c r="Q98" s="1473"/>
    </row>
    <row r="99" spans="7:22">
      <c r="G99" s="1468"/>
      <c r="N99" s="1472"/>
      <c r="O99" s="1473"/>
      <c r="P99" s="1473"/>
      <c r="Q99" s="1473"/>
    </row>
    <row r="100" spans="7:22">
      <c r="G100" s="1468"/>
      <c r="N100" s="1472"/>
      <c r="O100" s="1473"/>
      <c r="P100" s="1473"/>
      <c r="Q100" s="1473"/>
    </row>
    <row r="101" spans="7:22">
      <c r="G101" s="1468"/>
      <c r="N101" s="1472"/>
      <c r="O101" s="1473"/>
      <c r="P101" s="1473"/>
      <c r="Q101" s="1473"/>
    </row>
    <row r="102" spans="7:22">
      <c r="G102" s="1468"/>
      <c r="N102" s="1472"/>
      <c r="O102" s="1473"/>
      <c r="P102" s="1473"/>
      <c r="Q102" s="1473"/>
    </row>
    <row r="103" spans="7:22">
      <c r="G103" s="1468"/>
      <c r="N103" s="1472"/>
      <c r="O103" s="1473"/>
      <c r="P103" s="1473"/>
      <c r="Q103" s="1473"/>
    </row>
    <row r="104" spans="7:22">
      <c r="G104" s="1468"/>
      <c r="N104" s="1472"/>
      <c r="O104" s="1473"/>
      <c r="P104" s="1473"/>
      <c r="Q104" s="1473"/>
    </row>
    <row r="105" spans="7:22">
      <c r="G105" s="1468"/>
      <c r="N105" s="1472"/>
      <c r="O105" s="1473"/>
      <c r="P105" s="1473"/>
      <c r="Q105" s="1473"/>
    </row>
    <row r="106" spans="7:22">
      <c r="G106" s="1468"/>
      <c r="N106" s="1472"/>
      <c r="O106" s="1473"/>
      <c r="P106" s="1473"/>
      <c r="Q106" s="1473"/>
    </row>
    <row r="107" spans="7:22">
      <c r="G107" s="1468"/>
      <c r="N107" s="1472"/>
      <c r="O107" s="1473"/>
      <c r="P107" s="1473"/>
      <c r="Q107" s="1473"/>
    </row>
    <row r="108" spans="7:22">
      <c r="G108" s="1468"/>
      <c r="N108" s="1472"/>
      <c r="O108" s="1473"/>
      <c r="P108" s="1473"/>
      <c r="Q108" s="1473"/>
      <c r="S108" s="1468"/>
    </row>
    <row r="109" spans="7:22">
      <c r="G109" s="1468"/>
      <c r="N109" s="1472"/>
      <c r="O109" s="1473"/>
      <c r="P109" s="1473"/>
      <c r="Q109" s="1473"/>
      <c r="S109" s="1468"/>
    </row>
    <row r="110" spans="7:22">
      <c r="G110" s="1468"/>
      <c r="N110" s="1472"/>
      <c r="O110" s="1473"/>
      <c r="P110" s="1473"/>
      <c r="Q110" s="1473"/>
      <c r="S110" s="1468"/>
    </row>
    <row r="111" spans="7:22">
      <c r="G111" s="1468"/>
      <c r="N111" s="1472"/>
      <c r="O111" s="1473"/>
      <c r="P111" s="1473"/>
      <c r="Q111" s="1473"/>
      <c r="S111" s="1468"/>
    </row>
    <row r="112" spans="7:22">
      <c r="G112" s="1468"/>
      <c r="N112" s="1472"/>
      <c r="O112" s="1473"/>
      <c r="P112" s="1473"/>
      <c r="Q112" s="1473"/>
      <c r="S112" s="1468"/>
    </row>
    <row r="113" spans="7:19">
      <c r="G113" s="1468"/>
      <c r="N113" s="1472"/>
      <c r="O113" s="1473"/>
      <c r="P113" s="1473"/>
      <c r="Q113" s="1473"/>
      <c r="S113" s="1468"/>
    </row>
  </sheetData>
  <sheetProtection sheet="1" objects="1" scenarios="1" formatCells="0"/>
  <mergeCells count="23">
    <mergeCell ref="G63:G66"/>
    <mergeCell ref="G67:G70"/>
    <mergeCell ref="G71:G74"/>
    <mergeCell ref="G75:G78"/>
    <mergeCell ref="G39:G42"/>
    <mergeCell ref="G43:G46"/>
    <mergeCell ref="G47:G50"/>
    <mergeCell ref="G51:G54"/>
    <mergeCell ref="G55:G58"/>
    <mergeCell ref="G59:G62"/>
    <mergeCell ref="X1:AB1"/>
    <mergeCell ref="AD1:AH1"/>
    <mergeCell ref="G35:G38"/>
    <mergeCell ref="B1:F1"/>
    <mergeCell ref="G1:L1"/>
    <mergeCell ref="N1:Q1"/>
    <mergeCell ref="S1:V1"/>
    <mergeCell ref="G19:G22"/>
    <mergeCell ref="G23:G26"/>
    <mergeCell ref="G27:G30"/>
    <mergeCell ref="G31:G34"/>
    <mergeCell ref="G11:G14"/>
    <mergeCell ref="G15:G18"/>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22" sqref="B22"/>
      <selection pane="bottomLeft" activeCell="B22" sqref="B22"/>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3" t="s">
        <v>3000</v>
      </c>
      <c r="C1" s="3318" t="s">
        <v>3001</v>
      </c>
      <c r="D1" s="3319"/>
      <c r="E1" s="3319"/>
      <c r="F1" s="3319"/>
      <c r="G1" s="3319"/>
      <c r="H1" s="3319"/>
      <c r="I1" s="3319"/>
      <c r="J1" s="3319"/>
      <c r="K1" s="3319"/>
      <c r="L1" s="3319"/>
      <c r="M1" s="3319"/>
      <c r="N1" s="3319"/>
      <c r="O1" s="3319"/>
      <c r="P1" s="3319"/>
      <c r="Q1" s="3319"/>
      <c r="R1" s="3319"/>
      <c r="S1" s="3320"/>
      <c r="T1" s="1203" t="s">
        <v>3002</v>
      </c>
    </row>
    <row r="2" spans="1:45" s="706" customFormat="1">
      <c r="A2" s="1204"/>
      <c r="B2" s="702" t="s">
        <v>3003</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1"/>
      <c r="G3" s="1701"/>
      <c r="H3" s="1701"/>
      <c r="I3" s="1701"/>
      <c r="J3" s="1701"/>
      <c r="K3" s="1701"/>
      <c r="L3" s="1702"/>
      <c r="M3" s="1703"/>
      <c r="N3" s="1703"/>
      <c r="O3" s="1701"/>
      <c r="P3" s="1701"/>
      <c r="Q3" s="1701"/>
      <c r="R3" s="1701"/>
      <c r="S3" s="1704"/>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5"/>
      <c r="G4" s="1705"/>
      <c r="H4" s="1705"/>
      <c r="I4" s="1705"/>
      <c r="J4" s="1705"/>
      <c r="K4" s="1705"/>
      <c r="L4" s="1705"/>
      <c r="M4" s="1706"/>
      <c r="N4" s="1706"/>
      <c r="O4" s="1705"/>
      <c r="P4" s="1705"/>
      <c r="Q4" s="1705"/>
      <c r="R4" s="1705"/>
      <c r="S4" s="1707"/>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58" t="s">
        <v>3004</v>
      </c>
      <c r="C5" s="1215"/>
      <c r="D5" s="1216"/>
      <c r="E5" s="1216"/>
      <c r="F5" s="1708"/>
      <c r="G5" s="1708"/>
      <c r="H5" s="1708"/>
      <c r="I5" s="1708"/>
      <c r="J5" s="1708"/>
      <c r="K5" s="1708"/>
      <c r="L5" s="1709"/>
      <c r="M5" s="1710"/>
      <c r="N5" s="1710"/>
      <c r="O5" s="1708"/>
      <c r="P5" s="1708"/>
      <c r="Q5" s="1708"/>
      <c r="R5" s="1708"/>
      <c r="S5" s="1711"/>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59" t="s">
        <v>3005</v>
      </c>
      <c r="C7" s="1120"/>
      <c r="D7" s="1114"/>
      <c r="E7" s="1114"/>
      <c r="F7" s="1713"/>
      <c r="G7" s="1713"/>
      <c r="H7" s="1713"/>
      <c r="I7" s="1713"/>
      <c r="J7" s="1713"/>
      <c r="K7" s="1713"/>
      <c r="L7" s="1713"/>
      <c r="M7" s="1714"/>
      <c r="N7" s="1715"/>
      <c r="O7" s="1716"/>
      <c r="P7" s="1717"/>
      <c r="Q7" s="1718"/>
      <c r="R7" s="1719"/>
      <c r="S7" s="1720"/>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59" t="s">
        <v>3006</v>
      </c>
      <c r="C9" s="1120"/>
      <c r="D9" s="1114"/>
      <c r="E9" s="1114"/>
      <c r="F9" s="1713"/>
      <c r="G9" s="1713"/>
      <c r="H9" s="1713"/>
      <c r="I9" s="1713"/>
      <c r="J9" s="1713"/>
      <c r="K9" s="1713"/>
      <c r="L9" s="1721"/>
      <c r="M9" s="1714"/>
      <c r="N9" s="1715"/>
      <c r="O9" s="1716"/>
      <c r="P9" s="1717"/>
      <c r="Q9" s="1718"/>
      <c r="R9" s="1719"/>
      <c r="S9" s="1720"/>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58" t="s">
        <v>3007</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58" t="s">
        <v>3008</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58" t="s">
        <v>3009</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893" t="s">
        <v>3010</v>
      </c>
      <c r="B17" s="2894" t="s">
        <v>3011</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895" t="s">
        <v>3012</v>
      </c>
      <c r="E19" s="1781"/>
      <c r="F19" s="1781"/>
      <c r="G19" s="1781"/>
      <c r="H19" s="1279"/>
      <c r="I19" s="168"/>
      <c r="J19" s="168"/>
      <c r="K19" s="168"/>
      <c r="L19" s="168"/>
      <c r="M19" s="168"/>
      <c r="N19" s="168"/>
      <c r="O19" s="168"/>
      <c r="P19" s="168"/>
      <c r="Q19" s="168"/>
      <c r="R19" s="787"/>
      <c r="S19" s="138"/>
    </row>
    <row r="20" spans="1:45" ht="16.5" thickBot="1">
      <c r="A20" s="714" t="s">
        <v>3013</v>
      </c>
      <c r="B20" s="337" t="e">
        <f ca="1">IF(D20="——",S22,S22-F20)</f>
        <v>#REF!</v>
      </c>
      <c r="C20" s="168"/>
      <c r="D20" s="2896" t="s">
        <v>3014</v>
      </c>
      <c r="E20" s="1782"/>
      <c r="F20" s="1203" t="e">
        <f ca="1">SUMIF(INDIRECT("'"&amp;H20&amp;"'"&amp;"!A:A"),"承租人权益价值",INDIRECT("'"&amp;H20&amp;"'"&amp;"!c:c"))</f>
        <v>#REF!</v>
      </c>
      <c r="G20" s="1203" t="s">
        <v>3015</v>
      </c>
      <c r="H20" s="2897"/>
      <c r="I20" s="168"/>
      <c r="J20" s="168"/>
      <c r="K20" s="168"/>
      <c r="L20" s="168"/>
      <c r="M20" s="168"/>
      <c r="N20" s="168"/>
      <c r="O20" s="168"/>
      <c r="P20" s="168"/>
      <c r="Q20" s="168"/>
      <c r="R20" s="787"/>
      <c r="S20" s="138"/>
    </row>
    <row r="21" spans="1:45" ht="15.75">
      <c r="A21" s="714" t="s">
        <v>3016</v>
      </c>
      <c r="B21" s="337" t="e">
        <f ca="1">ROUND(B20*10000/B22,0)</f>
        <v>#REF!</v>
      </c>
      <c r="C21" s="168"/>
      <c r="D21" s="168"/>
      <c r="E21" s="168"/>
      <c r="F21" s="168"/>
      <c r="G21" s="168"/>
      <c r="H21" s="168"/>
      <c r="I21" s="168"/>
      <c r="J21" s="168"/>
      <c r="K21" s="168"/>
      <c r="L21" s="168"/>
      <c r="M21" s="168"/>
      <c r="N21" s="168"/>
      <c r="O21" s="168"/>
      <c r="P21" s="168"/>
      <c r="Q21" s="168"/>
      <c r="R21" s="787"/>
      <c r="S21" s="138"/>
    </row>
    <row r="22" spans="1:45">
      <c r="A22" s="360" t="s">
        <v>3017</v>
      </c>
      <c r="B22" s="24">
        <f>SUM(B24:B10000)</f>
        <v>100</v>
      </c>
      <c r="C22" s="3091" t="s">
        <v>33</v>
      </c>
      <c r="D22" s="3092"/>
      <c r="E22" s="3092"/>
      <c r="F22" s="3092"/>
      <c r="G22" s="3092"/>
      <c r="H22" s="3092"/>
      <c r="I22" s="3092"/>
      <c r="J22" s="3092"/>
      <c r="K22" s="3092"/>
      <c r="L22" s="3092"/>
      <c r="M22" s="3092"/>
      <c r="N22" s="3092"/>
      <c r="O22" s="3092"/>
      <c r="P22" s="3092"/>
      <c r="Q22" s="3317"/>
      <c r="R22" s="715">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6" t="s">
        <v>3021</v>
      </c>
      <c r="S23" s="11" t="s">
        <v>3022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3023</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9"/>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9"/>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38763</v>
      </c>
      <c r="C2" s="2" t="s">
        <v>133</v>
      </c>
      <c r="D2" s="243"/>
      <c r="E2" s="243"/>
      <c r="F2" s="243"/>
      <c r="G2" s="243"/>
    </row>
    <row r="3" spans="1:7" s="244" customFormat="1" ht="18" customHeight="1" thickBot="1">
      <c r="A3" s="247" t="s">
        <v>85</v>
      </c>
      <c r="B3" s="248">
        <f ca="1">ROUND(B2*10000/'数据-汇总表'!E3,0)</f>
        <v>8913</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1144</v>
      </c>
    </row>
    <row r="9" spans="1:7" s="258" customFormat="1" ht="13.5" customHeight="1">
      <c r="A9" s="949" t="s">
        <v>800</v>
      </c>
      <c r="B9" s="268" t="s">
        <v>93</v>
      </c>
      <c r="C9" s="269">
        <f>ROUND(D9*E9/10000,0)</f>
        <v>378</v>
      </c>
      <c r="D9" s="1031">
        <f>'数据-汇总表'!E5</f>
        <v>25219.909999999996</v>
      </c>
      <c r="E9" s="269">
        <f>'数据-取费表'!B27</f>
        <v>150</v>
      </c>
      <c r="F9" s="265"/>
      <c r="G9" s="270"/>
    </row>
    <row r="10" spans="1:7" s="258" customFormat="1" ht="13.5" customHeight="1">
      <c r="A10" s="949" t="s">
        <v>801</v>
      </c>
      <c r="B10" s="268" t="s">
        <v>94</v>
      </c>
      <c r="C10" s="269">
        <f>ROUND(D10*E10/10000,0)</f>
        <v>347</v>
      </c>
      <c r="D10" s="1031">
        <f>'数据-汇总表'!E6</f>
        <v>18270.47</v>
      </c>
      <c r="E10" s="269">
        <f>'数据-取费表'!B28</f>
        <v>190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1051</v>
      </c>
      <c r="B19" s="254" t="s">
        <v>111</v>
      </c>
      <c r="C19" s="255">
        <f>IF(G19="已包含在土地取得成本中","0",ROUND(D19*E19/10000,0))</f>
        <v>304</v>
      </c>
      <c r="D19" s="1035">
        <f>'数据-汇总表'!E3</f>
        <v>43490.38</v>
      </c>
      <c r="E19" s="255">
        <f>'数据-取费表'!B31</f>
        <v>70</v>
      </c>
      <c r="F19" s="275"/>
      <c r="G19" s="1" t="s">
        <v>1070</v>
      </c>
    </row>
    <row r="20" spans="1:7" s="258" customFormat="1" ht="13.5" customHeight="1">
      <c r="A20" s="947" t="s">
        <v>1053</v>
      </c>
      <c r="B20" s="254" t="s">
        <v>104</v>
      </c>
      <c r="C20" s="276">
        <f>ROUND((C5+C19)*F20,0)</f>
        <v>418</v>
      </c>
      <c r="D20" s="276"/>
      <c r="E20" s="276"/>
      <c r="F20" s="277">
        <f>'数据-取费表'!B37</f>
        <v>0.02</v>
      </c>
      <c r="G20" s="1288" t="s">
        <v>1064</v>
      </c>
    </row>
    <row r="21" spans="1:7" s="258" customFormat="1" ht="13.5" customHeight="1">
      <c r="A21" s="947" t="s">
        <v>1055</v>
      </c>
      <c r="B21" s="254" t="s">
        <v>105</v>
      </c>
      <c r="C21" s="279">
        <f>F21</f>
        <v>0.02</v>
      </c>
      <c r="D21" s="280" t="s">
        <v>126</v>
      </c>
      <c r="E21" s="276"/>
      <c r="F21" s="277">
        <f>'数据-取费表'!B38</f>
        <v>0.02</v>
      </c>
      <c r="G21" s="278" t="s">
        <v>106</v>
      </c>
    </row>
    <row r="22" spans="1:7" s="258" customFormat="1" ht="13.5" customHeight="1">
      <c r="A22" s="947" t="s">
        <v>786</v>
      </c>
      <c r="B22" s="254" t="s">
        <v>107</v>
      </c>
      <c r="C22" s="1353">
        <f ca="1">ROUND(SUM(C23:C25),0)</f>
        <v>1314</v>
      </c>
      <c r="D22" s="279">
        <f ca="1">C26</f>
        <v>5.9999999999999995E-4</v>
      </c>
      <c r="E22" s="280" t="s">
        <v>126</v>
      </c>
      <c r="F22" s="281">
        <f ca="1">'数据-取费表'!B40</f>
        <v>4.7500000000000001E-2</v>
      </c>
      <c r="G22" s="1288" t="str">
        <f>IF('数据-取费表'!B22&lt;=1,"单利计息","复利计息")</f>
        <v>复利计息</v>
      </c>
    </row>
    <row r="23" spans="1:7" s="258" customFormat="1" ht="13.5" customHeight="1">
      <c r="A23" s="950" t="s">
        <v>794</v>
      </c>
      <c r="B23" s="259" t="s">
        <v>1057</v>
      </c>
      <c r="C23" s="1354">
        <f ca="1">ROUND(IF('数据-取费表'!B22&lt;=1,C5*F22*'数据-取费表'!B23,C5*(POWER((1+F22),'数据-取费表'!B23)-1)),0)</f>
        <v>1282</v>
      </c>
      <c r="D23" s="282"/>
      <c r="E23" s="282"/>
      <c r="F23" s="283"/>
      <c r="G23" s="284" t="s">
        <v>108</v>
      </c>
    </row>
    <row r="24" spans="1:7" s="258" customFormat="1" ht="13.5" customHeight="1">
      <c r="A24" s="950" t="s">
        <v>792</v>
      </c>
      <c r="B24" s="259" t="s">
        <v>1052</v>
      </c>
      <c r="C24" s="1354">
        <f ca="1">ROUND(IF('数据-取费表'!B22&lt;=1,C19*F22*('数据-取费表'!B19/2+'数据-取费表'!B21),C19*(POWER((1+F22),('数据-取费表'!B19/2+'数据-取费表'!B21))-1)),0)</f>
        <v>19</v>
      </c>
      <c r="D24" s="282"/>
      <c r="E24" s="282"/>
      <c r="F24" s="283"/>
      <c r="G24" s="284" t="s">
        <v>109</v>
      </c>
    </row>
    <row r="25" spans="1:7" s="258" customFormat="1" ht="24">
      <c r="A25" s="950" t="s">
        <v>793</v>
      </c>
      <c r="B25" s="259" t="s">
        <v>1054</v>
      </c>
      <c r="C25" s="1354">
        <f ca="1">ROUND(IF('数据-取费表'!B22&lt;=1,C20*F22*'数据-取费表'!B23/2,C20*(POWER((1+F22),'数据-取费表'!B23/2)-1)),0)</f>
        <v>13</v>
      </c>
      <c r="D25" s="282"/>
      <c r="E25" s="285"/>
      <c r="F25" s="283"/>
      <c r="G25" s="286" t="s">
        <v>110</v>
      </c>
    </row>
    <row r="26" spans="1:7" s="258" customFormat="1">
      <c r="A26" s="950" t="s">
        <v>795</v>
      </c>
      <c r="B26" s="259" t="s">
        <v>1056</v>
      </c>
      <c r="C26" s="282">
        <f ca="1">ROUND(IF('数据-取费表'!B22&lt;=1,F21*F22*'数据-取费表'!B23/2,F21*(POWER((1+F22),'数据-取费表'!B23/2)-1)),4)</f>
        <v>5.9999999999999995E-4</v>
      </c>
      <c r="D26" s="282"/>
      <c r="E26" s="285"/>
      <c r="F26" s="283"/>
      <c r="G26" s="287"/>
    </row>
    <row r="27" spans="1:7" s="258" customFormat="1" ht="24.75">
      <c r="A27" s="947" t="s">
        <v>787</v>
      </c>
      <c r="B27" s="288" t="s">
        <v>112</v>
      </c>
      <c r="C27" s="289">
        <f>C28</f>
        <v>1664</v>
      </c>
      <c r="D27" s="279">
        <f>C29</f>
        <v>1.6000000000000001E-3</v>
      </c>
      <c r="E27" s="280" t="s">
        <v>126</v>
      </c>
      <c r="F27" s="290">
        <f>'数据-取费表'!Q16</f>
        <v>0.12</v>
      </c>
      <c r="G27" s="291" t="s">
        <v>1065</v>
      </c>
    </row>
    <row r="28" spans="1:7" s="258" customFormat="1" ht="13.5" customHeight="1">
      <c r="A28" s="950" t="s">
        <v>794</v>
      </c>
      <c r="B28" s="292" t="s">
        <v>1058</v>
      </c>
      <c r="C28" s="293">
        <f>ROUND((C5+C19+C20)*F27*'数据-取费表'!B21/'数据-取费表'!B20,0)</f>
        <v>1664</v>
      </c>
      <c r="D28" s="279"/>
      <c r="E28" s="280"/>
      <c r="F28" s="290"/>
      <c r="G28" s="291"/>
    </row>
    <row r="29" spans="1:7" s="258" customFormat="1" ht="13.5" customHeight="1">
      <c r="A29" s="950" t="s">
        <v>792</v>
      </c>
      <c r="B29" s="292" t="s">
        <v>1059</v>
      </c>
      <c r="C29" s="282">
        <f>ROUND(C21*F27*'数据-取费表'!B21/'数据-取费表'!B20,4)</f>
        <v>1.6000000000000001E-3</v>
      </c>
      <c r="D29" s="279"/>
      <c r="E29" s="280"/>
      <c r="F29" s="290"/>
      <c r="G29" s="291"/>
    </row>
    <row r="30" spans="1:7" s="258" customFormat="1" ht="13.5" customHeight="1">
      <c r="A30" s="947"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26269</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9843</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8481</v>
      </c>
      <c r="D34" s="261"/>
      <c r="E34" s="264"/>
      <c r="F34" s="301">
        <f>IF('数据-取费表'!B24=0,1,'数据-取费表'!N16)</f>
        <v>0.65</v>
      </c>
      <c r="G34" s="263" t="s">
        <v>116</v>
      </c>
    </row>
    <row r="35" spans="1:7" ht="13.5" customHeight="1">
      <c r="A35" s="950" t="s">
        <v>796</v>
      </c>
      <c r="B35" s="259" t="s">
        <v>60</v>
      </c>
      <c r="C35" s="264">
        <f>ROUND(C34*F35,0)</f>
        <v>424</v>
      </c>
      <c r="D35" s="264"/>
      <c r="E35" s="264"/>
      <c r="F35" s="303">
        <f>'数据-取费表'!B33</f>
        <v>0.05</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246</v>
      </c>
      <c r="D36" s="264"/>
      <c r="E36" s="264"/>
      <c r="F36" s="303">
        <f>'数据-取费表'!B34</f>
        <v>0.05</v>
      </c>
      <c r="G36" s="304" t="s">
        <v>62</v>
      </c>
    </row>
    <row r="37" spans="1:7" s="302" customFormat="1" ht="13.5" customHeight="1">
      <c r="A37" s="950" t="s">
        <v>798</v>
      </c>
      <c r="B37" s="259" t="s">
        <v>118</v>
      </c>
      <c r="C37" s="293">
        <f>ROUND(E37*D37*F34/10000,0)</f>
        <v>565</v>
      </c>
      <c r="D37" s="261">
        <f>'数据-汇总表'!E3</f>
        <v>43490.38</v>
      </c>
      <c r="E37" s="293">
        <f>'数据-取费表'!B35</f>
        <v>200</v>
      </c>
      <c r="F37" s="303"/>
      <c r="G37" s="305" t="s">
        <v>119</v>
      </c>
    </row>
    <row r="38" spans="1:7" ht="13.5" customHeight="1">
      <c r="A38" s="950" t="s">
        <v>799</v>
      </c>
      <c r="B38" s="259" t="s">
        <v>63</v>
      </c>
      <c r="C38" s="264">
        <f>ROUND(C34*F38,0)</f>
        <v>127</v>
      </c>
      <c r="D38" s="264"/>
      <c r="E38" s="264"/>
      <c r="F38" s="303">
        <f>'数据-取费表'!B36</f>
        <v>1.4999999999999999E-2</v>
      </c>
      <c r="G38" s="263" t="s">
        <v>117</v>
      </c>
    </row>
    <row r="39" spans="1:7" s="258" customFormat="1" ht="13.5" customHeight="1">
      <c r="A39" s="947" t="s">
        <v>783</v>
      </c>
      <c r="B39" s="254" t="s">
        <v>104</v>
      </c>
      <c r="C39" s="276">
        <f>ROUND(C33*F20,0)</f>
        <v>197</v>
      </c>
      <c r="D39" s="276"/>
      <c r="E39" s="276"/>
      <c r="F39" s="277"/>
      <c r="G39" s="1288" t="s">
        <v>1067</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307</v>
      </c>
      <c r="D41" s="279">
        <f ca="1">C44</f>
        <v>5.9999999999999995E-4</v>
      </c>
      <c r="E41" s="280" t="s">
        <v>129</v>
      </c>
      <c r="F41" s="281"/>
      <c r="G41" s="1288" t="str">
        <f>IF('数据-取费表'!B22&lt;=1,"单利计息","复利计息")</f>
        <v>复利计息</v>
      </c>
    </row>
    <row r="42" spans="1:7" ht="13.5" customHeight="1">
      <c r="A42" s="950" t="s">
        <v>794</v>
      </c>
      <c r="B42" s="259" t="s">
        <v>1057</v>
      </c>
      <c r="C42" s="282">
        <f ca="1">ROUND(IF('数据-取费表'!B22&lt;=1,C33*F22*'数据-取费表'!B21/2,C33*(POWER((1+F22),'数据-取费表'!B21/2)-1)),0)</f>
        <v>301</v>
      </c>
      <c r="D42" s="282"/>
      <c r="E42" s="282"/>
      <c r="F42" s="283"/>
      <c r="G42" s="3178" t="s">
        <v>121</v>
      </c>
    </row>
    <row r="43" spans="1:7" ht="13.5" customHeight="1">
      <c r="A43" s="950" t="s">
        <v>792</v>
      </c>
      <c r="B43" s="259" t="s">
        <v>1060</v>
      </c>
      <c r="C43" s="282">
        <f ca="1">ROUND(IF('数据-取费表'!B22&lt;=1,C39*F22*'数据-取费表'!B21/2,C39*(POWER((1+F22),'数据-取费表'!B21/2)-1)),0)</f>
        <v>6</v>
      </c>
      <c r="D43" s="282"/>
      <c r="E43" s="282"/>
      <c r="F43" s="283"/>
      <c r="G43" s="3179"/>
    </row>
    <row r="44" spans="1:7" ht="13.5" customHeight="1">
      <c r="A44" s="950" t="s">
        <v>793</v>
      </c>
      <c r="B44" s="259" t="s">
        <v>1062</v>
      </c>
      <c r="C44" s="282">
        <f ca="1">ROUND(IF('数据-取费表'!B22&lt;=1,C40*F22*'数据-取费表'!B21/2,C40*(POWER((1+F22),'数据-取费表'!B21/2)-1)),4)</f>
        <v>5.9999999999999995E-4</v>
      </c>
      <c r="D44" s="282"/>
      <c r="E44" s="282"/>
      <c r="F44" s="283"/>
      <c r="G44" s="3180"/>
    </row>
    <row r="45" spans="1:7" s="258" customFormat="1" ht="13.5" customHeight="1">
      <c r="A45" s="947" t="s">
        <v>786</v>
      </c>
      <c r="B45" s="288" t="s">
        <v>112</v>
      </c>
      <c r="C45" s="289">
        <f>C46</f>
        <v>1205</v>
      </c>
      <c r="D45" s="279">
        <f>C47</f>
        <v>2.3999999999999998E-3</v>
      </c>
      <c r="E45" s="280" t="s">
        <v>129</v>
      </c>
      <c r="F45" s="290"/>
      <c r="G45" s="291" t="s">
        <v>1068</v>
      </c>
    </row>
    <row r="46" spans="1:7" s="258" customFormat="1" ht="13.5" customHeight="1">
      <c r="A46" s="950" t="s">
        <v>794</v>
      </c>
      <c r="B46" s="292" t="s">
        <v>1061</v>
      </c>
      <c r="C46" s="293">
        <f>ROUND((C33+C39)*F27,0)</f>
        <v>1205</v>
      </c>
      <c r="D46" s="307"/>
      <c r="E46" s="280"/>
      <c r="F46" s="290"/>
      <c r="G46" s="291"/>
    </row>
    <row r="47" spans="1:7" s="258" customFormat="1" ht="13.5" customHeight="1">
      <c r="A47" s="950" t="s">
        <v>792</v>
      </c>
      <c r="B47" s="292" t="s">
        <v>1063</v>
      </c>
      <c r="C47" s="282">
        <f>ROUND(C40*F27,4)</f>
        <v>2.3999999999999998E-3</v>
      </c>
      <c r="D47" s="307"/>
      <c r="E47" s="280"/>
      <c r="F47" s="290"/>
      <c r="G47" s="291"/>
    </row>
    <row r="48" spans="1:7" s="258" customFormat="1" ht="13.5" customHeight="1">
      <c r="A48" s="947" t="s">
        <v>787</v>
      </c>
      <c r="B48" s="254" t="s">
        <v>122</v>
      </c>
      <c r="C48" s="306">
        <f>F30</f>
        <v>5.5000000000000007E-2</v>
      </c>
      <c r="D48" s="280" t="s">
        <v>130</v>
      </c>
      <c r="E48" s="276"/>
      <c r="F48" s="281"/>
      <c r="G48" s="278" t="s">
        <v>123</v>
      </c>
    </row>
    <row r="49" spans="1:7" ht="16.5" customHeight="1">
      <c r="A49" s="947" t="s">
        <v>788</v>
      </c>
      <c r="B49" s="254" t="s">
        <v>131</v>
      </c>
      <c r="C49" s="276">
        <f ca="1">ROUND((C33+C39+C41+C45)/(1-C40-D41-D45-C48/(1+'数据-取费表'!B42)),0)</f>
        <v>12494</v>
      </c>
      <c r="D49" s="276"/>
      <c r="E49" s="276"/>
      <c r="F49" s="308"/>
      <c r="G49" s="278" t="s">
        <v>1069</v>
      </c>
    </row>
    <row r="50" spans="1:7" s="302" customFormat="1" ht="24">
      <c r="A50" s="947" t="s">
        <v>789</v>
      </c>
      <c r="B50" s="254" t="s">
        <v>124</v>
      </c>
      <c r="C50" s="276"/>
      <c r="D50" s="276"/>
      <c r="E50" s="276"/>
      <c r="F50" s="308">
        <f>IF('数据-取费表'!B24=0,'数据-取费表'!N16,1)</f>
        <v>1</v>
      </c>
      <c r="G50" s="291" t="s">
        <v>125</v>
      </c>
    </row>
    <row r="51" spans="1:7" ht="16.5" customHeight="1">
      <c r="A51" s="947" t="s">
        <v>790</v>
      </c>
      <c r="B51" s="254" t="s">
        <v>132</v>
      </c>
      <c r="C51" s="276">
        <f ca="1">ROUND(C49*F50,0)</f>
        <v>12494</v>
      </c>
      <c r="D51" s="276"/>
      <c r="E51" s="276"/>
      <c r="F51" s="308"/>
      <c r="G51" s="278" t="s">
        <v>64</v>
      </c>
    </row>
    <row r="52" spans="1:7" s="252" customFormat="1" ht="16.5" thickBot="1">
      <c r="A52" s="309" t="s">
        <v>65</v>
      </c>
      <c r="B52" s="310"/>
      <c r="C52" s="311">
        <f ca="1">C31+C51</f>
        <v>38763</v>
      </c>
      <c r="D52" s="310"/>
      <c r="E52" s="310"/>
      <c r="F52" s="310"/>
      <c r="G52" s="312"/>
    </row>
    <row r="55" spans="1:7" ht="15">
      <c r="B55" s="314" t="s">
        <v>66</v>
      </c>
      <c r="C55" s="315"/>
    </row>
    <row r="56" spans="1:7">
      <c r="B56" s="317" t="s">
        <v>67</v>
      </c>
      <c r="C56" s="318">
        <f ca="1">ROUND(C51/C52,3)</f>
        <v>0.32200000000000001</v>
      </c>
    </row>
    <row r="57" spans="1:7">
      <c r="B57" s="317" t="s">
        <v>68</v>
      </c>
      <c r="C57" s="319">
        <f ca="1">1-C56</f>
        <v>0.67799999999999994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21" t="s">
        <v>156</v>
      </c>
      <c r="B1" s="3321"/>
      <c r="C1" s="3321"/>
      <c r="D1" s="3321"/>
      <c r="E1" s="3321"/>
      <c r="F1" s="332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22" t="s">
        <v>169</v>
      </c>
      <c r="B2" s="3322"/>
      <c r="C2" s="3322"/>
      <c r="D2" s="3322"/>
      <c r="E2" s="3322"/>
      <c r="F2" s="332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2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2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21" t="s">
        <v>867</v>
      </c>
      <c r="B1" s="3321"/>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1295</v>
      </c>
      <c r="C1" s="1691">
        <f>项目基本情况!D3</f>
        <v>43962</v>
      </c>
      <c r="D1" s="1697" t="s">
        <v>1296</v>
      </c>
      <c r="E1" s="1692">
        <f>'数据-取费表'!B22</f>
        <v>2</v>
      </c>
      <c r="F1" s="1697" t="s">
        <v>1297</v>
      </c>
      <c r="G1" s="1693">
        <f ca="1">INDIRECT("d"&amp;$K$1)/100</f>
        <v>4.7500000000000001E-2</v>
      </c>
      <c r="H1" s="1697" t="s">
        <v>1327</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1298</v>
      </c>
      <c r="E2" s="1633"/>
      <c r="F2" s="1633" t="s">
        <v>1299</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1300</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1301</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1302</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1303</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1304</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1305</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1306</v>
      </c>
      <c r="C10" s="1661"/>
      <c r="D10" s="1661"/>
      <c r="E10" s="1661"/>
      <c r="F10" s="1661"/>
      <c r="G10" s="1661"/>
      <c r="H10" s="1661"/>
      <c r="I10" s="1635"/>
      <c r="J10" s="1635"/>
      <c r="K10" s="1661"/>
      <c r="L10" s="1662" t="s">
        <v>1307</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1308</v>
      </c>
      <c r="C11" s="1666" t="s">
        <v>1309</v>
      </c>
      <c r="D11" s="1667" t="s">
        <v>1310</v>
      </c>
      <c r="E11" s="1668"/>
      <c r="F11" s="1667" t="s">
        <v>1311</v>
      </c>
      <c r="G11" s="1669"/>
      <c r="H11" s="1668"/>
      <c r="I11" s="1667" t="s">
        <v>1312</v>
      </c>
      <c r="J11" s="1668"/>
      <c r="K11" s="1664"/>
      <c r="L11" s="1665" t="s">
        <v>1308</v>
      </c>
      <c r="M11" s="1666" t="s">
        <v>1309</v>
      </c>
      <c r="N11" s="1665" t="s">
        <v>1313</v>
      </c>
      <c r="O11" s="1667" t="s">
        <v>1314</v>
      </c>
      <c r="P11" s="1669"/>
      <c r="Q11" s="1669"/>
      <c r="R11" s="1669"/>
      <c r="S11" s="1669"/>
      <c r="T11" s="1668"/>
      <c r="U11" s="1667" t="s">
        <v>1315</v>
      </c>
      <c r="V11" s="1669"/>
      <c r="W11" s="1668"/>
      <c r="X11" s="1665" t="s">
        <v>1316</v>
      </c>
      <c r="Y11" s="1665" t="s">
        <v>1317</v>
      </c>
      <c r="Z11" s="1665" t="s">
        <v>1318</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1319</v>
      </c>
      <c r="E12" s="1674" t="s">
        <v>1320</v>
      </c>
      <c r="F12" s="1674" t="s">
        <v>1321</v>
      </c>
      <c r="G12" s="1674" t="s">
        <v>1322</v>
      </c>
      <c r="H12" s="1674" t="s">
        <v>1304</v>
      </c>
      <c r="I12" s="1675" t="s">
        <v>1323</v>
      </c>
      <c r="J12" s="1675" t="s">
        <v>1323</v>
      </c>
      <c r="K12" s="1671"/>
      <c r="L12" s="1672"/>
      <c r="M12" s="1673"/>
      <c r="N12" s="1672"/>
      <c r="O12" s="1675" t="s">
        <v>1324</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1325</v>
      </c>
      <c r="C13" s="1679">
        <v>42301</v>
      </c>
      <c r="D13" s="1680">
        <v>4.3499999999999996</v>
      </c>
      <c r="E13" s="1680">
        <v>4.3499999999999996</v>
      </c>
      <c r="F13" s="1680">
        <v>4.75</v>
      </c>
      <c r="G13" s="1680">
        <v>4.75</v>
      </c>
      <c r="H13" s="1680">
        <v>4.9000000000000004</v>
      </c>
      <c r="I13" s="1680">
        <v>2.75</v>
      </c>
      <c r="J13" s="1680">
        <v>3.25</v>
      </c>
      <c r="K13" s="1677"/>
      <c r="L13" s="1678" t="s">
        <v>1325</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1326</v>
      </c>
      <c r="Y42" s="1684" t="s">
        <v>1326</v>
      </c>
      <c r="Z42" s="1684" t="s">
        <v>1326</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1326</v>
      </c>
      <c r="Y43" s="1684" t="s">
        <v>1326</v>
      </c>
      <c r="Z43" s="1684" t="s">
        <v>1326</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1326</v>
      </c>
      <c r="Y44" s="1684" t="s">
        <v>1326</v>
      </c>
      <c r="Z44" s="1684" t="s">
        <v>1326</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1326</v>
      </c>
      <c r="Y45" s="1684" t="s">
        <v>1326</v>
      </c>
      <c r="Z45" s="1684" t="s">
        <v>1326</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1326</v>
      </c>
      <c r="Y46" s="1684" t="s">
        <v>1326</v>
      </c>
      <c r="Z46" s="1684" t="s">
        <v>1326</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1326</v>
      </c>
      <c r="Y47" s="1684" t="s">
        <v>1326</v>
      </c>
      <c r="Z47" s="1684" t="s">
        <v>1326</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1326</v>
      </c>
      <c r="Y48" s="1684" t="s">
        <v>1326</v>
      </c>
      <c r="Z48" s="1684" t="s">
        <v>1326</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1326</v>
      </c>
      <c r="Y49" s="1684" t="s">
        <v>1326</v>
      </c>
      <c r="Z49" s="1684" t="s">
        <v>1326</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1326</v>
      </c>
      <c r="Y50" s="1684" t="s">
        <v>1326</v>
      </c>
      <c r="Z50" s="1684" t="s">
        <v>1326</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1326</v>
      </c>
      <c r="V51" s="1684" t="s">
        <v>1326</v>
      </c>
      <c r="W51" s="1684" t="s">
        <v>1326</v>
      </c>
      <c r="X51" s="1684" t="s">
        <v>1326</v>
      </c>
      <c r="Y51" s="1684" t="s">
        <v>1326</v>
      </c>
      <c r="Z51" s="1684" t="s">
        <v>1326</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1326</v>
      </c>
      <c r="J55" s="1684" t="s">
        <v>1326</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1" t="s">
        <v>1367</v>
      </c>
      <c r="E1" s="1765" t="s">
        <v>1371</v>
      </c>
      <c r="F1" s="1766" t="s">
        <v>1375</v>
      </c>
    </row>
    <row r="2" spans="1:13" ht="20.25">
      <c r="A2" s="1772" t="s">
        <v>1368</v>
      </c>
    </row>
    <row r="3" spans="1:13" ht="16.5">
      <c r="A3" s="1773" t="s">
        <v>1369</v>
      </c>
    </row>
    <row r="4" spans="1:13" ht="14.25">
      <c r="A4" s="1763" t="s">
        <v>1370</v>
      </c>
      <c r="B4" s="1768" t="s">
        <v>1372</v>
      </c>
      <c r="C4" s="1769"/>
      <c r="D4" s="1770"/>
      <c r="E4" s="1768" t="s">
        <v>27</v>
      </c>
      <c r="F4" s="1769"/>
      <c r="G4" s="1770"/>
      <c r="H4" s="1768" t="s">
        <v>1373</v>
      </c>
      <c r="I4" s="1769"/>
      <c r="J4" s="1770"/>
      <c r="K4" s="1768" t="s">
        <v>6</v>
      </c>
      <c r="L4" s="1769"/>
      <c r="M4" s="1770"/>
    </row>
    <row r="5" spans="1:13" ht="14.25">
      <c r="A5" s="1764" t="s">
        <v>1374</v>
      </c>
      <c r="B5" s="1763" t="s">
        <v>1376</v>
      </c>
      <c r="C5" s="1763" t="s">
        <v>1377</v>
      </c>
      <c r="D5" s="1763" t="s">
        <v>1378</v>
      </c>
      <c r="E5" s="1763" t="s">
        <v>1376</v>
      </c>
      <c r="F5" s="1763" t="s">
        <v>1377</v>
      </c>
      <c r="G5" s="1763" t="s">
        <v>1378</v>
      </c>
      <c r="H5" s="1763" t="s">
        <v>1376</v>
      </c>
      <c r="I5" s="1763" t="s">
        <v>1377</v>
      </c>
      <c r="J5" s="1763" t="s">
        <v>1378</v>
      </c>
      <c r="K5" s="1763" t="s">
        <v>1376</v>
      </c>
      <c r="L5" s="1763" t="s">
        <v>1377</v>
      </c>
      <c r="M5" s="1763" t="s">
        <v>1378</v>
      </c>
    </row>
    <row r="6" spans="1:13" ht="14.25">
      <c r="A6" s="1767" t="s">
        <v>212</v>
      </c>
      <c r="B6" s="1774">
        <v>26980</v>
      </c>
      <c r="C6" s="1774">
        <v>32980</v>
      </c>
      <c r="D6" s="1774">
        <v>29980</v>
      </c>
      <c r="E6" s="1774">
        <v>26170</v>
      </c>
      <c r="F6" s="1774">
        <v>31990</v>
      </c>
      <c r="G6" s="1774">
        <v>29080</v>
      </c>
      <c r="H6" s="1774">
        <v>25850</v>
      </c>
      <c r="I6" s="1774">
        <v>31590</v>
      </c>
      <c r="J6" s="1774">
        <v>28720</v>
      </c>
      <c r="K6" s="1774">
        <v>9860</v>
      </c>
      <c r="L6" s="1775">
        <v>13340</v>
      </c>
      <c r="M6" s="1774">
        <v>11600</v>
      </c>
    </row>
    <row r="7" spans="1:13" ht="14.25">
      <c r="A7" s="1767" t="s">
        <v>269</v>
      </c>
      <c r="B7" s="1774">
        <v>21970</v>
      </c>
      <c r="C7" s="1774">
        <v>28730</v>
      </c>
      <c r="D7" s="1774">
        <v>25350</v>
      </c>
      <c r="E7" s="1774">
        <v>21480</v>
      </c>
      <c r="F7" s="1774">
        <v>28080</v>
      </c>
      <c r="G7" s="1774">
        <v>24780</v>
      </c>
      <c r="H7" s="1774">
        <v>21250</v>
      </c>
      <c r="I7" s="1774">
        <v>27790</v>
      </c>
      <c r="J7" s="1774">
        <v>24520</v>
      </c>
      <c r="K7" s="1774">
        <v>6660</v>
      </c>
      <c r="L7" s="1775">
        <v>10000</v>
      </c>
      <c r="M7" s="1774">
        <v>8330</v>
      </c>
    </row>
    <row r="8" spans="1:13" ht="14.25">
      <c r="A8" s="1767" t="s">
        <v>442</v>
      </c>
      <c r="B8" s="1774">
        <v>17430</v>
      </c>
      <c r="C8" s="1774">
        <v>24410</v>
      </c>
      <c r="D8" s="1774">
        <v>20920</v>
      </c>
      <c r="E8" s="1774">
        <v>17140</v>
      </c>
      <c r="F8" s="1774">
        <v>24000</v>
      </c>
      <c r="G8" s="1774">
        <v>20570</v>
      </c>
      <c r="H8" s="1774">
        <v>16990</v>
      </c>
      <c r="I8" s="1774">
        <v>23790</v>
      </c>
      <c r="J8" s="1774">
        <v>20390</v>
      </c>
      <c r="K8" s="1774">
        <v>4530</v>
      </c>
      <c r="L8" s="1775">
        <v>6790</v>
      </c>
      <c r="M8" s="1774">
        <v>5660</v>
      </c>
    </row>
    <row r="9" spans="1:13" ht="14.25">
      <c r="A9" s="1767" t="s">
        <v>137</v>
      </c>
      <c r="B9" s="1774">
        <v>13330</v>
      </c>
      <c r="C9" s="1774">
        <v>19990</v>
      </c>
      <c r="D9" s="1774">
        <v>16660</v>
      </c>
      <c r="E9" s="1774">
        <v>13160</v>
      </c>
      <c r="F9" s="1774">
        <v>19740</v>
      </c>
      <c r="G9" s="1774">
        <v>16450</v>
      </c>
      <c r="H9" s="1774">
        <v>13060</v>
      </c>
      <c r="I9" s="1774">
        <v>19600</v>
      </c>
      <c r="J9" s="1774">
        <v>16330</v>
      </c>
      <c r="K9" s="1774">
        <v>3090</v>
      </c>
      <c r="L9" s="1775">
        <v>4650</v>
      </c>
      <c r="M9" s="1774">
        <v>3870</v>
      </c>
    </row>
    <row r="10" spans="1:13" ht="14.25">
      <c r="A10" s="1767" t="s">
        <v>523</v>
      </c>
      <c r="B10" s="1774">
        <v>10420</v>
      </c>
      <c r="C10" s="1774">
        <v>15620</v>
      </c>
      <c r="D10" s="1774">
        <v>13020</v>
      </c>
      <c r="E10" s="1774">
        <v>10310</v>
      </c>
      <c r="F10" s="1774">
        <v>15470</v>
      </c>
      <c r="G10" s="1774">
        <v>12890</v>
      </c>
      <c r="H10" s="1774">
        <v>10250</v>
      </c>
      <c r="I10" s="1774">
        <v>15370</v>
      </c>
      <c r="J10" s="1774">
        <v>12810</v>
      </c>
      <c r="K10" s="1774">
        <v>2140</v>
      </c>
      <c r="L10" s="1775">
        <v>3200</v>
      </c>
      <c r="M10" s="1774">
        <v>2670</v>
      </c>
    </row>
    <row r="11" spans="1:13" ht="14.25">
      <c r="A11" s="1767" t="s">
        <v>56</v>
      </c>
      <c r="B11" s="1774">
        <v>8130</v>
      </c>
      <c r="C11" s="1774">
        <v>12190</v>
      </c>
      <c r="D11" s="1774">
        <v>10160</v>
      </c>
      <c r="E11" s="1774">
        <v>8060</v>
      </c>
      <c r="F11" s="1774">
        <v>12080</v>
      </c>
      <c r="G11" s="1774">
        <v>10070</v>
      </c>
      <c r="H11" s="1774">
        <v>8010</v>
      </c>
      <c r="I11" s="1774">
        <v>12010</v>
      </c>
      <c r="J11" s="1774">
        <v>10010</v>
      </c>
      <c r="K11" s="1774">
        <v>1490</v>
      </c>
      <c r="L11" s="1775">
        <v>2250</v>
      </c>
      <c r="M11" s="1774">
        <v>1870</v>
      </c>
    </row>
    <row r="12" spans="1:13" ht="14.25">
      <c r="A12" s="1767" t="s">
        <v>526</v>
      </c>
      <c r="B12" s="1774">
        <v>5940</v>
      </c>
      <c r="C12" s="1774">
        <v>8900</v>
      </c>
      <c r="D12" s="1774">
        <v>7420</v>
      </c>
      <c r="E12" s="1774">
        <v>5880</v>
      </c>
      <c r="F12" s="1774">
        <v>8820</v>
      </c>
      <c r="G12" s="1774">
        <v>7350</v>
      </c>
      <c r="H12" s="1774">
        <v>5840</v>
      </c>
      <c r="I12" s="1774">
        <v>8760</v>
      </c>
      <c r="J12" s="1774">
        <v>7300</v>
      </c>
      <c r="K12" s="1774">
        <v>1060</v>
      </c>
      <c r="L12" s="1775">
        <v>1600</v>
      </c>
      <c r="M12" s="1774">
        <v>1330</v>
      </c>
    </row>
    <row r="13" spans="1:13" ht="14.25">
      <c r="A13" s="1767" t="s">
        <v>528</v>
      </c>
      <c r="B13" s="1774">
        <v>3970</v>
      </c>
      <c r="C13" s="1774">
        <v>6330</v>
      </c>
      <c r="D13" s="1774">
        <v>5150</v>
      </c>
      <c r="E13" s="1774">
        <v>3920</v>
      </c>
      <c r="F13" s="1774">
        <v>6260</v>
      </c>
      <c r="G13" s="1774">
        <v>5090</v>
      </c>
      <c r="H13" s="1774">
        <v>3890</v>
      </c>
      <c r="I13" s="1774">
        <v>6210</v>
      </c>
      <c r="J13" s="1774">
        <v>5050</v>
      </c>
      <c r="K13" s="1774">
        <v>780</v>
      </c>
      <c r="L13" s="1775">
        <v>1160</v>
      </c>
      <c r="M13" s="1774">
        <v>970</v>
      </c>
    </row>
    <row r="14" spans="1:13" ht="14.25">
      <c r="A14" s="1767" t="s">
        <v>530</v>
      </c>
      <c r="B14" s="1774">
        <v>2680</v>
      </c>
      <c r="C14" s="1774">
        <v>4280</v>
      </c>
      <c r="D14" s="1774">
        <v>3480</v>
      </c>
      <c r="E14" s="1774">
        <v>2640</v>
      </c>
      <c r="F14" s="1774">
        <v>4220</v>
      </c>
      <c r="G14" s="1774">
        <v>3430</v>
      </c>
      <c r="H14" s="1774">
        <v>2620</v>
      </c>
      <c r="I14" s="1774">
        <v>4180</v>
      </c>
      <c r="J14" s="1774">
        <v>3400</v>
      </c>
      <c r="K14" s="1774">
        <v>580</v>
      </c>
      <c r="L14" s="1775">
        <v>880</v>
      </c>
      <c r="M14" s="1774">
        <v>730</v>
      </c>
    </row>
    <row r="15" spans="1:13" ht="14.25">
      <c r="A15" s="1767" t="s">
        <v>534</v>
      </c>
      <c r="B15" s="1774">
        <v>1700</v>
      </c>
      <c r="C15" s="1774">
        <v>2840</v>
      </c>
      <c r="D15" s="1774">
        <v>2270</v>
      </c>
      <c r="E15" s="1774">
        <v>1670</v>
      </c>
      <c r="F15" s="1774">
        <v>2790</v>
      </c>
      <c r="G15" s="1774">
        <v>2230</v>
      </c>
      <c r="H15" s="1774">
        <v>1650</v>
      </c>
      <c r="I15" s="1774">
        <v>2750</v>
      </c>
      <c r="J15" s="1774">
        <v>2200</v>
      </c>
      <c r="K15" s="1774">
        <v>450</v>
      </c>
      <c r="L15" s="1775">
        <v>670</v>
      </c>
      <c r="M15" s="1774">
        <v>560</v>
      </c>
    </row>
    <row r="16" spans="1:13" ht="14.25">
      <c r="A16" s="1767" t="s">
        <v>814</v>
      </c>
      <c r="B16" s="1774">
        <v>1070</v>
      </c>
      <c r="C16" s="1774">
        <v>1790</v>
      </c>
      <c r="D16" s="1774">
        <v>1430</v>
      </c>
      <c r="E16" s="1774">
        <v>1050</v>
      </c>
      <c r="F16" s="1774">
        <v>1750</v>
      </c>
      <c r="G16" s="1774">
        <v>1400</v>
      </c>
      <c r="H16" s="1774">
        <v>1030</v>
      </c>
      <c r="I16" s="1774">
        <v>1730</v>
      </c>
      <c r="J16" s="1774">
        <v>1380</v>
      </c>
      <c r="K16" s="1774">
        <v>350</v>
      </c>
      <c r="L16" s="1775">
        <v>530</v>
      </c>
      <c r="M16" s="1774">
        <v>440</v>
      </c>
    </row>
    <row r="17" spans="1:13" ht="14.25">
      <c r="A17" s="1767" t="s">
        <v>815</v>
      </c>
      <c r="B17" s="1774">
        <v>680</v>
      </c>
      <c r="C17" s="1774">
        <v>1120</v>
      </c>
      <c r="D17" s="1774">
        <v>900</v>
      </c>
      <c r="E17" s="1774">
        <v>650</v>
      </c>
      <c r="F17" s="1774">
        <v>1090</v>
      </c>
      <c r="G17" s="1774">
        <v>870</v>
      </c>
      <c r="H17" s="1774">
        <v>630</v>
      </c>
      <c r="I17" s="1774">
        <v>1070</v>
      </c>
      <c r="J17" s="1774">
        <v>850</v>
      </c>
      <c r="K17" s="1774">
        <v>280</v>
      </c>
      <c r="L17" s="1775">
        <v>420</v>
      </c>
      <c r="M17" s="1774">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workbookViewId="0">
      <selection activeCell="H34" sqref="H34"/>
    </sheetView>
  </sheetViews>
  <sheetFormatPr defaultRowHeight="13.5"/>
  <cols>
    <col min="1" max="1" width="29.25" style="1632" customWidth="1"/>
    <col min="2" max="2" width="6.25" style="1632" customWidth="1"/>
    <col min="3" max="3" width="13.875" style="1632" customWidth="1"/>
    <col min="4" max="4" width="6.25" style="1632" customWidth="1"/>
    <col min="5" max="5" width="5" style="1632" customWidth="1"/>
    <col min="6" max="6" width="24.5" style="1632" customWidth="1"/>
    <col min="7" max="7" width="25.25" style="1632" customWidth="1"/>
    <col min="8" max="9" width="13.875" style="1632" customWidth="1"/>
    <col min="10" max="10" width="7.875" style="1632" customWidth="1"/>
    <col min="11" max="11" width="12.375" style="1632" customWidth="1"/>
    <col min="12" max="12" width="28.25" style="1632" customWidth="1"/>
    <col min="13" max="13" width="10.625" style="1632" customWidth="1"/>
    <col min="14" max="14" width="8.875" style="1632" customWidth="1"/>
    <col min="15" max="15" width="10.5" style="1632" customWidth="1"/>
    <col min="16" max="16" width="6.25" style="1632" customWidth="1"/>
    <col min="17" max="17" width="24.5" style="1632" customWidth="1"/>
    <col min="18" max="18" width="7.625" style="1632" customWidth="1"/>
    <col min="19" max="229" width="9" style="1632"/>
    <col min="230" max="230" width="113.125" style="1632" customWidth="1"/>
    <col min="231" max="231" width="6.25" style="1632" customWidth="1"/>
    <col min="232" max="232" width="13.875" style="1632" customWidth="1"/>
    <col min="233" max="233" width="6.25" style="1632" customWidth="1"/>
    <col min="234" max="234" width="4.625" style="1632" customWidth="1"/>
    <col min="235" max="235" width="24.5" style="1632" customWidth="1"/>
    <col min="236" max="236" width="7.875" style="1632" customWidth="1"/>
    <col min="237" max="237" width="21.125" style="1632" customWidth="1"/>
    <col min="238" max="238" width="83.375" style="1632" customWidth="1"/>
    <col min="239" max="240" width="13.875" style="1632" customWidth="1"/>
    <col min="241" max="241" width="45.625" style="1632" customWidth="1"/>
    <col min="242" max="242" width="7.875" style="1632" customWidth="1"/>
    <col min="243" max="243" width="23.375" style="1632" customWidth="1"/>
    <col min="244" max="244" width="24" style="1632" customWidth="1"/>
    <col min="245" max="245" width="10" style="1632" customWidth="1"/>
    <col min="246" max="247" width="15.5" style="1632" customWidth="1"/>
    <col min="248" max="248" width="77.75" style="1632" customWidth="1"/>
    <col min="249" max="249" width="51.75" style="1632" customWidth="1"/>
    <col min="250" max="250" width="37.25" style="1632" customWidth="1"/>
    <col min="251" max="251" width="17.875" style="1632" customWidth="1"/>
    <col min="252" max="252" width="7.875" style="1632" customWidth="1"/>
    <col min="253" max="256" width="9" style="1632" customWidth="1"/>
    <col min="257" max="257" width="21.125" style="1632" customWidth="1"/>
    <col min="258" max="258" width="7.875" style="1632" customWidth="1"/>
    <col min="259" max="259" width="145" style="1632" customWidth="1"/>
    <col min="260" max="262" width="10.625" style="1632" customWidth="1"/>
    <col min="263" max="264" width="16" style="1632" customWidth="1"/>
    <col min="265" max="266" width="14.375" style="1632" customWidth="1"/>
    <col min="267" max="268" width="21.875" style="1632" customWidth="1"/>
    <col min="269" max="269" width="6.25" style="1632" customWidth="1"/>
    <col min="270" max="270" width="24.5" style="1632" customWidth="1"/>
    <col min="271" max="271" width="16.875" style="1632" customWidth="1"/>
    <col min="272" max="273" width="20.125" style="1632" customWidth="1"/>
    <col min="274" max="274" width="7.875" style="1632" customWidth="1"/>
    <col min="275" max="485" width="9" style="1632"/>
    <col min="486" max="486" width="113.125" style="1632" customWidth="1"/>
    <col min="487" max="487" width="6.25" style="1632" customWidth="1"/>
    <col min="488" max="488" width="13.875" style="1632" customWidth="1"/>
    <col min="489" max="489" width="6.25" style="1632" customWidth="1"/>
    <col min="490" max="490" width="4.625" style="1632" customWidth="1"/>
    <col min="491" max="491" width="24.5" style="1632" customWidth="1"/>
    <col min="492" max="492" width="7.875" style="1632" customWidth="1"/>
    <col min="493" max="493" width="21.125" style="1632" customWidth="1"/>
    <col min="494" max="494" width="83.375" style="1632" customWidth="1"/>
    <col min="495" max="496" width="13.875" style="1632" customWidth="1"/>
    <col min="497" max="497" width="45.625" style="1632" customWidth="1"/>
    <col min="498" max="498" width="7.875" style="1632" customWidth="1"/>
    <col min="499" max="499" width="23.375" style="1632" customWidth="1"/>
    <col min="500" max="500" width="24" style="1632" customWidth="1"/>
    <col min="501" max="501" width="10" style="1632" customWidth="1"/>
    <col min="502" max="503" width="15.5" style="1632" customWidth="1"/>
    <col min="504" max="504" width="77.75" style="1632" customWidth="1"/>
    <col min="505" max="505" width="51.75" style="1632" customWidth="1"/>
    <col min="506" max="506" width="37.25" style="1632" customWidth="1"/>
    <col min="507" max="507" width="17.875" style="1632" customWidth="1"/>
    <col min="508" max="508" width="7.875" style="1632" customWidth="1"/>
    <col min="509" max="512" width="9" style="1632" customWidth="1"/>
    <col min="513" max="513" width="21.125" style="1632" customWidth="1"/>
    <col min="514" max="514" width="7.875" style="1632" customWidth="1"/>
    <col min="515" max="515" width="145" style="1632" customWidth="1"/>
    <col min="516" max="518" width="10.625" style="1632" customWidth="1"/>
    <col min="519" max="520" width="16" style="1632" customWidth="1"/>
    <col min="521" max="522" width="14.375" style="1632" customWidth="1"/>
    <col min="523" max="524" width="21.875" style="1632" customWidth="1"/>
    <col min="525" max="525" width="6.25" style="1632" customWidth="1"/>
    <col min="526" max="526" width="24.5" style="1632" customWidth="1"/>
    <col min="527" max="527" width="16.875" style="1632" customWidth="1"/>
    <col min="528" max="529" width="20.125" style="1632" customWidth="1"/>
    <col min="530" max="530" width="7.875" style="1632" customWidth="1"/>
    <col min="531" max="741" width="9" style="1632"/>
    <col min="742" max="742" width="113.125" style="1632" customWidth="1"/>
    <col min="743" max="743" width="6.25" style="1632" customWidth="1"/>
    <col min="744" max="744" width="13.875" style="1632" customWidth="1"/>
    <col min="745" max="745" width="6.25" style="1632" customWidth="1"/>
    <col min="746" max="746" width="4.625" style="1632" customWidth="1"/>
    <col min="747" max="747" width="24.5" style="1632" customWidth="1"/>
    <col min="748" max="748" width="7.875" style="1632" customWidth="1"/>
    <col min="749" max="749" width="21.125" style="1632" customWidth="1"/>
    <col min="750" max="750" width="83.375" style="1632" customWidth="1"/>
    <col min="751" max="752" width="13.875" style="1632" customWidth="1"/>
    <col min="753" max="753" width="45.625" style="1632" customWidth="1"/>
    <col min="754" max="754" width="7.875" style="1632" customWidth="1"/>
    <col min="755" max="755" width="23.375" style="1632" customWidth="1"/>
    <col min="756" max="756" width="24" style="1632" customWidth="1"/>
    <col min="757" max="757" width="10" style="1632" customWidth="1"/>
    <col min="758" max="759" width="15.5" style="1632" customWidth="1"/>
    <col min="760" max="760" width="77.75" style="1632" customWidth="1"/>
    <col min="761" max="761" width="51.75" style="1632" customWidth="1"/>
    <col min="762" max="762" width="37.25" style="1632" customWidth="1"/>
    <col min="763" max="763" width="17.875" style="1632" customWidth="1"/>
    <col min="764" max="764" width="7.875" style="1632" customWidth="1"/>
    <col min="765" max="768" width="9" style="1632" customWidth="1"/>
    <col min="769" max="769" width="21.125" style="1632" customWidth="1"/>
    <col min="770" max="770" width="7.875" style="1632" customWidth="1"/>
    <col min="771" max="771" width="145" style="1632" customWidth="1"/>
    <col min="772" max="774" width="10.625" style="1632" customWidth="1"/>
    <col min="775" max="776" width="16" style="1632" customWidth="1"/>
    <col min="777" max="778" width="14.375" style="1632" customWidth="1"/>
    <col min="779" max="780" width="21.875" style="1632" customWidth="1"/>
    <col min="781" max="781" width="6.25" style="1632" customWidth="1"/>
    <col min="782" max="782" width="24.5" style="1632" customWidth="1"/>
    <col min="783" max="783" width="16.875" style="1632" customWidth="1"/>
    <col min="784" max="785" width="20.125" style="1632" customWidth="1"/>
    <col min="786" max="786" width="7.875" style="1632" customWidth="1"/>
    <col min="787" max="997" width="9" style="1632"/>
    <col min="998" max="998" width="113.125" style="1632" customWidth="1"/>
    <col min="999" max="999" width="6.25" style="1632" customWidth="1"/>
    <col min="1000" max="1000" width="13.875" style="1632" customWidth="1"/>
    <col min="1001" max="1001" width="6.25" style="1632" customWidth="1"/>
    <col min="1002" max="1002" width="4.625" style="1632" customWidth="1"/>
    <col min="1003" max="1003" width="24.5" style="1632" customWidth="1"/>
    <col min="1004" max="1004" width="7.875" style="1632" customWidth="1"/>
    <col min="1005" max="1005" width="21.125" style="1632" customWidth="1"/>
    <col min="1006" max="1006" width="83.375" style="1632" customWidth="1"/>
    <col min="1007" max="1008" width="13.875" style="1632" customWidth="1"/>
    <col min="1009" max="1009" width="45.625" style="1632" customWidth="1"/>
    <col min="1010" max="1010" width="7.875" style="1632" customWidth="1"/>
    <col min="1011" max="1011" width="23.375" style="1632" customWidth="1"/>
    <col min="1012" max="1012" width="24" style="1632" customWidth="1"/>
    <col min="1013" max="1013" width="10" style="1632" customWidth="1"/>
    <col min="1014" max="1015" width="15.5" style="1632" customWidth="1"/>
    <col min="1016" max="1016" width="77.75" style="1632" customWidth="1"/>
    <col min="1017" max="1017" width="51.75" style="1632" customWidth="1"/>
    <col min="1018" max="1018" width="37.25" style="1632" customWidth="1"/>
    <col min="1019" max="1019" width="17.875" style="1632" customWidth="1"/>
    <col min="1020" max="1020" width="7.875" style="1632" customWidth="1"/>
    <col min="1021" max="1024" width="9" style="1632" customWidth="1"/>
    <col min="1025" max="1025" width="21.125" style="1632" customWidth="1"/>
    <col min="1026" max="1026" width="7.875" style="1632" customWidth="1"/>
    <col min="1027" max="1027" width="145" style="1632" customWidth="1"/>
    <col min="1028" max="1030" width="10.625" style="1632" customWidth="1"/>
    <col min="1031" max="1032" width="16" style="1632" customWidth="1"/>
    <col min="1033" max="1034" width="14.375" style="1632" customWidth="1"/>
    <col min="1035" max="1036" width="21.875" style="1632" customWidth="1"/>
    <col min="1037" max="1037" width="6.25" style="1632" customWidth="1"/>
    <col min="1038" max="1038" width="24.5" style="1632" customWidth="1"/>
    <col min="1039" max="1039" width="16.875" style="1632" customWidth="1"/>
    <col min="1040" max="1041" width="20.125" style="1632" customWidth="1"/>
    <col min="1042" max="1042" width="7.875" style="1632" customWidth="1"/>
    <col min="1043" max="1253" width="9" style="1632"/>
    <col min="1254" max="1254" width="113.125" style="1632" customWidth="1"/>
    <col min="1255" max="1255" width="6.25" style="1632" customWidth="1"/>
    <col min="1256" max="1256" width="13.875" style="1632" customWidth="1"/>
    <col min="1257" max="1257" width="6.25" style="1632" customWidth="1"/>
    <col min="1258" max="1258" width="4.625" style="1632" customWidth="1"/>
    <col min="1259" max="1259" width="24.5" style="1632" customWidth="1"/>
    <col min="1260" max="1260" width="7.875" style="1632" customWidth="1"/>
    <col min="1261" max="1261" width="21.125" style="1632" customWidth="1"/>
    <col min="1262" max="1262" width="83.375" style="1632" customWidth="1"/>
    <col min="1263" max="1264" width="13.875" style="1632" customWidth="1"/>
    <col min="1265" max="1265" width="45.625" style="1632" customWidth="1"/>
    <col min="1266" max="1266" width="7.875" style="1632" customWidth="1"/>
    <col min="1267" max="1267" width="23.375" style="1632" customWidth="1"/>
    <col min="1268" max="1268" width="24" style="1632" customWidth="1"/>
    <col min="1269" max="1269" width="10" style="1632" customWidth="1"/>
    <col min="1270" max="1271" width="15.5" style="1632" customWidth="1"/>
    <col min="1272" max="1272" width="77.75" style="1632" customWidth="1"/>
    <col min="1273" max="1273" width="51.75" style="1632" customWidth="1"/>
    <col min="1274" max="1274" width="37.25" style="1632" customWidth="1"/>
    <col min="1275" max="1275" width="17.875" style="1632" customWidth="1"/>
    <col min="1276" max="1276" width="7.875" style="1632" customWidth="1"/>
    <col min="1277" max="1280" width="9" style="1632" customWidth="1"/>
    <col min="1281" max="1281" width="21.125" style="1632" customWidth="1"/>
    <col min="1282" max="1282" width="7.875" style="1632" customWidth="1"/>
    <col min="1283" max="1283" width="145" style="1632" customWidth="1"/>
    <col min="1284" max="1286" width="10.625" style="1632" customWidth="1"/>
    <col min="1287" max="1288" width="16" style="1632" customWidth="1"/>
    <col min="1289" max="1290" width="14.375" style="1632" customWidth="1"/>
    <col min="1291" max="1292" width="21.875" style="1632" customWidth="1"/>
    <col min="1293" max="1293" width="6.25" style="1632" customWidth="1"/>
    <col min="1294" max="1294" width="24.5" style="1632" customWidth="1"/>
    <col min="1295" max="1295" width="16.875" style="1632" customWidth="1"/>
    <col min="1296" max="1297" width="20.125" style="1632" customWidth="1"/>
    <col min="1298" max="1298" width="7.875" style="1632" customWidth="1"/>
    <col min="1299" max="1509" width="9" style="1632"/>
    <col min="1510" max="1510" width="113.125" style="1632" customWidth="1"/>
    <col min="1511" max="1511" width="6.25" style="1632" customWidth="1"/>
    <col min="1512" max="1512" width="13.875" style="1632" customWidth="1"/>
    <col min="1513" max="1513" width="6.25" style="1632" customWidth="1"/>
    <col min="1514" max="1514" width="4.625" style="1632" customWidth="1"/>
    <col min="1515" max="1515" width="24.5" style="1632" customWidth="1"/>
    <col min="1516" max="1516" width="7.875" style="1632" customWidth="1"/>
    <col min="1517" max="1517" width="21.125" style="1632" customWidth="1"/>
    <col min="1518" max="1518" width="83.375" style="1632" customWidth="1"/>
    <col min="1519" max="1520" width="13.875" style="1632" customWidth="1"/>
    <col min="1521" max="1521" width="45.625" style="1632" customWidth="1"/>
    <col min="1522" max="1522" width="7.875" style="1632" customWidth="1"/>
    <col min="1523" max="1523" width="23.375" style="1632" customWidth="1"/>
    <col min="1524" max="1524" width="24" style="1632" customWidth="1"/>
    <col min="1525" max="1525" width="10" style="1632" customWidth="1"/>
    <col min="1526" max="1527" width="15.5" style="1632" customWidth="1"/>
    <col min="1528" max="1528" width="77.75" style="1632" customWidth="1"/>
    <col min="1529" max="1529" width="51.75" style="1632" customWidth="1"/>
    <col min="1530" max="1530" width="37.25" style="1632" customWidth="1"/>
    <col min="1531" max="1531" width="17.875" style="1632" customWidth="1"/>
    <col min="1532" max="1532" width="7.875" style="1632" customWidth="1"/>
    <col min="1533" max="1536" width="9" style="1632" customWidth="1"/>
    <col min="1537" max="1537" width="21.125" style="1632" customWidth="1"/>
    <col min="1538" max="1538" width="7.875" style="1632" customWidth="1"/>
    <col min="1539" max="1539" width="145" style="1632" customWidth="1"/>
    <col min="1540" max="1542" width="10.625" style="1632" customWidth="1"/>
    <col min="1543" max="1544" width="16" style="1632" customWidth="1"/>
    <col min="1545" max="1546" width="14.375" style="1632" customWidth="1"/>
    <col min="1547" max="1548" width="21.875" style="1632" customWidth="1"/>
    <col min="1549" max="1549" width="6.25" style="1632" customWidth="1"/>
    <col min="1550" max="1550" width="24.5" style="1632" customWidth="1"/>
    <col min="1551" max="1551" width="16.875" style="1632" customWidth="1"/>
    <col min="1552" max="1553" width="20.125" style="1632" customWidth="1"/>
    <col min="1554" max="1554" width="7.875" style="1632" customWidth="1"/>
    <col min="1555" max="1765" width="9" style="1632"/>
    <col min="1766" max="1766" width="113.125" style="1632" customWidth="1"/>
    <col min="1767" max="1767" width="6.25" style="1632" customWidth="1"/>
    <col min="1768" max="1768" width="13.875" style="1632" customWidth="1"/>
    <col min="1769" max="1769" width="6.25" style="1632" customWidth="1"/>
    <col min="1770" max="1770" width="4.625" style="1632" customWidth="1"/>
    <col min="1771" max="1771" width="24.5" style="1632" customWidth="1"/>
    <col min="1772" max="1772" width="7.875" style="1632" customWidth="1"/>
    <col min="1773" max="1773" width="21.125" style="1632" customWidth="1"/>
    <col min="1774" max="1774" width="83.375" style="1632" customWidth="1"/>
    <col min="1775" max="1776" width="13.875" style="1632" customWidth="1"/>
    <col min="1777" max="1777" width="45.625" style="1632" customWidth="1"/>
    <col min="1778" max="1778" width="7.875" style="1632" customWidth="1"/>
    <col min="1779" max="1779" width="23.375" style="1632" customWidth="1"/>
    <col min="1780" max="1780" width="24" style="1632" customWidth="1"/>
    <col min="1781" max="1781" width="10" style="1632" customWidth="1"/>
    <col min="1782" max="1783" width="15.5" style="1632" customWidth="1"/>
    <col min="1784" max="1784" width="77.75" style="1632" customWidth="1"/>
    <col min="1785" max="1785" width="51.75" style="1632" customWidth="1"/>
    <col min="1786" max="1786" width="37.25" style="1632" customWidth="1"/>
    <col min="1787" max="1787" width="17.875" style="1632" customWidth="1"/>
    <col min="1788" max="1788" width="7.875" style="1632" customWidth="1"/>
    <col min="1789" max="1792" width="9" style="1632" customWidth="1"/>
    <col min="1793" max="1793" width="21.125" style="1632" customWidth="1"/>
    <col min="1794" max="1794" width="7.875" style="1632" customWidth="1"/>
    <col min="1795" max="1795" width="145" style="1632" customWidth="1"/>
    <col min="1796" max="1798" width="10.625" style="1632" customWidth="1"/>
    <col min="1799" max="1800" width="16" style="1632" customWidth="1"/>
    <col min="1801" max="1802" width="14.375" style="1632" customWidth="1"/>
    <col min="1803" max="1804" width="21.875" style="1632" customWidth="1"/>
    <col min="1805" max="1805" width="6.25" style="1632" customWidth="1"/>
    <col min="1806" max="1806" width="24.5" style="1632" customWidth="1"/>
    <col min="1807" max="1807" width="16.875" style="1632" customWidth="1"/>
    <col min="1808" max="1809" width="20.125" style="1632" customWidth="1"/>
    <col min="1810" max="1810" width="7.875" style="1632" customWidth="1"/>
    <col min="1811" max="2021" width="9" style="1632"/>
    <col min="2022" max="2022" width="113.125" style="1632" customWidth="1"/>
    <col min="2023" max="2023" width="6.25" style="1632" customWidth="1"/>
    <col min="2024" max="2024" width="13.875" style="1632" customWidth="1"/>
    <col min="2025" max="2025" width="6.25" style="1632" customWidth="1"/>
    <col min="2026" max="2026" width="4.625" style="1632" customWidth="1"/>
    <col min="2027" max="2027" width="24.5" style="1632" customWidth="1"/>
    <col min="2028" max="2028" width="7.875" style="1632" customWidth="1"/>
    <col min="2029" max="2029" width="21.125" style="1632" customWidth="1"/>
    <col min="2030" max="2030" width="83.375" style="1632" customWidth="1"/>
    <col min="2031" max="2032" width="13.875" style="1632" customWidth="1"/>
    <col min="2033" max="2033" width="45.625" style="1632" customWidth="1"/>
    <col min="2034" max="2034" width="7.875" style="1632" customWidth="1"/>
    <col min="2035" max="2035" width="23.375" style="1632" customWidth="1"/>
    <col min="2036" max="2036" width="24" style="1632" customWidth="1"/>
    <col min="2037" max="2037" width="10" style="1632" customWidth="1"/>
    <col min="2038" max="2039" width="15.5" style="1632" customWidth="1"/>
    <col min="2040" max="2040" width="77.75" style="1632" customWidth="1"/>
    <col min="2041" max="2041" width="51.75" style="1632" customWidth="1"/>
    <col min="2042" max="2042" width="37.25" style="1632" customWidth="1"/>
    <col min="2043" max="2043" width="17.875" style="1632" customWidth="1"/>
    <col min="2044" max="2044" width="7.875" style="1632" customWidth="1"/>
    <col min="2045" max="2048" width="9" style="1632" customWidth="1"/>
    <col min="2049" max="2049" width="21.125" style="1632" customWidth="1"/>
    <col min="2050" max="2050" width="7.875" style="1632" customWidth="1"/>
    <col min="2051" max="2051" width="145" style="1632" customWidth="1"/>
    <col min="2052" max="2054" width="10.625" style="1632" customWidth="1"/>
    <col min="2055" max="2056" width="16" style="1632" customWidth="1"/>
    <col min="2057" max="2058" width="14.375" style="1632" customWidth="1"/>
    <col min="2059" max="2060" width="21.875" style="1632" customWidth="1"/>
    <col min="2061" max="2061" width="6.25" style="1632" customWidth="1"/>
    <col min="2062" max="2062" width="24.5" style="1632" customWidth="1"/>
    <col min="2063" max="2063" width="16.875" style="1632" customWidth="1"/>
    <col min="2064" max="2065" width="20.125" style="1632" customWidth="1"/>
    <col min="2066" max="2066" width="7.875" style="1632" customWidth="1"/>
    <col min="2067" max="2277" width="9" style="1632"/>
    <col min="2278" max="2278" width="113.125" style="1632" customWidth="1"/>
    <col min="2279" max="2279" width="6.25" style="1632" customWidth="1"/>
    <col min="2280" max="2280" width="13.875" style="1632" customWidth="1"/>
    <col min="2281" max="2281" width="6.25" style="1632" customWidth="1"/>
    <col min="2282" max="2282" width="4.625" style="1632" customWidth="1"/>
    <col min="2283" max="2283" width="24.5" style="1632" customWidth="1"/>
    <col min="2284" max="2284" width="7.875" style="1632" customWidth="1"/>
    <col min="2285" max="2285" width="21.125" style="1632" customWidth="1"/>
    <col min="2286" max="2286" width="83.375" style="1632" customWidth="1"/>
    <col min="2287" max="2288" width="13.875" style="1632" customWidth="1"/>
    <col min="2289" max="2289" width="45.625" style="1632" customWidth="1"/>
    <col min="2290" max="2290" width="7.875" style="1632" customWidth="1"/>
    <col min="2291" max="2291" width="23.375" style="1632" customWidth="1"/>
    <col min="2292" max="2292" width="24" style="1632" customWidth="1"/>
    <col min="2293" max="2293" width="10" style="1632" customWidth="1"/>
    <col min="2294" max="2295" width="15.5" style="1632" customWidth="1"/>
    <col min="2296" max="2296" width="77.75" style="1632" customWidth="1"/>
    <col min="2297" max="2297" width="51.75" style="1632" customWidth="1"/>
    <col min="2298" max="2298" width="37.25" style="1632" customWidth="1"/>
    <col min="2299" max="2299" width="17.875" style="1632" customWidth="1"/>
    <col min="2300" max="2300" width="7.875" style="1632" customWidth="1"/>
    <col min="2301" max="2304" width="9" style="1632" customWidth="1"/>
    <col min="2305" max="2305" width="21.125" style="1632" customWidth="1"/>
    <col min="2306" max="2306" width="7.875" style="1632" customWidth="1"/>
    <col min="2307" max="2307" width="145" style="1632" customWidth="1"/>
    <col min="2308" max="2310" width="10.625" style="1632" customWidth="1"/>
    <col min="2311" max="2312" width="16" style="1632" customWidth="1"/>
    <col min="2313" max="2314" width="14.375" style="1632" customWidth="1"/>
    <col min="2315" max="2316" width="21.875" style="1632" customWidth="1"/>
    <col min="2317" max="2317" width="6.25" style="1632" customWidth="1"/>
    <col min="2318" max="2318" width="24.5" style="1632" customWidth="1"/>
    <col min="2319" max="2319" width="16.875" style="1632" customWidth="1"/>
    <col min="2320" max="2321" width="20.125" style="1632" customWidth="1"/>
    <col min="2322" max="2322" width="7.875" style="1632" customWidth="1"/>
    <col min="2323" max="2533" width="9" style="1632"/>
    <col min="2534" max="2534" width="113.125" style="1632" customWidth="1"/>
    <col min="2535" max="2535" width="6.25" style="1632" customWidth="1"/>
    <col min="2536" max="2536" width="13.875" style="1632" customWidth="1"/>
    <col min="2537" max="2537" width="6.25" style="1632" customWidth="1"/>
    <col min="2538" max="2538" width="4.625" style="1632" customWidth="1"/>
    <col min="2539" max="2539" width="24.5" style="1632" customWidth="1"/>
    <col min="2540" max="2540" width="7.875" style="1632" customWidth="1"/>
    <col min="2541" max="2541" width="21.125" style="1632" customWidth="1"/>
    <col min="2542" max="2542" width="83.375" style="1632" customWidth="1"/>
    <col min="2543" max="2544" width="13.875" style="1632" customWidth="1"/>
    <col min="2545" max="2545" width="45.625" style="1632" customWidth="1"/>
    <col min="2546" max="2546" width="7.875" style="1632" customWidth="1"/>
    <col min="2547" max="2547" width="23.375" style="1632" customWidth="1"/>
    <col min="2548" max="2548" width="24" style="1632" customWidth="1"/>
    <col min="2549" max="2549" width="10" style="1632" customWidth="1"/>
    <col min="2550" max="2551" width="15.5" style="1632" customWidth="1"/>
    <col min="2552" max="2552" width="77.75" style="1632" customWidth="1"/>
    <col min="2553" max="2553" width="51.75" style="1632" customWidth="1"/>
    <col min="2554" max="2554" width="37.25" style="1632" customWidth="1"/>
    <col min="2555" max="2555" width="17.875" style="1632" customWidth="1"/>
    <col min="2556" max="2556" width="7.875" style="1632" customWidth="1"/>
    <col min="2557" max="2560" width="9" style="1632" customWidth="1"/>
    <col min="2561" max="2561" width="21.125" style="1632" customWidth="1"/>
    <col min="2562" max="2562" width="7.875" style="1632" customWidth="1"/>
    <col min="2563" max="2563" width="145" style="1632" customWidth="1"/>
    <col min="2564" max="2566" width="10.625" style="1632" customWidth="1"/>
    <col min="2567" max="2568" width="16" style="1632" customWidth="1"/>
    <col min="2569" max="2570" width="14.375" style="1632" customWidth="1"/>
    <col min="2571" max="2572" width="21.875" style="1632" customWidth="1"/>
    <col min="2573" max="2573" width="6.25" style="1632" customWidth="1"/>
    <col min="2574" max="2574" width="24.5" style="1632" customWidth="1"/>
    <col min="2575" max="2575" width="16.875" style="1632" customWidth="1"/>
    <col min="2576" max="2577" width="20.125" style="1632" customWidth="1"/>
    <col min="2578" max="2578" width="7.875" style="1632" customWidth="1"/>
    <col min="2579" max="2789" width="9" style="1632"/>
    <col min="2790" max="2790" width="113.125" style="1632" customWidth="1"/>
    <col min="2791" max="2791" width="6.25" style="1632" customWidth="1"/>
    <col min="2792" max="2792" width="13.875" style="1632" customWidth="1"/>
    <col min="2793" max="2793" width="6.25" style="1632" customWidth="1"/>
    <col min="2794" max="2794" width="4.625" style="1632" customWidth="1"/>
    <col min="2795" max="2795" width="24.5" style="1632" customWidth="1"/>
    <col min="2796" max="2796" width="7.875" style="1632" customWidth="1"/>
    <col min="2797" max="2797" width="21.125" style="1632" customWidth="1"/>
    <col min="2798" max="2798" width="83.375" style="1632" customWidth="1"/>
    <col min="2799" max="2800" width="13.875" style="1632" customWidth="1"/>
    <col min="2801" max="2801" width="45.625" style="1632" customWidth="1"/>
    <col min="2802" max="2802" width="7.875" style="1632" customWidth="1"/>
    <col min="2803" max="2803" width="23.375" style="1632" customWidth="1"/>
    <col min="2804" max="2804" width="24" style="1632" customWidth="1"/>
    <col min="2805" max="2805" width="10" style="1632" customWidth="1"/>
    <col min="2806" max="2807" width="15.5" style="1632" customWidth="1"/>
    <col min="2808" max="2808" width="77.75" style="1632" customWidth="1"/>
    <col min="2809" max="2809" width="51.75" style="1632" customWidth="1"/>
    <col min="2810" max="2810" width="37.25" style="1632" customWidth="1"/>
    <col min="2811" max="2811" width="17.875" style="1632" customWidth="1"/>
    <col min="2812" max="2812" width="7.875" style="1632" customWidth="1"/>
    <col min="2813" max="2816" width="9" style="1632" customWidth="1"/>
    <col min="2817" max="2817" width="21.125" style="1632" customWidth="1"/>
    <col min="2818" max="2818" width="7.875" style="1632" customWidth="1"/>
    <col min="2819" max="2819" width="145" style="1632" customWidth="1"/>
    <col min="2820" max="2822" width="10.625" style="1632" customWidth="1"/>
    <col min="2823" max="2824" width="16" style="1632" customWidth="1"/>
    <col min="2825" max="2826" width="14.375" style="1632" customWidth="1"/>
    <col min="2827" max="2828" width="21.875" style="1632" customWidth="1"/>
    <col min="2829" max="2829" width="6.25" style="1632" customWidth="1"/>
    <col min="2830" max="2830" width="24.5" style="1632" customWidth="1"/>
    <col min="2831" max="2831" width="16.875" style="1632" customWidth="1"/>
    <col min="2832" max="2833" width="20.125" style="1632" customWidth="1"/>
    <col min="2834" max="2834" width="7.875" style="1632" customWidth="1"/>
    <col min="2835" max="3045" width="9" style="1632"/>
    <col min="3046" max="3046" width="113.125" style="1632" customWidth="1"/>
    <col min="3047" max="3047" width="6.25" style="1632" customWidth="1"/>
    <col min="3048" max="3048" width="13.875" style="1632" customWidth="1"/>
    <col min="3049" max="3049" width="6.25" style="1632" customWidth="1"/>
    <col min="3050" max="3050" width="4.625" style="1632" customWidth="1"/>
    <col min="3051" max="3051" width="24.5" style="1632" customWidth="1"/>
    <col min="3052" max="3052" width="7.875" style="1632" customWidth="1"/>
    <col min="3053" max="3053" width="21.125" style="1632" customWidth="1"/>
    <col min="3054" max="3054" width="83.375" style="1632" customWidth="1"/>
    <col min="3055" max="3056" width="13.875" style="1632" customWidth="1"/>
    <col min="3057" max="3057" width="45.625" style="1632" customWidth="1"/>
    <col min="3058" max="3058" width="7.875" style="1632" customWidth="1"/>
    <col min="3059" max="3059" width="23.375" style="1632" customWidth="1"/>
    <col min="3060" max="3060" width="24" style="1632" customWidth="1"/>
    <col min="3061" max="3061" width="10" style="1632" customWidth="1"/>
    <col min="3062" max="3063" width="15.5" style="1632" customWidth="1"/>
    <col min="3064" max="3064" width="77.75" style="1632" customWidth="1"/>
    <col min="3065" max="3065" width="51.75" style="1632" customWidth="1"/>
    <col min="3066" max="3066" width="37.25" style="1632" customWidth="1"/>
    <col min="3067" max="3067" width="17.875" style="1632" customWidth="1"/>
    <col min="3068" max="3068" width="7.875" style="1632" customWidth="1"/>
    <col min="3069" max="3072" width="9" style="1632" customWidth="1"/>
    <col min="3073" max="3073" width="21.125" style="1632" customWidth="1"/>
    <col min="3074" max="3074" width="7.875" style="1632" customWidth="1"/>
    <col min="3075" max="3075" width="145" style="1632" customWidth="1"/>
    <col min="3076" max="3078" width="10.625" style="1632" customWidth="1"/>
    <col min="3079" max="3080" width="16" style="1632" customWidth="1"/>
    <col min="3081" max="3082" width="14.375" style="1632" customWidth="1"/>
    <col min="3083" max="3084" width="21.875" style="1632" customWidth="1"/>
    <col min="3085" max="3085" width="6.25" style="1632" customWidth="1"/>
    <col min="3086" max="3086" width="24.5" style="1632" customWidth="1"/>
    <col min="3087" max="3087" width="16.875" style="1632" customWidth="1"/>
    <col min="3088" max="3089" width="20.125" style="1632" customWidth="1"/>
    <col min="3090" max="3090" width="7.875" style="1632" customWidth="1"/>
    <col min="3091" max="3301" width="9" style="1632"/>
    <col min="3302" max="3302" width="113.125" style="1632" customWidth="1"/>
    <col min="3303" max="3303" width="6.25" style="1632" customWidth="1"/>
    <col min="3304" max="3304" width="13.875" style="1632" customWidth="1"/>
    <col min="3305" max="3305" width="6.25" style="1632" customWidth="1"/>
    <col min="3306" max="3306" width="4.625" style="1632" customWidth="1"/>
    <col min="3307" max="3307" width="24.5" style="1632" customWidth="1"/>
    <col min="3308" max="3308" width="7.875" style="1632" customWidth="1"/>
    <col min="3309" max="3309" width="21.125" style="1632" customWidth="1"/>
    <col min="3310" max="3310" width="83.375" style="1632" customWidth="1"/>
    <col min="3311" max="3312" width="13.875" style="1632" customWidth="1"/>
    <col min="3313" max="3313" width="45.625" style="1632" customWidth="1"/>
    <col min="3314" max="3314" width="7.875" style="1632" customWidth="1"/>
    <col min="3315" max="3315" width="23.375" style="1632" customWidth="1"/>
    <col min="3316" max="3316" width="24" style="1632" customWidth="1"/>
    <col min="3317" max="3317" width="10" style="1632" customWidth="1"/>
    <col min="3318" max="3319" width="15.5" style="1632" customWidth="1"/>
    <col min="3320" max="3320" width="77.75" style="1632" customWidth="1"/>
    <col min="3321" max="3321" width="51.75" style="1632" customWidth="1"/>
    <col min="3322" max="3322" width="37.25" style="1632" customWidth="1"/>
    <col min="3323" max="3323" width="17.875" style="1632" customWidth="1"/>
    <col min="3324" max="3324" width="7.875" style="1632" customWidth="1"/>
    <col min="3325" max="3328" width="9" style="1632" customWidth="1"/>
    <col min="3329" max="3329" width="21.125" style="1632" customWidth="1"/>
    <col min="3330" max="3330" width="7.875" style="1632" customWidth="1"/>
    <col min="3331" max="3331" width="145" style="1632" customWidth="1"/>
    <col min="3332" max="3334" width="10.625" style="1632" customWidth="1"/>
    <col min="3335" max="3336" width="16" style="1632" customWidth="1"/>
    <col min="3337" max="3338" width="14.375" style="1632" customWidth="1"/>
    <col min="3339" max="3340" width="21.875" style="1632" customWidth="1"/>
    <col min="3341" max="3341" width="6.25" style="1632" customWidth="1"/>
    <col min="3342" max="3342" width="24.5" style="1632" customWidth="1"/>
    <col min="3343" max="3343" width="16.875" style="1632" customWidth="1"/>
    <col min="3344" max="3345" width="20.125" style="1632" customWidth="1"/>
    <col min="3346" max="3346" width="7.875" style="1632" customWidth="1"/>
    <col min="3347" max="3557" width="9" style="1632"/>
    <col min="3558" max="3558" width="113.125" style="1632" customWidth="1"/>
    <col min="3559" max="3559" width="6.25" style="1632" customWidth="1"/>
    <col min="3560" max="3560" width="13.875" style="1632" customWidth="1"/>
    <col min="3561" max="3561" width="6.25" style="1632" customWidth="1"/>
    <col min="3562" max="3562" width="4.625" style="1632" customWidth="1"/>
    <col min="3563" max="3563" width="24.5" style="1632" customWidth="1"/>
    <col min="3564" max="3564" width="7.875" style="1632" customWidth="1"/>
    <col min="3565" max="3565" width="21.125" style="1632" customWidth="1"/>
    <col min="3566" max="3566" width="83.375" style="1632" customWidth="1"/>
    <col min="3567" max="3568" width="13.875" style="1632" customWidth="1"/>
    <col min="3569" max="3569" width="45.625" style="1632" customWidth="1"/>
    <col min="3570" max="3570" width="7.875" style="1632" customWidth="1"/>
    <col min="3571" max="3571" width="23.375" style="1632" customWidth="1"/>
    <col min="3572" max="3572" width="24" style="1632" customWidth="1"/>
    <col min="3573" max="3573" width="10" style="1632" customWidth="1"/>
    <col min="3574" max="3575" width="15.5" style="1632" customWidth="1"/>
    <col min="3576" max="3576" width="77.75" style="1632" customWidth="1"/>
    <col min="3577" max="3577" width="51.75" style="1632" customWidth="1"/>
    <col min="3578" max="3578" width="37.25" style="1632" customWidth="1"/>
    <col min="3579" max="3579" width="17.875" style="1632" customWidth="1"/>
    <col min="3580" max="3580" width="7.875" style="1632" customWidth="1"/>
    <col min="3581" max="3584" width="9" style="1632" customWidth="1"/>
    <col min="3585" max="3585" width="21.125" style="1632" customWidth="1"/>
    <col min="3586" max="3586" width="7.875" style="1632" customWidth="1"/>
    <col min="3587" max="3587" width="145" style="1632" customWidth="1"/>
    <col min="3588" max="3590" width="10.625" style="1632" customWidth="1"/>
    <col min="3591" max="3592" width="16" style="1632" customWidth="1"/>
    <col min="3593" max="3594" width="14.375" style="1632" customWidth="1"/>
    <col min="3595" max="3596" width="21.875" style="1632" customWidth="1"/>
    <col min="3597" max="3597" width="6.25" style="1632" customWidth="1"/>
    <col min="3598" max="3598" width="24.5" style="1632" customWidth="1"/>
    <col min="3599" max="3599" width="16.875" style="1632" customWidth="1"/>
    <col min="3600" max="3601" width="20.125" style="1632" customWidth="1"/>
    <col min="3602" max="3602" width="7.875" style="1632" customWidth="1"/>
    <col min="3603" max="3813" width="9" style="1632"/>
    <col min="3814" max="3814" width="113.125" style="1632" customWidth="1"/>
    <col min="3815" max="3815" width="6.25" style="1632" customWidth="1"/>
    <col min="3816" max="3816" width="13.875" style="1632" customWidth="1"/>
    <col min="3817" max="3817" width="6.25" style="1632" customWidth="1"/>
    <col min="3818" max="3818" width="4.625" style="1632" customWidth="1"/>
    <col min="3819" max="3819" width="24.5" style="1632" customWidth="1"/>
    <col min="3820" max="3820" width="7.875" style="1632" customWidth="1"/>
    <col min="3821" max="3821" width="21.125" style="1632" customWidth="1"/>
    <col min="3822" max="3822" width="83.375" style="1632" customWidth="1"/>
    <col min="3823" max="3824" width="13.875" style="1632" customWidth="1"/>
    <col min="3825" max="3825" width="45.625" style="1632" customWidth="1"/>
    <col min="3826" max="3826" width="7.875" style="1632" customWidth="1"/>
    <col min="3827" max="3827" width="23.375" style="1632" customWidth="1"/>
    <col min="3828" max="3828" width="24" style="1632" customWidth="1"/>
    <col min="3829" max="3829" width="10" style="1632" customWidth="1"/>
    <col min="3830" max="3831" width="15.5" style="1632" customWidth="1"/>
    <col min="3832" max="3832" width="77.75" style="1632" customWidth="1"/>
    <col min="3833" max="3833" width="51.75" style="1632" customWidth="1"/>
    <col min="3834" max="3834" width="37.25" style="1632" customWidth="1"/>
    <col min="3835" max="3835" width="17.875" style="1632" customWidth="1"/>
    <col min="3836" max="3836" width="7.875" style="1632" customWidth="1"/>
    <col min="3837" max="3840" width="9" style="1632" customWidth="1"/>
    <col min="3841" max="3841" width="21.125" style="1632" customWidth="1"/>
    <col min="3842" max="3842" width="7.875" style="1632" customWidth="1"/>
    <col min="3843" max="3843" width="145" style="1632" customWidth="1"/>
    <col min="3844" max="3846" width="10.625" style="1632" customWidth="1"/>
    <col min="3847" max="3848" width="16" style="1632" customWidth="1"/>
    <col min="3849" max="3850" width="14.375" style="1632" customWidth="1"/>
    <col min="3851" max="3852" width="21.875" style="1632" customWidth="1"/>
    <col min="3853" max="3853" width="6.25" style="1632" customWidth="1"/>
    <col min="3854" max="3854" width="24.5" style="1632" customWidth="1"/>
    <col min="3855" max="3855" width="16.875" style="1632" customWidth="1"/>
    <col min="3856" max="3857" width="20.125" style="1632" customWidth="1"/>
    <col min="3858" max="3858" width="7.875" style="1632" customWidth="1"/>
    <col min="3859" max="4069" width="9" style="1632"/>
    <col min="4070" max="4070" width="113.125" style="1632" customWidth="1"/>
    <col min="4071" max="4071" width="6.25" style="1632" customWidth="1"/>
    <col min="4072" max="4072" width="13.875" style="1632" customWidth="1"/>
    <col min="4073" max="4073" width="6.25" style="1632" customWidth="1"/>
    <col min="4074" max="4074" width="4.625" style="1632" customWidth="1"/>
    <col min="4075" max="4075" width="24.5" style="1632" customWidth="1"/>
    <col min="4076" max="4076" width="7.875" style="1632" customWidth="1"/>
    <col min="4077" max="4077" width="21.125" style="1632" customWidth="1"/>
    <col min="4078" max="4078" width="83.375" style="1632" customWidth="1"/>
    <col min="4079" max="4080" width="13.875" style="1632" customWidth="1"/>
    <col min="4081" max="4081" width="45.625" style="1632" customWidth="1"/>
    <col min="4082" max="4082" width="7.875" style="1632" customWidth="1"/>
    <col min="4083" max="4083" width="23.375" style="1632" customWidth="1"/>
    <col min="4084" max="4084" width="24" style="1632" customWidth="1"/>
    <col min="4085" max="4085" width="10" style="1632" customWidth="1"/>
    <col min="4086" max="4087" width="15.5" style="1632" customWidth="1"/>
    <col min="4088" max="4088" width="77.75" style="1632" customWidth="1"/>
    <col min="4089" max="4089" width="51.75" style="1632" customWidth="1"/>
    <col min="4090" max="4090" width="37.25" style="1632" customWidth="1"/>
    <col min="4091" max="4091" width="17.875" style="1632" customWidth="1"/>
    <col min="4092" max="4092" width="7.875" style="1632" customWidth="1"/>
    <col min="4093" max="4096" width="9" style="1632" customWidth="1"/>
    <col min="4097" max="4097" width="21.125" style="1632" customWidth="1"/>
    <col min="4098" max="4098" width="7.875" style="1632" customWidth="1"/>
    <col min="4099" max="4099" width="145" style="1632" customWidth="1"/>
    <col min="4100" max="4102" width="10.625" style="1632" customWidth="1"/>
    <col min="4103" max="4104" width="16" style="1632" customWidth="1"/>
    <col min="4105" max="4106" width="14.375" style="1632" customWidth="1"/>
    <col min="4107" max="4108" width="21.875" style="1632" customWidth="1"/>
    <col min="4109" max="4109" width="6.25" style="1632" customWidth="1"/>
    <col min="4110" max="4110" width="24.5" style="1632" customWidth="1"/>
    <col min="4111" max="4111" width="16.875" style="1632" customWidth="1"/>
    <col min="4112" max="4113" width="20.125" style="1632" customWidth="1"/>
    <col min="4114" max="4114" width="7.875" style="1632" customWidth="1"/>
    <col min="4115" max="4325" width="9" style="1632"/>
    <col min="4326" max="4326" width="113.125" style="1632" customWidth="1"/>
    <col min="4327" max="4327" width="6.25" style="1632" customWidth="1"/>
    <col min="4328" max="4328" width="13.875" style="1632" customWidth="1"/>
    <col min="4329" max="4329" width="6.25" style="1632" customWidth="1"/>
    <col min="4330" max="4330" width="4.625" style="1632" customWidth="1"/>
    <col min="4331" max="4331" width="24.5" style="1632" customWidth="1"/>
    <col min="4332" max="4332" width="7.875" style="1632" customWidth="1"/>
    <col min="4333" max="4333" width="21.125" style="1632" customWidth="1"/>
    <col min="4334" max="4334" width="83.375" style="1632" customWidth="1"/>
    <col min="4335" max="4336" width="13.875" style="1632" customWidth="1"/>
    <col min="4337" max="4337" width="45.625" style="1632" customWidth="1"/>
    <col min="4338" max="4338" width="7.875" style="1632" customWidth="1"/>
    <col min="4339" max="4339" width="23.375" style="1632" customWidth="1"/>
    <col min="4340" max="4340" width="24" style="1632" customWidth="1"/>
    <col min="4341" max="4341" width="10" style="1632" customWidth="1"/>
    <col min="4342" max="4343" width="15.5" style="1632" customWidth="1"/>
    <col min="4344" max="4344" width="77.75" style="1632" customWidth="1"/>
    <col min="4345" max="4345" width="51.75" style="1632" customWidth="1"/>
    <col min="4346" max="4346" width="37.25" style="1632" customWidth="1"/>
    <col min="4347" max="4347" width="17.875" style="1632" customWidth="1"/>
    <col min="4348" max="4348" width="7.875" style="1632" customWidth="1"/>
    <col min="4349" max="4352" width="9" style="1632" customWidth="1"/>
    <col min="4353" max="4353" width="21.125" style="1632" customWidth="1"/>
    <col min="4354" max="4354" width="7.875" style="1632" customWidth="1"/>
    <col min="4355" max="4355" width="145" style="1632" customWidth="1"/>
    <col min="4356" max="4358" width="10.625" style="1632" customWidth="1"/>
    <col min="4359" max="4360" width="16" style="1632" customWidth="1"/>
    <col min="4361" max="4362" width="14.375" style="1632" customWidth="1"/>
    <col min="4363" max="4364" width="21.875" style="1632" customWidth="1"/>
    <col min="4365" max="4365" width="6.25" style="1632" customWidth="1"/>
    <col min="4366" max="4366" width="24.5" style="1632" customWidth="1"/>
    <col min="4367" max="4367" width="16.875" style="1632" customWidth="1"/>
    <col min="4368" max="4369" width="20.125" style="1632" customWidth="1"/>
    <col min="4370" max="4370" width="7.875" style="1632" customWidth="1"/>
    <col min="4371" max="4581" width="9" style="1632"/>
    <col min="4582" max="4582" width="113.125" style="1632" customWidth="1"/>
    <col min="4583" max="4583" width="6.25" style="1632" customWidth="1"/>
    <col min="4584" max="4584" width="13.875" style="1632" customWidth="1"/>
    <col min="4585" max="4585" width="6.25" style="1632" customWidth="1"/>
    <col min="4586" max="4586" width="4.625" style="1632" customWidth="1"/>
    <col min="4587" max="4587" width="24.5" style="1632" customWidth="1"/>
    <col min="4588" max="4588" width="7.875" style="1632" customWidth="1"/>
    <col min="4589" max="4589" width="21.125" style="1632" customWidth="1"/>
    <col min="4590" max="4590" width="83.375" style="1632" customWidth="1"/>
    <col min="4591" max="4592" width="13.875" style="1632" customWidth="1"/>
    <col min="4593" max="4593" width="45.625" style="1632" customWidth="1"/>
    <col min="4594" max="4594" width="7.875" style="1632" customWidth="1"/>
    <col min="4595" max="4595" width="23.375" style="1632" customWidth="1"/>
    <col min="4596" max="4596" width="24" style="1632" customWidth="1"/>
    <col min="4597" max="4597" width="10" style="1632" customWidth="1"/>
    <col min="4598" max="4599" width="15.5" style="1632" customWidth="1"/>
    <col min="4600" max="4600" width="77.75" style="1632" customWidth="1"/>
    <col min="4601" max="4601" width="51.75" style="1632" customWidth="1"/>
    <col min="4602" max="4602" width="37.25" style="1632" customWidth="1"/>
    <col min="4603" max="4603" width="17.875" style="1632" customWidth="1"/>
    <col min="4604" max="4604" width="7.875" style="1632" customWidth="1"/>
    <col min="4605" max="4608" width="9" style="1632" customWidth="1"/>
    <col min="4609" max="4609" width="21.125" style="1632" customWidth="1"/>
    <col min="4610" max="4610" width="7.875" style="1632" customWidth="1"/>
    <col min="4611" max="4611" width="145" style="1632" customWidth="1"/>
    <col min="4612" max="4614" width="10.625" style="1632" customWidth="1"/>
    <col min="4615" max="4616" width="16" style="1632" customWidth="1"/>
    <col min="4617" max="4618" width="14.375" style="1632" customWidth="1"/>
    <col min="4619" max="4620" width="21.875" style="1632" customWidth="1"/>
    <col min="4621" max="4621" width="6.25" style="1632" customWidth="1"/>
    <col min="4622" max="4622" width="24.5" style="1632" customWidth="1"/>
    <col min="4623" max="4623" width="16.875" style="1632" customWidth="1"/>
    <col min="4624" max="4625" width="20.125" style="1632" customWidth="1"/>
    <col min="4626" max="4626" width="7.875" style="1632" customWidth="1"/>
    <col min="4627" max="4837" width="9" style="1632"/>
    <col min="4838" max="4838" width="113.125" style="1632" customWidth="1"/>
    <col min="4839" max="4839" width="6.25" style="1632" customWidth="1"/>
    <col min="4840" max="4840" width="13.875" style="1632" customWidth="1"/>
    <col min="4841" max="4841" width="6.25" style="1632" customWidth="1"/>
    <col min="4842" max="4842" width="4.625" style="1632" customWidth="1"/>
    <col min="4843" max="4843" width="24.5" style="1632" customWidth="1"/>
    <col min="4844" max="4844" width="7.875" style="1632" customWidth="1"/>
    <col min="4845" max="4845" width="21.125" style="1632" customWidth="1"/>
    <col min="4846" max="4846" width="83.375" style="1632" customWidth="1"/>
    <col min="4847" max="4848" width="13.875" style="1632" customWidth="1"/>
    <col min="4849" max="4849" width="45.625" style="1632" customWidth="1"/>
    <col min="4850" max="4850" width="7.875" style="1632" customWidth="1"/>
    <col min="4851" max="4851" width="23.375" style="1632" customWidth="1"/>
    <col min="4852" max="4852" width="24" style="1632" customWidth="1"/>
    <col min="4853" max="4853" width="10" style="1632" customWidth="1"/>
    <col min="4854" max="4855" width="15.5" style="1632" customWidth="1"/>
    <col min="4856" max="4856" width="77.75" style="1632" customWidth="1"/>
    <col min="4857" max="4857" width="51.75" style="1632" customWidth="1"/>
    <col min="4858" max="4858" width="37.25" style="1632" customWidth="1"/>
    <col min="4859" max="4859" width="17.875" style="1632" customWidth="1"/>
    <col min="4860" max="4860" width="7.875" style="1632" customWidth="1"/>
    <col min="4861" max="4864" width="9" style="1632" customWidth="1"/>
    <col min="4865" max="4865" width="21.125" style="1632" customWidth="1"/>
    <col min="4866" max="4866" width="7.875" style="1632" customWidth="1"/>
    <col min="4867" max="4867" width="145" style="1632" customWidth="1"/>
    <col min="4868" max="4870" width="10.625" style="1632" customWidth="1"/>
    <col min="4871" max="4872" width="16" style="1632" customWidth="1"/>
    <col min="4873" max="4874" width="14.375" style="1632" customWidth="1"/>
    <col min="4875" max="4876" width="21.875" style="1632" customWidth="1"/>
    <col min="4877" max="4877" width="6.25" style="1632" customWidth="1"/>
    <col min="4878" max="4878" width="24.5" style="1632" customWidth="1"/>
    <col min="4879" max="4879" width="16.875" style="1632" customWidth="1"/>
    <col min="4880" max="4881" width="20.125" style="1632" customWidth="1"/>
    <col min="4882" max="4882" width="7.875" style="1632" customWidth="1"/>
    <col min="4883" max="5093" width="9" style="1632"/>
    <col min="5094" max="5094" width="113.125" style="1632" customWidth="1"/>
    <col min="5095" max="5095" width="6.25" style="1632" customWidth="1"/>
    <col min="5096" max="5096" width="13.875" style="1632" customWidth="1"/>
    <col min="5097" max="5097" width="6.25" style="1632" customWidth="1"/>
    <col min="5098" max="5098" width="4.625" style="1632" customWidth="1"/>
    <col min="5099" max="5099" width="24.5" style="1632" customWidth="1"/>
    <col min="5100" max="5100" width="7.875" style="1632" customWidth="1"/>
    <col min="5101" max="5101" width="21.125" style="1632" customWidth="1"/>
    <col min="5102" max="5102" width="83.375" style="1632" customWidth="1"/>
    <col min="5103" max="5104" width="13.875" style="1632" customWidth="1"/>
    <col min="5105" max="5105" width="45.625" style="1632" customWidth="1"/>
    <col min="5106" max="5106" width="7.875" style="1632" customWidth="1"/>
    <col min="5107" max="5107" width="23.375" style="1632" customWidth="1"/>
    <col min="5108" max="5108" width="24" style="1632" customWidth="1"/>
    <col min="5109" max="5109" width="10" style="1632" customWidth="1"/>
    <col min="5110" max="5111" width="15.5" style="1632" customWidth="1"/>
    <col min="5112" max="5112" width="77.75" style="1632" customWidth="1"/>
    <col min="5113" max="5113" width="51.75" style="1632" customWidth="1"/>
    <col min="5114" max="5114" width="37.25" style="1632" customWidth="1"/>
    <col min="5115" max="5115" width="17.875" style="1632" customWidth="1"/>
    <col min="5116" max="5116" width="7.875" style="1632" customWidth="1"/>
    <col min="5117" max="5120" width="9" style="1632" customWidth="1"/>
    <col min="5121" max="5121" width="21.125" style="1632" customWidth="1"/>
    <col min="5122" max="5122" width="7.875" style="1632" customWidth="1"/>
    <col min="5123" max="5123" width="145" style="1632" customWidth="1"/>
    <col min="5124" max="5126" width="10.625" style="1632" customWidth="1"/>
    <col min="5127" max="5128" width="16" style="1632" customWidth="1"/>
    <col min="5129" max="5130" width="14.375" style="1632" customWidth="1"/>
    <col min="5131" max="5132" width="21.875" style="1632" customWidth="1"/>
    <col min="5133" max="5133" width="6.25" style="1632" customWidth="1"/>
    <col min="5134" max="5134" width="24.5" style="1632" customWidth="1"/>
    <col min="5135" max="5135" width="16.875" style="1632" customWidth="1"/>
    <col min="5136" max="5137" width="20.125" style="1632" customWidth="1"/>
    <col min="5138" max="5138" width="7.875" style="1632" customWidth="1"/>
    <col min="5139" max="5349" width="9" style="1632"/>
    <col min="5350" max="5350" width="113.125" style="1632" customWidth="1"/>
    <col min="5351" max="5351" width="6.25" style="1632" customWidth="1"/>
    <col min="5352" max="5352" width="13.875" style="1632" customWidth="1"/>
    <col min="5353" max="5353" width="6.25" style="1632" customWidth="1"/>
    <col min="5354" max="5354" width="4.625" style="1632" customWidth="1"/>
    <col min="5355" max="5355" width="24.5" style="1632" customWidth="1"/>
    <col min="5356" max="5356" width="7.875" style="1632" customWidth="1"/>
    <col min="5357" max="5357" width="21.125" style="1632" customWidth="1"/>
    <col min="5358" max="5358" width="83.375" style="1632" customWidth="1"/>
    <col min="5359" max="5360" width="13.875" style="1632" customWidth="1"/>
    <col min="5361" max="5361" width="45.625" style="1632" customWidth="1"/>
    <col min="5362" max="5362" width="7.875" style="1632" customWidth="1"/>
    <col min="5363" max="5363" width="23.375" style="1632" customWidth="1"/>
    <col min="5364" max="5364" width="24" style="1632" customWidth="1"/>
    <col min="5365" max="5365" width="10" style="1632" customWidth="1"/>
    <col min="5366" max="5367" width="15.5" style="1632" customWidth="1"/>
    <col min="5368" max="5368" width="77.75" style="1632" customWidth="1"/>
    <col min="5369" max="5369" width="51.75" style="1632" customWidth="1"/>
    <col min="5370" max="5370" width="37.25" style="1632" customWidth="1"/>
    <col min="5371" max="5371" width="17.875" style="1632" customWidth="1"/>
    <col min="5372" max="5372" width="7.875" style="1632" customWidth="1"/>
    <col min="5373" max="5376" width="9" style="1632" customWidth="1"/>
    <col min="5377" max="5377" width="21.125" style="1632" customWidth="1"/>
    <col min="5378" max="5378" width="7.875" style="1632" customWidth="1"/>
    <col min="5379" max="5379" width="145" style="1632" customWidth="1"/>
    <col min="5380" max="5382" width="10.625" style="1632" customWidth="1"/>
    <col min="5383" max="5384" width="16" style="1632" customWidth="1"/>
    <col min="5385" max="5386" width="14.375" style="1632" customWidth="1"/>
    <col min="5387" max="5388" width="21.875" style="1632" customWidth="1"/>
    <col min="5389" max="5389" width="6.25" style="1632" customWidth="1"/>
    <col min="5390" max="5390" width="24.5" style="1632" customWidth="1"/>
    <col min="5391" max="5391" width="16.875" style="1632" customWidth="1"/>
    <col min="5392" max="5393" width="20.125" style="1632" customWidth="1"/>
    <col min="5394" max="5394" width="7.875" style="1632" customWidth="1"/>
    <col min="5395" max="5605" width="9" style="1632"/>
    <col min="5606" max="5606" width="113.125" style="1632" customWidth="1"/>
    <col min="5607" max="5607" width="6.25" style="1632" customWidth="1"/>
    <col min="5608" max="5608" width="13.875" style="1632" customWidth="1"/>
    <col min="5609" max="5609" width="6.25" style="1632" customWidth="1"/>
    <col min="5610" max="5610" width="4.625" style="1632" customWidth="1"/>
    <col min="5611" max="5611" width="24.5" style="1632" customWidth="1"/>
    <col min="5612" max="5612" width="7.875" style="1632" customWidth="1"/>
    <col min="5613" max="5613" width="21.125" style="1632" customWidth="1"/>
    <col min="5614" max="5614" width="83.375" style="1632" customWidth="1"/>
    <col min="5615" max="5616" width="13.875" style="1632" customWidth="1"/>
    <col min="5617" max="5617" width="45.625" style="1632" customWidth="1"/>
    <col min="5618" max="5618" width="7.875" style="1632" customWidth="1"/>
    <col min="5619" max="5619" width="23.375" style="1632" customWidth="1"/>
    <col min="5620" max="5620" width="24" style="1632" customWidth="1"/>
    <col min="5621" max="5621" width="10" style="1632" customWidth="1"/>
    <col min="5622" max="5623" width="15.5" style="1632" customWidth="1"/>
    <col min="5624" max="5624" width="77.75" style="1632" customWidth="1"/>
    <col min="5625" max="5625" width="51.75" style="1632" customWidth="1"/>
    <col min="5626" max="5626" width="37.25" style="1632" customWidth="1"/>
    <col min="5627" max="5627" width="17.875" style="1632" customWidth="1"/>
    <col min="5628" max="5628" width="7.875" style="1632" customWidth="1"/>
    <col min="5629" max="5632" width="9" style="1632" customWidth="1"/>
    <col min="5633" max="5633" width="21.125" style="1632" customWidth="1"/>
    <col min="5634" max="5634" width="7.875" style="1632" customWidth="1"/>
    <col min="5635" max="5635" width="145" style="1632" customWidth="1"/>
    <col min="5636" max="5638" width="10.625" style="1632" customWidth="1"/>
    <col min="5639" max="5640" width="16" style="1632" customWidth="1"/>
    <col min="5641" max="5642" width="14.375" style="1632" customWidth="1"/>
    <col min="5643" max="5644" width="21.875" style="1632" customWidth="1"/>
    <col min="5645" max="5645" width="6.25" style="1632" customWidth="1"/>
    <col min="5646" max="5646" width="24.5" style="1632" customWidth="1"/>
    <col min="5647" max="5647" width="16.875" style="1632" customWidth="1"/>
    <col min="5648" max="5649" width="20.125" style="1632" customWidth="1"/>
    <col min="5650" max="5650" width="7.875" style="1632" customWidth="1"/>
    <col min="5651" max="5861" width="9" style="1632"/>
    <col min="5862" max="5862" width="113.125" style="1632" customWidth="1"/>
    <col min="5863" max="5863" width="6.25" style="1632" customWidth="1"/>
    <col min="5864" max="5864" width="13.875" style="1632" customWidth="1"/>
    <col min="5865" max="5865" width="6.25" style="1632" customWidth="1"/>
    <col min="5866" max="5866" width="4.625" style="1632" customWidth="1"/>
    <col min="5867" max="5867" width="24.5" style="1632" customWidth="1"/>
    <col min="5868" max="5868" width="7.875" style="1632" customWidth="1"/>
    <col min="5869" max="5869" width="21.125" style="1632" customWidth="1"/>
    <col min="5870" max="5870" width="83.375" style="1632" customWidth="1"/>
    <col min="5871" max="5872" width="13.875" style="1632" customWidth="1"/>
    <col min="5873" max="5873" width="45.625" style="1632" customWidth="1"/>
    <col min="5874" max="5874" width="7.875" style="1632" customWidth="1"/>
    <col min="5875" max="5875" width="23.375" style="1632" customWidth="1"/>
    <col min="5876" max="5876" width="24" style="1632" customWidth="1"/>
    <col min="5877" max="5877" width="10" style="1632" customWidth="1"/>
    <col min="5878" max="5879" width="15.5" style="1632" customWidth="1"/>
    <col min="5880" max="5880" width="77.75" style="1632" customWidth="1"/>
    <col min="5881" max="5881" width="51.75" style="1632" customWidth="1"/>
    <col min="5882" max="5882" width="37.25" style="1632" customWidth="1"/>
    <col min="5883" max="5883" width="17.875" style="1632" customWidth="1"/>
    <col min="5884" max="5884" width="7.875" style="1632" customWidth="1"/>
    <col min="5885" max="5888" width="9" style="1632" customWidth="1"/>
    <col min="5889" max="5889" width="21.125" style="1632" customWidth="1"/>
    <col min="5890" max="5890" width="7.875" style="1632" customWidth="1"/>
    <col min="5891" max="5891" width="145" style="1632" customWidth="1"/>
    <col min="5892" max="5894" width="10.625" style="1632" customWidth="1"/>
    <col min="5895" max="5896" width="16" style="1632" customWidth="1"/>
    <col min="5897" max="5898" width="14.375" style="1632" customWidth="1"/>
    <col min="5899" max="5900" width="21.875" style="1632" customWidth="1"/>
    <col min="5901" max="5901" width="6.25" style="1632" customWidth="1"/>
    <col min="5902" max="5902" width="24.5" style="1632" customWidth="1"/>
    <col min="5903" max="5903" width="16.875" style="1632" customWidth="1"/>
    <col min="5904" max="5905" width="20.125" style="1632" customWidth="1"/>
    <col min="5906" max="5906" width="7.875" style="1632" customWidth="1"/>
    <col min="5907" max="6117" width="9" style="1632"/>
    <col min="6118" max="6118" width="113.125" style="1632" customWidth="1"/>
    <col min="6119" max="6119" width="6.25" style="1632" customWidth="1"/>
    <col min="6120" max="6120" width="13.875" style="1632" customWidth="1"/>
    <col min="6121" max="6121" width="6.25" style="1632" customWidth="1"/>
    <col min="6122" max="6122" width="4.625" style="1632" customWidth="1"/>
    <col min="6123" max="6123" width="24.5" style="1632" customWidth="1"/>
    <col min="6124" max="6124" width="7.875" style="1632" customWidth="1"/>
    <col min="6125" max="6125" width="21.125" style="1632" customWidth="1"/>
    <col min="6126" max="6126" width="83.375" style="1632" customWidth="1"/>
    <col min="6127" max="6128" width="13.875" style="1632" customWidth="1"/>
    <col min="6129" max="6129" width="45.625" style="1632" customWidth="1"/>
    <col min="6130" max="6130" width="7.875" style="1632" customWidth="1"/>
    <col min="6131" max="6131" width="23.375" style="1632" customWidth="1"/>
    <col min="6132" max="6132" width="24" style="1632" customWidth="1"/>
    <col min="6133" max="6133" width="10" style="1632" customWidth="1"/>
    <col min="6134" max="6135" width="15.5" style="1632" customWidth="1"/>
    <col min="6136" max="6136" width="77.75" style="1632" customWidth="1"/>
    <col min="6137" max="6137" width="51.75" style="1632" customWidth="1"/>
    <col min="6138" max="6138" width="37.25" style="1632" customWidth="1"/>
    <col min="6139" max="6139" width="17.875" style="1632" customWidth="1"/>
    <col min="6140" max="6140" width="7.875" style="1632" customWidth="1"/>
    <col min="6141" max="6144" width="9" style="1632" customWidth="1"/>
    <col min="6145" max="6145" width="21.125" style="1632" customWidth="1"/>
    <col min="6146" max="6146" width="7.875" style="1632" customWidth="1"/>
    <col min="6147" max="6147" width="145" style="1632" customWidth="1"/>
    <col min="6148" max="6150" width="10.625" style="1632" customWidth="1"/>
    <col min="6151" max="6152" width="16" style="1632" customWidth="1"/>
    <col min="6153" max="6154" width="14.375" style="1632" customWidth="1"/>
    <col min="6155" max="6156" width="21.875" style="1632" customWidth="1"/>
    <col min="6157" max="6157" width="6.25" style="1632" customWidth="1"/>
    <col min="6158" max="6158" width="24.5" style="1632" customWidth="1"/>
    <col min="6159" max="6159" width="16.875" style="1632" customWidth="1"/>
    <col min="6160" max="6161" width="20.125" style="1632" customWidth="1"/>
    <col min="6162" max="6162" width="7.875" style="1632" customWidth="1"/>
    <col min="6163" max="6373" width="9" style="1632"/>
    <col min="6374" max="6374" width="113.125" style="1632" customWidth="1"/>
    <col min="6375" max="6375" width="6.25" style="1632" customWidth="1"/>
    <col min="6376" max="6376" width="13.875" style="1632" customWidth="1"/>
    <col min="6377" max="6377" width="6.25" style="1632" customWidth="1"/>
    <col min="6378" max="6378" width="4.625" style="1632" customWidth="1"/>
    <col min="6379" max="6379" width="24.5" style="1632" customWidth="1"/>
    <col min="6380" max="6380" width="7.875" style="1632" customWidth="1"/>
    <col min="6381" max="6381" width="21.125" style="1632" customWidth="1"/>
    <col min="6382" max="6382" width="83.375" style="1632" customWidth="1"/>
    <col min="6383" max="6384" width="13.875" style="1632" customWidth="1"/>
    <col min="6385" max="6385" width="45.625" style="1632" customWidth="1"/>
    <col min="6386" max="6386" width="7.875" style="1632" customWidth="1"/>
    <col min="6387" max="6387" width="23.375" style="1632" customWidth="1"/>
    <col min="6388" max="6388" width="24" style="1632" customWidth="1"/>
    <col min="6389" max="6389" width="10" style="1632" customWidth="1"/>
    <col min="6390" max="6391" width="15.5" style="1632" customWidth="1"/>
    <col min="6392" max="6392" width="77.75" style="1632" customWidth="1"/>
    <col min="6393" max="6393" width="51.75" style="1632" customWidth="1"/>
    <col min="6394" max="6394" width="37.25" style="1632" customWidth="1"/>
    <col min="6395" max="6395" width="17.875" style="1632" customWidth="1"/>
    <col min="6396" max="6396" width="7.875" style="1632" customWidth="1"/>
    <col min="6397" max="6400" width="9" style="1632" customWidth="1"/>
    <col min="6401" max="6401" width="21.125" style="1632" customWidth="1"/>
    <col min="6402" max="6402" width="7.875" style="1632" customWidth="1"/>
    <col min="6403" max="6403" width="145" style="1632" customWidth="1"/>
    <col min="6404" max="6406" width="10.625" style="1632" customWidth="1"/>
    <col min="6407" max="6408" width="16" style="1632" customWidth="1"/>
    <col min="6409" max="6410" width="14.375" style="1632" customWidth="1"/>
    <col min="6411" max="6412" width="21.875" style="1632" customWidth="1"/>
    <col min="6413" max="6413" width="6.25" style="1632" customWidth="1"/>
    <col min="6414" max="6414" width="24.5" style="1632" customWidth="1"/>
    <col min="6415" max="6415" width="16.875" style="1632" customWidth="1"/>
    <col min="6416" max="6417" width="20.125" style="1632" customWidth="1"/>
    <col min="6418" max="6418" width="7.875" style="1632" customWidth="1"/>
    <col min="6419" max="6629" width="9" style="1632"/>
    <col min="6630" max="6630" width="113.125" style="1632" customWidth="1"/>
    <col min="6631" max="6631" width="6.25" style="1632" customWidth="1"/>
    <col min="6632" max="6632" width="13.875" style="1632" customWidth="1"/>
    <col min="6633" max="6633" width="6.25" style="1632" customWidth="1"/>
    <col min="6634" max="6634" width="4.625" style="1632" customWidth="1"/>
    <col min="6635" max="6635" width="24.5" style="1632" customWidth="1"/>
    <col min="6636" max="6636" width="7.875" style="1632" customWidth="1"/>
    <col min="6637" max="6637" width="21.125" style="1632" customWidth="1"/>
    <col min="6638" max="6638" width="83.375" style="1632" customWidth="1"/>
    <col min="6639" max="6640" width="13.875" style="1632" customWidth="1"/>
    <col min="6641" max="6641" width="45.625" style="1632" customWidth="1"/>
    <col min="6642" max="6642" width="7.875" style="1632" customWidth="1"/>
    <col min="6643" max="6643" width="23.375" style="1632" customWidth="1"/>
    <col min="6644" max="6644" width="24" style="1632" customWidth="1"/>
    <col min="6645" max="6645" width="10" style="1632" customWidth="1"/>
    <col min="6646" max="6647" width="15.5" style="1632" customWidth="1"/>
    <col min="6648" max="6648" width="77.75" style="1632" customWidth="1"/>
    <col min="6649" max="6649" width="51.75" style="1632" customWidth="1"/>
    <col min="6650" max="6650" width="37.25" style="1632" customWidth="1"/>
    <col min="6651" max="6651" width="17.875" style="1632" customWidth="1"/>
    <col min="6652" max="6652" width="7.875" style="1632" customWidth="1"/>
    <col min="6653" max="6656" width="9" style="1632" customWidth="1"/>
    <col min="6657" max="6657" width="21.125" style="1632" customWidth="1"/>
    <col min="6658" max="6658" width="7.875" style="1632" customWidth="1"/>
    <col min="6659" max="6659" width="145" style="1632" customWidth="1"/>
    <col min="6660" max="6662" width="10.625" style="1632" customWidth="1"/>
    <col min="6663" max="6664" width="16" style="1632" customWidth="1"/>
    <col min="6665" max="6666" width="14.375" style="1632" customWidth="1"/>
    <col min="6667" max="6668" width="21.875" style="1632" customWidth="1"/>
    <col min="6669" max="6669" width="6.25" style="1632" customWidth="1"/>
    <col min="6670" max="6670" width="24.5" style="1632" customWidth="1"/>
    <col min="6671" max="6671" width="16.875" style="1632" customWidth="1"/>
    <col min="6672" max="6673" width="20.125" style="1632" customWidth="1"/>
    <col min="6674" max="6674" width="7.875" style="1632" customWidth="1"/>
    <col min="6675" max="6885" width="9" style="1632"/>
    <col min="6886" max="6886" width="113.125" style="1632" customWidth="1"/>
    <col min="6887" max="6887" width="6.25" style="1632" customWidth="1"/>
    <col min="6888" max="6888" width="13.875" style="1632" customWidth="1"/>
    <col min="6889" max="6889" width="6.25" style="1632" customWidth="1"/>
    <col min="6890" max="6890" width="4.625" style="1632" customWidth="1"/>
    <col min="6891" max="6891" width="24.5" style="1632" customWidth="1"/>
    <col min="6892" max="6892" width="7.875" style="1632" customWidth="1"/>
    <col min="6893" max="6893" width="21.125" style="1632" customWidth="1"/>
    <col min="6894" max="6894" width="83.375" style="1632" customWidth="1"/>
    <col min="6895" max="6896" width="13.875" style="1632" customWidth="1"/>
    <col min="6897" max="6897" width="45.625" style="1632" customWidth="1"/>
    <col min="6898" max="6898" width="7.875" style="1632" customWidth="1"/>
    <col min="6899" max="6899" width="23.375" style="1632" customWidth="1"/>
    <col min="6900" max="6900" width="24" style="1632" customWidth="1"/>
    <col min="6901" max="6901" width="10" style="1632" customWidth="1"/>
    <col min="6902" max="6903" width="15.5" style="1632" customWidth="1"/>
    <col min="6904" max="6904" width="77.75" style="1632" customWidth="1"/>
    <col min="6905" max="6905" width="51.75" style="1632" customWidth="1"/>
    <col min="6906" max="6906" width="37.25" style="1632" customWidth="1"/>
    <col min="6907" max="6907" width="17.875" style="1632" customWidth="1"/>
    <col min="6908" max="6908" width="7.875" style="1632" customWidth="1"/>
    <col min="6909" max="6912" width="9" style="1632" customWidth="1"/>
    <col min="6913" max="6913" width="21.125" style="1632" customWidth="1"/>
    <col min="6914" max="6914" width="7.875" style="1632" customWidth="1"/>
    <col min="6915" max="6915" width="145" style="1632" customWidth="1"/>
    <col min="6916" max="6918" width="10.625" style="1632" customWidth="1"/>
    <col min="6919" max="6920" width="16" style="1632" customWidth="1"/>
    <col min="6921" max="6922" width="14.375" style="1632" customWidth="1"/>
    <col min="6923" max="6924" width="21.875" style="1632" customWidth="1"/>
    <col min="6925" max="6925" width="6.25" style="1632" customWidth="1"/>
    <col min="6926" max="6926" width="24.5" style="1632" customWidth="1"/>
    <col min="6927" max="6927" width="16.875" style="1632" customWidth="1"/>
    <col min="6928" max="6929" width="20.125" style="1632" customWidth="1"/>
    <col min="6930" max="6930" width="7.875" style="1632" customWidth="1"/>
    <col min="6931" max="7141" width="9" style="1632"/>
    <col min="7142" max="7142" width="113.125" style="1632" customWidth="1"/>
    <col min="7143" max="7143" width="6.25" style="1632" customWidth="1"/>
    <col min="7144" max="7144" width="13.875" style="1632" customWidth="1"/>
    <col min="7145" max="7145" width="6.25" style="1632" customWidth="1"/>
    <col min="7146" max="7146" width="4.625" style="1632" customWidth="1"/>
    <col min="7147" max="7147" width="24.5" style="1632" customWidth="1"/>
    <col min="7148" max="7148" width="7.875" style="1632" customWidth="1"/>
    <col min="7149" max="7149" width="21.125" style="1632" customWidth="1"/>
    <col min="7150" max="7150" width="83.375" style="1632" customWidth="1"/>
    <col min="7151" max="7152" width="13.875" style="1632" customWidth="1"/>
    <col min="7153" max="7153" width="45.625" style="1632" customWidth="1"/>
    <col min="7154" max="7154" width="7.875" style="1632" customWidth="1"/>
    <col min="7155" max="7155" width="23.375" style="1632" customWidth="1"/>
    <col min="7156" max="7156" width="24" style="1632" customWidth="1"/>
    <col min="7157" max="7157" width="10" style="1632" customWidth="1"/>
    <col min="7158" max="7159" width="15.5" style="1632" customWidth="1"/>
    <col min="7160" max="7160" width="77.75" style="1632" customWidth="1"/>
    <col min="7161" max="7161" width="51.75" style="1632" customWidth="1"/>
    <col min="7162" max="7162" width="37.25" style="1632" customWidth="1"/>
    <col min="7163" max="7163" width="17.875" style="1632" customWidth="1"/>
    <col min="7164" max="7164" width="7.875" style="1632" customWidth="1"/>
    <col min="7165" max="7168" width="9" style="1632" customWidth="1"/>
    <col min="7169" max="7169" width="21.125" style="1632" customWidth="1"/>
    <col min="7170" max="7170" width="7.875" style="1632" customWidth="1"/>
    <col min="7171" max="7171" width="145" style="1632" customWidth="1"/>
    <col min="7172" max="7174" width="10.625" style="1632" customWidth="1"/>
    <col min="7175" max="7176" width="16" style="1632" customWidth="1"/>
    <col min="7177" max="7178" width="14.375" style="1632" customWidth="1"/>
    <col min="7179" max="7180" width="21.875" style="1632" customWidth="1"/>
    <col min="7181" max="7181" width="6.25" style="1632" customWidth="1"/>
    <col min="7182" max="7182" width="24.5" style="1632" customWidth="1"/>
    <col min="7183" max="7183" width="16.875" style="1632" customWidth="1"/>
    <col min="7184" max="7185" width="20.125" style="1632" customWidth="1"/>
    <col min="7186" max="7186" width="7.875" style="1632" customWidth="1"/>
    <col min="7187" max="7397" width="9" style="1632"/>
    <col min="7398" max="7398" width="113.125" style="1632" customWidth="1"/>
    <col min="7399" max="7399" width="6.25" style="1632" customWidth="1"/>
    <col min="7400" max="7400" width="13.875" style="1632" customWidth="1"/>
    <col min="7401" max="7401" width="6.25" style="1632" customWidth="1"/>
    <col min="7402" max="7402" width="4.625" style="1632" customWidth="1"/>
    <col min="7403" max="7403" width="24.5" style="1632" customWidth="1"/>
    <col min="7404" max="7404" width="7.875" style="1632" customWidth="1"/>
    <col min="7405" max="7405" width="21.125" style="1632" customWidth="1"/>
    <col min="7406" max="7406" width="83.375" style="1632" customWidth="1"/>
    <col min="7407" max="7408" width="13.875" style="1632" customWidth="1"/>
    <col min="7409" max="7409" width="45.625" style="1632" customWidth="1"/>
    <col min="7410" max="7410" width="7.875" style="1632" customWidth="1"/>
    <col min="7411" max="7411" width="23.375" style="1632" customWidth="1"/>
    <col min="7412" max="7412" width="24" style="1632" customWidth="1"/>
    <col min="7413" max="7413" width="10" style="1632" customWidth="1"/>
    <col min="7414" max="7415" width="15.5" style="1632" customWidth="1"/>
    <col min="7416" max="7416" width="77.75" style="1632" customWidth="1"/>
    <col min="7417" max="7417" width="51.75" style="1632" customWidth="1"/>
    <col min="7418" max="7418" width="37.25" style="1632" customWidth="1"/>
    <col min="7419" max="7419" width="17.875" style="1632" customWidth="1"/>
    <col min="7420" max="7420" width="7.875" style="1632" customWidth="1"/>
    <col min="7421" max="7424" width="9" style="1632" customWidth="1"/>
    <col min="7425" max="7425" width="21.125" style="1632" customWidth="1"/>
    <col min="7426" max="7426" width="7.875" style="1632" customWidth="1"/>
    <col min="7427" max="7427" width="145" style="1632" customWidth="1"/>
    <col min="7428" max="7430" width="10.625" style="1632" customWidth="1"/>
    <col min="7431" max="7432" width="16" style="1632" customWidth="1"/>
    <col min="7433" max="7434" width="14.375" style="1632" customWidth="1"/>
    <col min="7435" max="7436" width="21.875" style="1632" customWidth="1"/>
    <col min="7437" max="7437" width="6.25" style="1632" customWidth="1"/>
    <col min="7438" max="7438" width="24.5" style="1632" customWidth="1"/>
    <col min="7439" max="7439" width="16.875" style="1632" customWidth="1"/>
    <col min="7440" max="7441" width="20.125" style="1632" customWidth="1"/>
    <col min="7442" max="7442" width="7.875" style="1632" customWidth="1"/>
    <col min="7443" max="7653" width="9" style="1632"/>
    <col min="7654" max="7654" width="113.125" style="1632" customWidth="1"/>
    <col min="7655" max="7655" width="6.25" style="1632" customWidth="1"/>
    <col min="7656" max="7656" width="13.875" style="1632" customWidth="1"/>
    <col min="7657" max="7657" width="6.25" style="1632" customWidth="1"/>
    <col min="7658" max="7658" width="4.625" style="1632" customWidth="1"/>
    <col min="7659" max="7659" width="24.5" style="1632" customWidth="1"/>
    <col min="7660" max="7660" width="7.875" style="1632" customWidth="1"/>
    <col min="7661" max="7661" width="21.125" style="1632" customWidth="1"/>
    <col min="7662" max="7662" width="83.375" style="1632" customWidth="1"/>
    <col min="7663" max="7664" width="13.875" style="1632" customWidth="1"/>
    <col min="7665" max="7665" width="45.625" style="1632" customWidth="1"/>
    <col min="7666" max="7666" width="7.875" style="1632" customWidth="1"/>
    <col min="7667" max="7667" width="23.375" style="1632" customWidth="1"/>
    <col min="7668" max="7668" width="24" style="1632" customWidth="1"/>
    <col min="7669" max="7669" width="10" style="1632" customWidth="1"/>
    <col min="7670" max="7671" width="15.5" style="1632" customWidth="1"/>
    <col min="7672" max="7672" width="77.75" style="1632" customWidth="1"/>
    <col min="7673" max="7673" width="51.75" style="1632" customWidth="1"/>
    <col min="7674" max="7674" width="37.25" style="1632" customWidth="1"/>
    <col min="7675" max="7675" width="17.875" style="1632" customWidth="1"/>
    <col min="7676" max="7676" width="7.875" style="1632" customWidth="1"/>
    <col min="7677" max="7680" width="9" style="1632" customWidth="1"/>
    <col min="7681" max="7681" width="21.125" style="1632" customWidth="1"/>
    <col min="7682" max="7682" width="7.875" style="1632" customWidth="1"/>
    <col min="7683" max="7683" width="145" style="1632" customWidth="1"/>
    <col min="7684" max="7686" width="10.625" style="1632" customWidth="1"/>
    <col min="7687" max="7688" width="16" style="1632" customWidth="1"/>
    <col min="7689" max="7690" width="14.375" style="1632" customWidth="1"/>
    <col min="7691" max="7692" width="21.875" style="1632" customWidth="1"/>
    <col min="7693" max="7693" width="6.25" style="1632" customWidth="1"/>
    <col min="7694" max="7694" width="24.5" style="1632" customWidth="1"/>
    <col min="7695" max="7695" width="16.875" style="1632" customWidth="1"/>
    <col min="7696" max="7697" width="20.125" style="1632" customWidth="1"/>
    <col min="7698" max="7698" width="7.875" style="1632" customWidth="1"/>
    <col min="7699" max="7909" width="9" style="1632"/>
    <col min="7910" max="7910" width="113.125" style="1632" customWidth="1"/>
    <col min="7911" max="7911" width="6.25" style="1632" customWidth="1"/>
    <col min="7912" max="7912" width="13.875" style="1632" customWidth="1"/>
    <col min="7913" max="7913" width="6.25" style="1632" customWidth="1"/>
    <col min="7914" max="7914" width="4.625" style="1632" customWidth="1"/>
    <col min="7915" max="7915" width="24.5" style="1632" customWidth="1"/>
    <col min="7916" max="7916" width="7.875" style="1632" customWidth="1"/>
    <col min="7917" max="7917" width="21.125" style="1632" customWidth="1"/>
    <col min="7918" max="7918" width="83.375" style="1632" customWidth="1"/>
    <col min="7919" max="7920" width="13.875" style="1632" customWidth="1"/>
    <col min="7921" max="7921" width="45.625" style="1632" customWidth="1"/>
    <col min="7922" max="7922" width="7.875" style="1632" customWidth="1"/>
    <col min="7923" max="7923" width="23.375" style="1632" customWidth="1"/>
    <col min="7924" max="7924" width="24" style="1632" customWidth="1"/>
    <col min="7925" max="7925" width="10" style="1632" customWidth="1"/>
    <col min="7926" max="7927" width="15.5" style="1632" customWidth="1"/>
    <col min="7928" max="7928" width="77.75" style="1632" customWidth="1"/>
    <col min="7929" max="7929" width="51.75" style="1632" customWidth="1"/>
    <col min="7930" max="7930" width="37.25" style="1632" customWidth="1"/>
    <col min="7931" max="7931" width="17.875" style="1632" customWidth="1"/>
    <col min="7932" max="7932" width="7.875" style="1632" customWidth="1"/>
    <col min="7933" max="7936" width="9" style="1632" customWidth="1"/>
    <col min="7937" max="7937" width="21.125" style="1632" customWidth="1"/>
    <col min="7938" max="7938" width="7.875" style="1632" customWidth="1"/>
    <col min="7939" max="7939" width="145" style="1632" customWidth="1"/>
    <col min="7940" max="7942" width="10.625" style="1632" customWidth="1"/>
    <col min="7943" max="7944" width="16" style="1632" customWidth="1"/>
    <col min="7945" max="7946" width="14.375" style="1632" customWidth="1"/>
    <col min="7947" max="7948" width="21.875" style="1632" customWidth="1"/>
    <col min="7949" max="7949" width="6.25" style="1632" customWidth="1"/>
    <col min="7950" max="7950" width="24.5" style="1632" customWidth="1"/>
    <col min="7951" max="7951" width="16.875" style="1632" customWidth="1"/>
    <col min="7952" max="7953" width="20.125" style="1632" customWidth="1"/>
    <col min="7954" max="7954" width="7.875" style="1632" customWidth="1"/>
    <col min="7955" max="8165" width="9" style="1632"/>
    <col min="8166" max="8166" width="113.125" style="1632" customWidth="1"/>
    <col min="8167" max="8167" width="6.25" style="1632" customWidth="1"/>
    <col min="8168" max="8168" width="13.875" style="1632" customWidth="1"/>
    <col min="8169" max="8169" width="6.25" style="1632" customWidth="1"/>
    <col min="8170" max="8170" width="4.625" style="1632" customWidth="1"/>
    <col min="8171" max="8171" width="24.5" style="1632" customWidth="1"/>
    <col min="8172" max="8172" width="7.875" style="1632" customWidth="1"/>
    <col min="8173" max="8173" width="21.125" style="1632" customWidth="1"/>
    <col min="8174" max="8174" width="83.375" style="1632" customWidth="1"/>
    <col min="8175" max="8176" width="13.875" style="1632" customWidth="1"/>
    <col min="8177" max="8177" width="45.625" style="1632" customWidth="1"/>
    <col min="8178" max="8178" width="7.875" style="1632" customWidth="1"/>
    <col min="8179" max="8179" width="23.375" style="1632" customWidth="1"/>
    <col min="8180" max="8180" width="24" style="1632" customWidth="1"/>
    <col min="8181" max="8181" width="10" style="1632" customWidth="1"/>
    <col min="8182" max="8183" width="15.5" style="1632" customWidth="1"/>
    <col min="8184" max="8184" width="77.75" style="1632" customWidth="1"/>
    <col min="8185" max="8185" width="51.75" style="1632" customWidth="1"/>
    <col min="8186" max="8186" width="37.25" style="1632" customWidth="1"/>
    <col min="8187" max="8187" width="17.875" style="1632" customWidth="1"/>
    <col min="8188" max="8188" width="7.875" style="1632" customWidth="1"/>
    <col min="8189" max="8192" width="9" style="1632" customWidth="1"/>
    <col min="8193" max="8193" width="21.125" style="1632" customWidth="1"/>
    <col min="8194" max="8194" width="7.875" style="1632" customWidth="1"/>
    <col min="8195" max="8195" width="145" style="1632" customWidth="1"/>
    <col min="8196" max="8198" width="10.625" style="1632" customWidth="1"/>
    <col min="8199" max="8200" width="16" style="1632" customWidth="1"/>
    <col min="8201" max="8202" width="14.375" style="1632" customWidth="1"/>
    <col min="8203" max="8204" width="21.875" style="1632" customWidth="1"/>
    <col min="8205" max="8205" width="6.25" style="1632" customWidth="1"/>
    <col min="8206" max="8206" width="24.5" style="1632" customWidth="1"/>
    <col min="8207" max="8207" width="16.875" style="1632" customWidth="1"/>
    <col min="8208" max="8209" width="20.125" style="1632" customWidth="1"/>
    <col min="8210" max="8210" width="7.875" style="1632" customWidth="1"/>
    <col min="8211" max="8421" width="9" style="1632"/>
    <col min="8422" max="8422" width="113.125" style="1632" customWidth="1"/>
    <col min="8423" max="8423" width="6.25" style="1632" customWidth="1"/>
    <col min="8424" max="8424" width="13.875" style="1632" customWidth="1"/>
    <col min="8425" max="8425" width="6.25" style="1632" customWidth="1"/>
    <col min="8426" max="8426" width="4.625" style="1632" customWidth="1"/>
    <col min="8427" max="8427" width="24.5" style="1632" customWidth="1"/>
    <col min="8428" max="8428" width="7.875" style="1632" customWidth="1"/>
    <col min="8429" max="8429" width="21.125" style="1632" customWidth="1"/>
    <col min="8430" max="8430" width="83.375" style="1632" customWidth="1"/>
    <col min="8431" max="8432" width="13.875" style="1632" customWidth="1"/>
    <col min="8433" max="8433" width="45.625" style="1632" customWidth="1"/>
    <col min="8434" max="8434" width="7.875" style="1632" customWidth="1"/>
    <col min="8435" max="8435" width="23.375" style="1632" customWidth="1"/>
    <col min="8436" max="8436" width="24" style="1632" customWidth="1"/>
    <col min="8437" max="8437" width="10" style="1632" customWidth="1"/>
    <col min="8438" max="8439" width="15.5" style="1632" customWidth="1"/>
    <col min="8440" max="8440" width="77.75" style="1632" customWidth="1"/>
    <col min="8441" max="8441" width="51.75" style="1632" customWidth="1"/>
    <col min="8442" max="8442" width="37.25" style="1632" customWidth="1"/>
    <col min="8443" max="8443" width="17.875" style="1632" customWidth="1"/>
    <col min="8444" max="8444" width="7.875" style="1632" customWidth="1"/>
    <col min="8445" max="8448" width="9" style="1632" customWidth="1"/>
    <col min="8449" max="8449" width="21.125" style="1632" customWidth="1"/>
    <col min="8450" max="8450" width="7.875" style="1632" customWidth="1"/>
    <col min="8451" max="8451" width="145" style="1632" customWidth="1"/>
    <col min="8452" max="8454" width="10.625" style="1632" customWidth="1"/>
    <col min="8455" max="8456" width="16" style="1632" customWidth="1"/>
    <col min="8457" max="8458" width="14.375" style="1632" customWidth="1"/>
    <col min="8459" max="8460" width="21.875" style="1632" customWidth="1"/>
    <col min="8461" max="8461" width="6.25" style="1632" customWidth="1"/>
    <col min="8462" max="8462" width="24.5" style="1632" customWidth="1"/>
    <col min="8463" max="8463" width="16.875" style="1632" customWidth="1"/>
    <col min="8464" max="8465" width="20.125" style="1632" customWidth="1"/>
    <col min="8466" max="8466" width="7.875" style="1632" customWidth="1"/>
    <col min="8467" max="8677" width="9" style="1632"/>
    <col min="8678" max="8678" width="113.125" style="1632" customWidth="1"/>
    <col min="8679" max="8679" width="6.25" style="1632" customWidth="1"/>
    <col min="8680" max="8680" width="13.875" style="1632" customWidth="1"/>
    <col min="8681" max="8681" width="6.25" style="1632" customWidth="1"/>
    <col min="8682" max="8682" width="4.625" style="1632" customWidth="1"/>
    <col min="8683" max="8683" width="24.5" style="1632" customWidth="1"/>
    <col min="8684" max="8684" width="7.875" style="1632" customWidth="1"/>
    <col min="8685" max="8685" width="21.125" style="1632" customWidth="1"/>
    <col min="8686" max="8686" width="83.375" style="1632" customWidth="1"/>
    <col min="8687" max="8688" width="13.875" style="1632" customWidth="1"/>
    <col min="8689" max="8689" width="45.625" style="1632" customWidth="1"/>
    <col min="8690" max="8690" width="7.875" style="1632" customWidth="1"/>
    <col min="8691" max="8691" width="23.375" style="1632" customWidth="1"/>
    <col min="8692" max="8692" width="24" style="1632" customWidth="1"/>
    <col min="8693" max="8693" width="10" style="1632" customWidth="1"/>
    <col min="8694" max="8695" width="15.5" style="1632" customWidth="1"/>
    <col min="8696" max="8696" width="77.75" style="1632" customWidth="1"/>
    <col min="8697" max="8697" width="51.75" style="1632" customWidth="1"/>
    <col min="8698" max="8698" width="37.25" style="1632" customWidth="1"/>
    <col min="8699" max="8699" width="17.875" style="1632" customWidth="1"/>
    <col min="8700" max="8700" width="7.875" style="1632" customWidth="1"/>
    <col min="8701" max="8704" width="9" style="1632" customWidth="1"/>
    <col min="8705" max="8705" width="21.125" style="1632" customWidth="1"/>
    <col min="8706" max="8706" width="7.875" style="1632" customWidth="1"/>
    <col min="8707" max="8707" width="145" style="1632" customWidth="1"/>
    <col min="8708" max="8710" width="10.625" style="1632" customWidth="1"/>
    <col min="8711" max="8712" width="16" style="1632" customWidth="1"/>
    <col min="8713" max="8714" width="14.375" style="1632" customWidth="1"/>
    <col min="8715" max="8716" width="21.875" style="1632" customWidth="1"/>
    <col min="8717" max="8717" width="6.25" style="1632" customWidth="1"/>
    <col min="8718" max="8718" width="24.5" style="1632" customWidth="1"/>
    <col min="8719" max="8719" width="16.875" style="1632" customWidth="1"/>
    <col min="8720" max="8721" width="20.125" style="1632" customWidth="1"/>
    <col min="8722" max="8722" width="7.875" style="1632" customWidth="1"/>
    <col min="8723" max="8933" width="9" style="1632"/>
    <col min="8934" max="8934" width="113.125" style="1632" customWidth="1"/>
    <col min="8935" max="8935" width="6.25" style="1632" customWidth="1"/>
    <col min="8936" max="8936" width="13.875" style="1632" customWidth="1"/>
    <col min="8937" max="8937" width="6.25" style="1632" customWidth="1"/>
    <col min="8938" max="8938" width="4.625" style="1632" customWidth="1"/>
    <col min="8939" max="8939" width="24.5" style="1632" customWidth="1"/>
    <col min="8940" max="8940" width="7.875" style="1632" customWidth="1"/>
    <col min="8941" max="8941" width="21.125" style="1632" customWidth="1"/>
    <col min="8942" max="8942" width="83.375" style="1632" customWidth="1"/>
    <col min="8943" max="8944" width="13.875" style="1632" customWidth="1"/>
    <col min="8945" max="8945" width="45.625" style="1632" customWidth="1"/>
    <col min="8946" max="8946" width="7.875" style="1632" customWidth="1"/>
    <col min="8947" max="8947" width="23.375" style="1632" customWidth="1"/>
    <col min="8948" max="8948" width="24" style="1632" customWidth="1"/>
    <col min="8949" max="8949" width="10" style="1632" customWidth="1"/>
    <col min="8950" max="8951" width="15.5" style="1632" customWidth="1"/>
    <col min="8952" max="8952" width="77.75" style="1632" customWidth="1"/>
    <col min="8953" max="8953" width="51.75" style="1632" customWidth="1"/>
    <col min="8954" max="8954" width="37.25" style="1632" customWidth="1"/>
    <col min="8955" max="8955" width="17.875" style="1632" customWidth="1"/>
    <col min="8956" max="8956" width="7.875" style="1632" customWidth="1"/>
    <col min="8957" max="8960" width="9" style="1632" customWidth="1"/>
    <col min="8961" max="8961" width="21.125" style="1632" customWidth="1"/>
    <col min="8962" max="8962" width="7.875" style="1632" customWidth="1"/>
    <col min="8963" max="8963" width="145" style="1632" customWidth="1"/>
    <col min="8964" max="8966" width="10.625" style="1632" customWidth="1"/>
    <col min="8967" max="8968" width="16" style="1632" customWidth="1"/>
    <col min="8969" max="8970" width="14.375" style="1632" customWidth="1"/>
    <col min="8971" max="8972" width="21.875" style="1632" customWidth="1"/>
    <col min="8973" max="8973" width="6.25" style="1632" customWidth="1"/>
    <col min="8974" max="8974" width="24.5" style="1632" customWidth="1"/>
    <col min="8975" max="8975" width="16.875" style="1632" customWidth="1"/>
    <col min="8976" max="8977" width="20.125" style="1632" customWidth="1"/>
    <col min="8978" max="8978" width="7.875" style="1632" customWidth="1"/>
    <col min="8979" max="9189" width="9" style="1632"/>
    <col min="9190" max="9190" width="113.125" style="1632" customWidth="1"/>
    <col min="9191" max="9191" width="6.25" style="1632" customWidth="1"/>
    <col min="9192" max="9192" width="13.875" style="1632" customWidth="1"/>
    <col min="9193" max="9193" width="6.25" style="1632" customWidth="1"/>
    <col min="9194" max="9194" width="4.625" style="1632" customWidth="1"/>
    <col min="9195" max="9195" width="24.5" style="1632" customWidth="1"/>
    <col min="9196" max="9196" width="7.875" style="1632" customWidth="1"/>
    <col min="9197" max="9197" width="21.125" style="1632" customWidth="1"/>
    <col min="9198" max="9198" width="83.375" style="1632" customWidth="1"/>
    <col min="9199" max="9200" width="13.875" style="1632" customWidth="1"/>
    <col min="9201" max="9201" width="45.625" style="1632" customWidth="1"/>
    <col min="9202" max="9202" width="7.875" style="1632" customWidth="1"/>
    <col min="9203" max="9203" width="23.375" style="1632" customWidth="1"/>
    <col min="9204" max="9204" width="24" style="1632" customWidth="1"/>
    <col min="9205" max="9205" width="10" style="1632" customWidth="1"/>
    <col min="9206" max="9207" width="15.5" style="1632" customWidth="1"/>
    <col min="9208" max="9208" width="77.75" style="1632" customWidth="1"/>
    <col min="9209" max="9209" width="51.75" style="1632" customWidth="1"/>
    <col min="9210" max="9210" width="37.25" style="1632" customWidth="1"/>
    <col min="9211" max="9211" width="17.875" style="1632" customWidth="1"/>
    <col min="9212" max="9212" width="7.875" style="1632" customWidth="1"/>
    <col min="9213" max="9216" width="9" style="1632" customWidth="1"/>
    <col min="9217" max="9217" width="21.125" style="1632" customWidth="1"/>
    <col min="9218" max="9218" width="7.875" style="1632" customWidth="1"/>
    <col min="9219" max="9219" width="145" style="1632" customWidth="1"/>
    <col min="9220" max="9222" width="10.625" style="1632" customWidth="1"/>
    <col min="9223" max="9224" width="16" style="1632" customWidth="1"/>
    <col min="9225" max="9226" width="14.375" style="1632" customWidth="1"/>
    <col min="9227" max="9228" width="21.875" style="1632" customWidth="1"/>
    <col min="9229" max="9229" width="6.25" style="1632" customWidth="1"/>
    <col min="9230" max="9230" width="24.5" style="1632" customWidth="1"/>
    <col min="9231" max="9231" width="16.875" style="1632" customWidth="1"/>
    <col min="9232" max="9233" width="20.125" style="1632" customWidth="1"/>
    <col min="9234" max="9234" width="7.875" style="1632" customWidth="1"/>
    <col min="9235" max="9445" width="9" style="1632"/>
    <col min="9446" max="9446" width="113.125" style="1632" customWidth="1"/>
    <col min="9447" max="9447" width="6.25" style="1632" customWidth="1"/>
    <col min="9448" max="9448" width="13.875" style="1632" customWidth="1"/>
    <col min="9449" max="9449" width="6.25" style="1632" customWidth="1"/>
    <col min="9450" max="9450" width="4.625" style="1632" customWidth="1"/>
    <col min="9451" max="9451" width="24.5" style="1632" customWidth="1"/>
    <col min="9452" max="9452" width="7.875" style="1632" customWidth="1"/>
    <col min="9453" max="9453" width="21.125" style="1632" customWidth="1"/>
    <col min="9454" max="9454" width="83.375" style="1632" customWidth="1"/>
    <col min="9455" max="9456" width="13.875" style="1632" customWidth="1"/>
    <col min="9457" max="9457" width="45.625" style="1632" customWidth="1"/>
    <col min="9458" max="9458" width="7.875" style="1632" customWidth="1"/>
    <col min="9459" max="9459" width="23.375" style="1632" customWidth="1"/>
    <col min="9460" max="9460" width="24" style="1632" customWidth="1"/>
    <col min="9461" max="9461" width="10" style="1632" customWidth="1"/>
    <col min="9462" max="9463" width="15.5" style="1632" customWidth="1"/>
    <col min="9464" max="9464" width="77.75" style="1632" customWidth="1"/>
    <col min="9465" max="9465" width="51.75" style="1632" customWidth="1"/>
    <col min="9466" max="9466" width="37.25" style="1632" customWidth="1"/>
    <col min="9467" max="9467" width="17.875" style="1632" customWidth="1"/>
    <col min="9468" max="9468" width="7.875" style="1632" customWidth="1"/>
    <col min="9469" max="9472" width="9" style="1632" customWidth="1"/>
    <col min="9473" max="9473" width="21.125" style="1632" customWidth="1"/>
    <col min="9474" max="9474" width="7.875" style="1632" customWidth="1"/>
    <col min="9475" max="9475" width="145" style="1632" customWidth="1"/>
    <col min="9476" max="9478" width="10.625" style="1632" customWidth="1"/>
    <col min="9479" max="9480" width="16" style="1632" customWidth="1"/>
    <col min="9481" max="9482" width="14.375" style="1632" customWidth="1"/>
    <col min="9483" max="9484" width="21.875" style="1632" customWidth="1"/>
    <col min="9485" max="9485" width="6.25" style="1632" customWidth="1"/>
    <col min="9486" max="9486" width="24.5" style="1632" customWidth="1"/>
    <col min="9487" max="9487" width="16.875" style="1632" customWidth="1"/>
    <col min="9488" max="9489" width="20.125" style="1632" customWidth="1"/>
    <col min="9490" max="9490" width="7.875" style="1632" customWidth="1"/>
    <col min="9491" max="9701" width="9" style="1632"/>
    <col min="9702" max="9702" width="113.125" style="1632" customWidth="1"/>
    <col min="9703" max="9703" width="6.25" style="1632" customWidth="1"/>
    <col min="9704" max="9704" width="13.875" style="1632" customWidth="1"/>
    <col min="9705" max="9705" width="6.25" style="1632" customWidth="1"/>
    <col min="9706" max="9706" width="4.625" style="1632" customWidth="1"/>
    <col min="9707" max="9707" width="24.5" style="1632" customWidth="1"/>
    <col min="9708" max="9708" width="7.875" style="1632" customWidth="1"/>
    <col min="9709" max="9709" width="21.125" style="1632" customWidth="1"/>
    <col min="9710" max="9710" width="83.375" style="1632" customWidth="1"/>
    <col min="9711" max="9712" width="13.875" style="1632" customWidth="1"/>
    <col min="9713" max="9713" width="45.625" style="1632" customWidth="1"/>
    <col min="9714" max="9714" width="7.875" style="1632" customWidth="1"/>
    <col min="9715" max="9715" width="23.375" style="1632" customWidth="1"/>
    <col min="9716" max="9716" width="24" style="1632" customWidth="1"/>
    <col min="9717" max="9717" width="10" style="1632" customWidth="1"/>
    <col min="9718" max="9719" width="15.5" style="1632" customWidth="1"/>
    <col min="9720" max="9720" width="77.75" style="1632" customWidth="1"/>
    <col min="9721" max="9721" width="51.75" style="1632" customWidth="1"/>
    <col min="9722" max="9722" width="37.25" style="1632" customWidth="1"/>
    <col min="9723" max="9723" width="17.875" style="1632" customWidth="1"/>
    <col min="9724" max="9724" width="7.875" style="1632" customWidth="1"/>
    <col min="9725" max="9728" width="9" style="1632" customWidth="1"/>
    <col min="9729" max="9729" width="21.125" style="1632" customWidth="1"/>
    <col min="9730" max="9730" width="7.875" style="1632" customWidth="1"/>
    <col min="9731" max="9731" width="145" style="1632" customWidth="1"/>
    <col min="9732" max="9734" width="10.625" style="1632" customWidth="1"/>
    <col min="9735" max="9736" width="16" style="1632" customWidth="1"/>
    <col min="9737" max="9738" width="14.375" style="1632" customWidth="1"/>
    <col min="9739" max="9740" width="21.875" style="1632" customWidth="1"/>
    <col min="9741" max="9741" width="6.25" style="1632" customWidth="1"/>
    <col min="9742" max="9742" width="24.5" style="1632" customWidth="1"/>
    <col min="9743" max="9743" width="16.875" style="1632" customWidth="1"/>
    <col min="9744" max="9745" width="20.125" style="1632" customWidth="1"/>
    <col min="9746" max="9746" width="7.875" style="1632" customWidth="1"/>
    <col min="9747" max="9957" width="9" style="1632"/>
    <col min="9958" max="9958" width="113.125" style="1632" customWidth="1"/>
    <col min="9959" max="9959" width="6.25" style="1632" customWidth="1"/>
    <col min="9960" max="9960" width="13.875" style="1632" customWidth="1"/>
    <col min="9961" max="9961" width="6.25" style="1632" customWidth="1"/>
    <col min="9962" max="9962" width="4.625" style="1632" customWidth="1"/>
    <col min="9963" max="9963" width="24.5" style="1632" customWidth="1"/>
    <col min="9964" max="9964" width="7.875" style="1632" customWidth="1"/>
    <col min="9965" max="9965" width="21.125" style="1632" customWidth="1"/>
    <col min="9966" max="9966" width="83.375" style="1632" customWidth="1"/>
    <col min="9967" max="9968" width="13.875" style="1632" customWidth="1"/>
    <col min="9969" max="9969" width="45.625" style="1632" customWidth="1"/>
    <col min="9970" max="9970" width="7.875" style="1632" customWidth="1"/>
    <col min="9971" max="9971" width="23.375" style="1632" customWidth="1"/>
    <col min="9972" max="9972" width="24" style="1632" customWidth="1"/>
    <col min="9973" max="9973" width="10" style="1632" customWidth="1"/>
    <col min="9974" max="9975" width="15.5" style="1632" customWidth="1"/>
    <col min="9976" max="9976" width="77.75" style="1632" customWidth="1"/>
    <col min="9977" max="9977" width="51.75" style="1632" customWidth="1"/>
    <col min="9978" max="9978" width="37.25" style="1632" customWidth="1"/>
    <col min="9979" max="9979" width="17.875" style="1632" customWidth="1"/>
    <col min="9980" max="9980" width="7.875" style="1632" customWidth="1"/>
    <col min="9981" max="9984" width="9" style="1632" customWidth="1"/>
    <col min="9985" max="9985" width="21.125" style="1632" customWidth="1"/>
    <col min="9986" max="9986" width="7.875" style="1632" customWidth="1"/>
    <col min="9987" max="9987" width="145" style="1632" customWidth="1"/>
    <col min="9988" max="9990" width="10.625" style="1632" customWidth="1"/>
    <col min="9991" max="9992" width="16" style="1632" customWidth="1"/>
    <col min="9993" max="9994" width="14.375" style="1632" customWidth="1"/>
    <col min="9995" max="9996" width="21.875" style="1632" customWidth="1"/>
    <col min="9997" max="9997" width="6.25" style="1632" customWidth="1"/>
    <col min="9998" max="9998" width="24.5" style="1632" customWidth="1"/>
    <col min="9999" max="9999" width="16.875" style="1632" customWidth="1"/>
    <col min="10000" max="10001" width="20.125" style="1632" customWidth="1"/>
    <col min="10002" max="10002" width="7.875" style="1632" customWidth="1"/>
    <col min="10003" max="10213" width="9" style="1632"/>
    <col min="10214" max="10214" width="113.125" style="1632" customWidth="1"/>
    <col min="10215" max="10215" width="6.25" style="1632" customWidth="1"/>
    <col min="10216" max="10216" width="13.875" style="1632" customWidth="1"/>
    <col min="10217" max="10217" width="6.25" style="1632" customWidth="1"/>
    <col min="10218" max="10218" width="4.625" style="1632" customWidth="1"/>
    <col min="10219" max="10219" width="24.5" style="1632" customWidth="1"/>
    <col min="10220" max="10220" width="7.875" style="1632" customWidth="1"/>
    <col min="10221" max="10221" width="21.125" style="1632" customWidth="1"/>
    <col min="10222" max="10222" width="83.375" style="1632" customWidth="1"/>
    <col min="10223" max="10224" width="13.875" style="1632" customWidth="1"/>
    <col min="10225" max="10225" width="45.625" style="1632" customWidth="1"/>
    <col min="10226" max="10226" width="7.875" style="1632" customWidth="1"/>
    <col min="10227" max="10227" width="23.375" style="1632" customWidth="1"/>
    <col min="10228" max="10228" width="24" style="1632" customWidth="1"/>
    <col min="10229" max="10229" width="10" style="1632" customWidth="1"/>
    <col min="10230" max="10231" width="15.5" style="1632" customWidth="1"/>
    <col min="10232" max="10232" width="77.75" style="1632" customWidth="1"/>
    <col min="10233" max="10233" width="51.75" style="1632" customWidth="1"/>
    <col min="10234" max="10234" width="37.25" style="1632" customWidth="1"/>
    <col min="10235" max="10235" width="17.875" style="1632" customWidth="1"/>
    <col min="10236" max="10236" width="7.875" style="1632" customWidth="1"/>
    <col min="10237" max="10240" width="9" style="1632" customWidth="1"/>
    <col min="10241" max="10241" width="21.125" style="1632" customWidth="1"/>
    <col min="10242" max="10242" width="7.875" style="1632" customWidth="1"/>
    <col min="10243" max="10243" width="145" style="1632" customWidth="1"/>
    <col min="10244" max="10246" width="10.625" style="1632" customWidth="1"/>
    <col min="10247" max="10248" width="16" style="1632" customWidth="1"/>
    <col min="10249" max="10250" width="14.375" style="1632" customWidth="1"/>
    <col min="10251" max="10252" width="21.875" style="1632" customWidth="1"/>
    <col min="10253" max="10253" width="6.25" style="1632" customWidth="1"/>
    <col min="10254" max="10254" width="24.5" style="1632" customWidth="1"/>
    <col min="10255" max="10255" width="16.875" style="1632" customWidth="1"/>
    <col min="10256" max="10257" width="20.125" style="1632" customWidth="1"/>
    <col min="10258" max="10258" width="7.875" style="1632" customWidth="1"/>
    <col min="10259" max="10469" width="9" style="1632"/>
    <col min="10470" max="10470" width="113.125" style="1632" customWidth="1"/>
    <col min="10471" max="10471" width="6.25" style="1632" customWidth="1"/>
    <col min="10472" max="10472" width="13.875" style="1632" customWidth="1"/>
    <col min="10473" max="10473" width="6.25" style="1632" customWidth="1"/>
    <col min="10474" max="10474" width="4.625" style="1632" customWidth="1"/>
    <col min="10475" max="10475" width="24.5" style="1632" customWidth="1"/>
    <col min="10476" max="10476" width="7.875" style="1632" customWidth="1"/>
    <col min="10477" max="10477" width="21.125" style="1632" customWidth="1"/>
    <col min="10478" max="10478" width="83.375" style="1632" customWidth="1"/>
    <col min="10479" max="10480" width="13.875" style="1632" customWidth="1"/>
    <col min="10481" max="10481" width="45.625" style="1632" customWidth="1"/>
    <col min="10482" max="10482" width="7.875" style="1632" customWidth="1"/>
    <col min="10483" max="10483" width="23.375" style="1632" customWidth="1"/>
    <col min="10484" max="10484" width="24" style="1632" customWidth="1"/>
    <col min="10485" max="10485" width="10" style="1632" customWidth="1"/>
    <col min="10486" max="10487" width="15.5" style="1632" customWidth="1"/>
    <col min="10488" max="10488" width="77.75" style="1632" customWidth="1"/>
    <col min="10489" max="10489" width="51.75" style="1632" customWidth="1"/>
    <col min="10490" max="10490" width="37.25" style="1632" customWidth="1"/>
    <col min="10491" max="10491" width="17.875" style="1632" customWidth="1"/>
    <col min="10492" max="10492" width="7.875" style="1632" customWidth="1"/>
    <col min="10493" max="10496" width="9" style="1632" customWidth="1"/>
    <col min="10497" max="10497" width="21.125" style="1632" customWidth="1"/>
    <col min="10498" max="10498" width="7.875" style="1632" customWidth="1"/>
    <col min="10499" max="10499" width="145" style="1632" customWidth="1"/>
    <col min="10500" max="10502" width="10.625" style="1632" customWidth="1"/>
    <col min="10503" max="10504" width="16" style="1632" customWidth="1"/>
    <col min="10505" max="10506" width="14.375" style="1632" customWidth="1"/>
    <col min="10507" max="10508" width="21.875" style="1632" customWidth="1"/>
    <col min="10509" max="10509" width="6.25" style="1632" customWidth="1"/>
    <col min="10510" max="10510" width="24.5" style="1632" customWidth="1"/>
    <col min="10511" max="10511" width="16.875" style="1632" customWidth="1"/>
    <col min="10512" max="10513" width="20.125" style="1632" customWidth="1"/>
    <col min="10514" max="10514" width="7.875" style="1632" customWidth="1"/>
    <col min="10515" max="10725" width="9" style="1632"/>
    <col min="10726" max="10726" width="113.125" style="1632" customWidth="1"/>
    <col min="10727" max="10727" width="6.25" style="1632" customWidth="1"/>
    <col min="10728" max="10728" width="13.875" style="1632" customWidth="1"/>
    <col min="10729" max="10729" width="6.25" style="1632" customWidth="1"/>
    <col min="10730" max="10730" width="4.625" style="1632" customWidth="1"/>
    <col min="10731" max="10731" width="24.5" style="1632" customWidth="1"/>
    <col min="10732" max="10732" width="7.875" style="1632" customWidth="1"/>
    <col min="10733" max="10733" width="21.125" style="1632" customWidth="1"/>
    <col min="10734" max="10734" width="83.375" style="1632" customWidth="1"/>
    <col min="10735" max="10736" width="13.875" style="1632" customWidth="1"/>
    <col min="10737" max="10737" width="45.625" style="1632" customWidth="1"/>
    <col min="10738" max="10738" width="7.875" style="1632" customWidth="1"/>
    <col min="10739" max="10739" width="23.375" style="1632" customWidth="1"/>
    <col min="10740" max="10740" width="24" style="1632" customWidth="1"/>
    <col min="10741" max="10741" width="10" style="1632" customWidth="1"/>
    <col min="10742" max="10743" width="15.5" style="1632" customWidth="1"/>
    <col min="10744" max="10744" width="77.75" style="1632" customWidth="1"/>
    <col min="10745" max="10745" width="51.75" style="1632" customWidth="1"/>
    <col min="10746" max="10746" width="37.25" style="1632" customWidth="1"/>
    <col min="10747" max="10747" width="17.875" style="1632" customWidth="1"/>
    <col min="10748" max="10748" width="7.875" style="1632" customWidth="1"/>
    <col min="10749" max="10752" width="9" style="1632" customWidth="1"/>
    <col min="10753" max="10753" width="21.125" style="1632" customWidth="1"/>
    <col min="10754" max="10754" width="7.875" style="1632" customWidth="1"/>
    <col min="10755" max="10755" width="145" style="1632" customWidth="1"/>
    <col min="10756" max="10758" width="10.625" style="1632" customWidth="1"/>
    <col min="10759" max="10760" width="16" style="1632" customWidth="1"/>
    <col min="10761" max="10762" width="14.375" style="1632" customWidth="1"/>
    <col min="10763" max="10764" width="21.875" style="1632" customWidth="1"/>
    <col min="10765" max="10765" width="6.25" style="1632" customWidth="1"/>
    <col min="10766" max="10766" width="24.5" style="1632" customWidth="1"/>
    <col min="10767" max="10767" width="16.875" style="1632" customWidth="1"/>
    <col min="10768" max="10769" width="20.125" style="1632" customWidth="1"/>
    <col min="10770" max="10770" width="7.875" style="1632" customWidth="1"/>
    <col min="10771" max="10981" width="9" style="1632"/>
    <col min="10982" max="10982" width="113.125" style="1632" customWidth="1"/>
    <col min="10983" max="10983" width="6.25" style="1632" customWidth="1"/>
    <col min="10984" max="10984" width="13.875" style="1632" customWidth="1"/>
    <col min="10985" max="10985" width="6.25" style="1632" customWidth="1"/>
    <col min="10986" max="10986" width="4.625" style="1632" customWidth="1"/>
    <col min="10987" max="10987" width="24.5" style="1632" customWidth="1"/>
    <col min="10988" max="10988" width="7.875" style="1632" customWidth="1"/>
    <col min="10989" max="10989" width="21.125" style="1632" customWidth="1"/>
    <col min="10990" max="10990" width="83.375" style="1632" customWidth="1"/>
    <col min="10991" max="10992" width="13.875" style="1632" customWidth="1"/>
    <col min="10993" max="10993" width="45.625" style="1632" customWidth="1"/>
    <col min="10994" max="10994" width="7.875" style="1632" customWidth="1"/>
    <col min="10995" max="10995" width="23.375" style="1632" customWidth="1"/>
    <col min="10996" max="10996" width="24" style="1632" customWidth="1"/>
    <col min="10997" max="10997" width="10" style="1632" customWidth="1"/>
    <col min="10998" max="10999" width="15.5" style="1632" customWidth="1"/>
    <col min="11000" max="11000" width="77.75" style="1632" customWidth="1"/>
    <col min="11001" max="11001" width="51.75" style="1632" customWidth="1"/>
    <col min="11002" max="11002" width="37.25" style="1632" customWidth="1"/>
    <col min="11003" max="11003" width="17.875" style="1632" customWidth="1"/>
    <col min="11004" max="11004" width="7.875" style="1632" customWidth="1"/>
    <col min="11005" max="11008" width="9" style="1632" customWidth="1"/>
    <col min="11009" max="11009" width="21.125" style="1632" customWidth="1"/>
    <col min="11010" max="11010" width="7.875" style="1632" customWidth="1"/>
    <col min="11011" max="11011" width="145" style="1632" customWidth="1"/>
    <col min="11012" max="11014" width="10.625" style="1632" customWidth="1"/>
    <col min="11015" max="11016" width="16" style="1632" customWidth="1"/>
    <col min="11017" max="11018" width="14.375" style="1632" customWidth="1"/>
    <col min="11019" max="11020" width="21.875" style="1632" customWidth="1"/>
    <col min="11021" max="11021" width="6.25" style="1632" customWidth="1"/>
    <col min="11022" max="11022" width="24.5" style="1632" customWidth="1"/>
    <col min="11023" max="11023" width="16.875" style="1632" customWidth="1"/>
    <col min="11024" max="11025" width="20.125" style="1632" customWidth="1"/>
    <col min="11026" max="11026" width="7.875" style="1632" customWidth="1"/>
    <col min="11027" max="11237" width="9" style="1632"/>
    <col min="11238" max="11238" width="113.125" style="1632" customWidth="1"/>
    <col min="11239" max="11239" width="6.25" style="1632" customWidth="1"/>
    <col min="11240" max="11240" width="13.875" style="1632" customWidth="1"/>
    <col min="11241" max="11241" width="6.25" style="1632" customWidth="1"/>
    <col min="11242" max="11242" width="4.625" style="1632" customWidth="1"/>
    <col min="11243" max="11243" width="24.5" style="1632" customWidth="1"/>
    <col min="11244" max="11244" width="7.875" style="1632" customWidth="1"/>
    <col min="11245" max="11245" width="21.125" style="1632" customWidth="1"/>
    <col min="11246" max="11246" width="83.375" style="1632" customWidth="1"/>
    <col min="11247" max="11248" width="13.875" style="1632" customWidth="1"/>
    <col min="11249" max="11249" width="45.625" style="1632" customWidth="1"/>
    <col min="11250" max="11250" width="7.875" style="1632" customWidth="1"/>
    <col min="11251" max="11251" width="23.375" style="1632" customWidth="1"/>
    <col min="11252" max="11252" width="24" style="1632" customWidth="1"/>
    <col min="11253" max="11253" width="10" style="1632" customWidth="1"/>
    <col min="11254" max="11255" width="15.5" style="1632" customWidth="1"/>
    <col min="11256" max="11256" width="77.75" style="1632" customWidth="1"/>
    <col min="11257" max="11257" width="51.75" style="1632" customWidth="1"/>
    <col min="11258" max="11258" width="37.25" style="1632" customWidth="1"/>
    <col min="11259" max="11259" width="17.875" style="1632" customWidth="1"/>
    <col min="11260" max="11260" width="7.875" style="1632" customWidth="1"/>
    <col min="11261" max="11264" width="9" style="1632" customWidth="1"/>
    <col min="11265" max="11265" width="21.125" style="1632" customWidth="1"/>
    <col min="11266" max="11266" width="7.875" style="1632" customWidth="1"/>
    <col min="11267" max="11267" width="145" style="1632" customWidth="1"/>
    <col min="11268" max="11270" width="10.625" style="1632" customWidth="1"/>
    <col min="11271" max="11272" width="16" style="1632" customWidth="1"/>
    <col min="11273" max="11274" width="14.375" style="1632" customWidth="1"/>
    <col min="11275" max="11276" width="21.875" style="1632" customWidth="1"/>
    <col min="11277" max="11277" width="6.25" style="1632" customWidth="1"/>
    <col min="11278" max="11278" width="24.5" style="1632" customWidth="1"/>
    <col min="11279" max="11279" width="16.875" style="1632" customWidth="1"/>
    <col min="11280" max="11281" width="20.125" style="1632" customWidth="1"/>
    <col min="11282" max="11282" width="7.875" style="1632" customWidth="1"/>
    <col min="11283" max="11493" width="9" style="1632"/>
    <col min="11494" max="11494" width="113.125" style="1632" customWidth="1"/>
    <col min="11495" max="11495" width="6.25" style="1632" customWidth="1"/>
    <col min="11496" max="11496" width="13.875" style="1632" customWidth="1"/>
    <col min="11497" max="11497" width="6.25" style="1632" customWidth="1"/>
    <col min="11498" max="11498" width="4.625" style="1632" customWidth="1"/>
    <col min="11499" max="11499" width="24.5" style="1632" customWidth="1"/>
    <col min="11500" max="11500" width="7.875" style="1632" customWidth="1"/>
    <col min="11501" max="11501" width="21.125" style="1632" customWidth="1"/>
    <col min="11502" max="11502" width="83.375" style="1632" customWidth="1"/>
    <col min="11503" max="11504" width="13.875" style="1632" customWidth="1"/>
    <col min="11505" max="11505" width="45.625" style="1632" customWidth="1"/>
    <col min="11506" max="11506" width="7.875" style="1632" customWidth="1"/>
    <col min="11507" max="11507" width="23.375" style="1632" customWidth="1"/>
    <col min="11508" max="11508" width="24" style="1632" customWidth="1"/>
    <col min="11509" max="11509" width="10" style="1632" customWidth="1"/>
    <col min="11510" max="11511" width="15.5" style="1632" customWidth="1"/>
    <col min="11512" max="11512" width="77.75" style="1632" customWidth="1"/>
    <col min="11513" max="11513" width="51.75" style="1632" customWidth="1"/>
    <col min="11514" max="11514" width="37.25" style="1632" customWidth="1"/>
    <col min="11515" max="11515" width="17.875" style="1632" customWidth="1"/>
    <col min="11516" max="11516" width="7.875" style="1632" customWidth="1"/>
    <col min="11517" max="11520" width="9" style="1632" customWidth="1"/>
    <col min="11521" max="11521" width="21.125" style="1632" customWidth="1"/>
    <col min="11522" max="11522" width="7.875" style="1632" customWidth="1"/>
    <col min="11523" max="11523" width="145" style="1632" customWidth="1"/>
    <col min="11524" max="11526" width="10.625" style="1632" customWidth="1"/>
    <col min="11527" max="11528" width="16" style="1632" customWidth="1"/>
    <col min="11529" max="11530" width="14.375" style="1632" customWidth="1"/>
    <col min="11531" max="11532" width="21.875" style="1632" customWidth="1"/>
    <col min="11533" max="11533" width="6.25" style="1632" customWidth="1"/>
    <col min="11534" max="11534" width="24.5" style="1632" customWidth="1"/>
    <col min="11535" max="11535" width="16.875" style="1632" customWidth="1"/>
    <col min="11536" max="11537" width="20.125" style="1632" customWidth="1"/>
    <col min="11538" max="11538" width="7.875" style="1632" customWidth="1"/>
    <col min="11539" max="11749" width="9" style="1632"/>
    <col min="11750" max="11750" width="113.125" style="1632" customWidth="1"/>
    <col min="11751" max="11751" width="6.25" style="1632" customWidth="1"/>
    <col min="11752" max="11752" width="13.875" style="1632" customWidth="1"/>
    <col min="11753" max="11753" width="6.25" style="1632" customWidth="1"/>
    <col min="11754" max="11754" width="4.625" style="1632" customWidth="1"/>
    <col min="11755" max="11755" width="24.5" style="1632" customWidth="1"/>
    <col min="11756" max="11756" width="7.875" style="1632" customWidth="1"/>
    <col min="11757" max="11757" width="21.125" style="1632" customWidth="1"/>
    <col min="11758" max="11758" width="83.375" style="1632" customWidth="1"/>
    <col min="11759" max="11760" width="13.875" style="1632" customWidth="1"/>
    <col min="11761" max="11761" width="45.625" style="1632" customWidth="1"/>
    <col min="11762" max="11762" width="7.875" style="1632" customWidth="1"/>
    <col min="11763" max="11763" width="23.375" style="1632" customWidth="1"/>
    <col min="11764" max="11764" width="24" style="1632" customWidth="1"/>
    <col min="11765" max="11765" width="10" style="1632" customWidth="1"/>
    <col min="11766" max="11767" width="15.5" style="1632" customWidth="1"/>
    <col min="11768" max="11768" width="77.75" style="1632" customWidth="1"/>
    <col min="11769" max="11769" width="51.75" style="1632" customWidth="1"/>
    <col min="11770" max="11770" width="37.25" style="1632" customWidth="1"/>
    <col min="11771" max="11771" width="17.875" style="1632" customWidth="1"/>
    <col min="11772" max="11772" width="7.875" style="1632" customWidth="1"/>
    <col min="11773" max="11776" width="9" style="1632" customWidth="1"/>
    <col min="11777" max="11777" width="21.125" style="1632" customWidth="1"/>
    <col min="11778" max="11778" width="7.875" style="1632" customWidth="1"/>
    <col min="11779" max="11779" width="145" style="1632" customWidth="1"/>
    <col min="11780" max="11782" width="10.625" style="1632" customWidth="1"/>
    <col min="11783" max="11784" width="16" style="1632" customWidth="1"/>
    <col min="11785" max="11786" width="14.375" style="1632" customWidth="1"/>
    <col min="11787" max="11788" width="21.875" style="1632" customWidth="1"/>
    <col min="11789" max="11789" width="6.25" style="1632" customWidth="1"/>
    <col min="11790" max="11790" width="24.5" style="1632" customWidth="1"/>
    <col min="11791" max="11791" width="16.875" style="1632" customWidth="1"/>
    <col min="11792" max="11793" width="20.125" style="1632" customWidth="1"/>
    <col min="11794" max="11794" width="7.875" style="1632" customWidth="1"/>
    <col min="11795" max="12005" width="9" style="1632"/>
    <col min="12006" max="12006" width="113.125" style="1632" customWidth="1"/>
    <col min="12007" max="12007" width="6.25" style="1632" customWidth="1"/>
    <col min="12008" max="12008" width="13.875" style="1632" customWidth="1"/>
    <col min="12009" max="12009" width="6.25" style="1632" customWidth="1"/>
    <col min="12010" max="12010" width="4.625" style="1632" customWidth="1"/>
    <col min="12011" max="12011" width="24.5" style="1632" customWidth="1"/>
    <col min="12012" max="12012" width="7.875" style="1632" customWidth="1"/>
    <col min="12013" max="12013" width="21.125" style="1632" customWidth="1"/>
    <col min="12014" max="12014" width="83.375" style="1632" customWidth="1"/>
    <col min="12015" max="12016" width="13.875" style="1632" customWidth="1"/>
    <col min="12017" max="12017" width="45.625" style="1632" customWidth="1"/>
    <col min="12018" max="12018" width="7.875" style="1632" customWidth="1"/>
    <col min="12019" max="12019" width="23.375" style="1632" customWidth="1"/>
    <col min="12020" max="12020" width="24" style="1632" customWidth="1"/>
    <col min="12021" max="12021" width="10" style="1632" customWidth="1"/>
    <col min="12022" max="12023" width="15.5" style="1632" customWidth="1"/>
    <col min="12024" max="12024" width="77.75" style="1632" customWidth="1"/>
    <col min="12025" max="12025" width="51.75" style="1632" customWidth="1"/>
    <col min="12026" max="12026" width="37.25" style="1632" customWidth="1"/>
    <col min="12027" max="12027" width="17.875" style="1632" customWidth="1"/>
    <col min="12028" max="12028" width="7.875" style="1632" customWidth="1"/>
    <col min="12029" max="12032" width="9" style="1632" customWidth="1"/>
    <col min="12033" max="12033" width="21.125" style="1632" customWidth="1"/>
    <col min="12034" max="12034" width="7.875" style="1632" customWidth="1"/>
    <col min="12035" max="12035" width="145" style="1632" customWidth="1"/>
    <col min="12036" max="12038" width="10.625" style="1632" customWidth="1"/>
    <col min="12039" max="12040" width="16" style="1632" customWidth="1"/>
    <col min="12041" max="12042" width="14.375" style="1632" customWidth="1"/>
    <col min="12043" max="12044" width="21.875" style="1632" customWidth="1"/>
    <col min="12045" max="12045" width="6.25" style="1632" customWidth="1"/>
    <col min="12046" max="12046" width="24.5" style="1632" customWidth="1"/>
    <col min="12047" max="12047" width="16.875" style="1632" customWidth="1"/>
    <col min="12048" max="12049" width="20.125" style="1632" customWidth="1"/>
    <col min="12050" max="12050" width="7.875" style="1632" customWidth="1"/>
    <col min="12051" max="12261" width="9" style="1632"/>
    <col min="12262" max="12262" width="113.125" style="1632" customWidth="1"/>
    <col min="12263" max="12263" width="6.25" style="1632" customWidth="1"/>
    <col min="12264" max="12264" width="13.875" style="1632" customWidth="1"/>
    <col min="12265" max="12265" width="6.25" style="1632" customWidth="1"/>
    <col min="12266" max="12266" width="4.625" style="1632" customWidth="1"/>
    <col min="12267" max="12267" width="24.5" style="1632" customWidth="1"/>
    <col min="12268" max="12268" width="7.875" style="1632" customWidth="1"/>
    <col min="12269" max="12269" width="21.125" style="1632" customWidth="1"/>
    <col min="12270" max="12270" width="83.375" style="1632" customWidth="1"/>
    <col min="12271" max="12272" width="13.875" style="1632" customWidth="1"/>
    <col min="12273" max="12273" width="45.625" style="1632" customWidth="1"/>
    <col min="12274" max="12274" width="7.875" style="1632" customWidth="1"/>
    <col min="12275" max="12275" width="23.375" style="1632" customWidth="1"/>
    <col min="12276" max="12276" width="24" style="1632" customWidth="1"/>
    <col min="12277" max="12277" width="10" style="1632" customWidth="1"/>
    <col min="12278" max="12279" width="15.5" style="1632" customWidth="1"/>
    <col min="12280" max="12280" width="77.75" style="1632" customWidth="1"/>
    <col min="12281" max="12281" width="51.75" style="1632" customWidth="1"/>
    <col min="12282" max="12282" width="37.25" style="1632" customWidth="1"/>
    <col min="12283" max="12283" width="17.875" style="1632" customWidth="1"/>
    <col min="12284" max="12284" width="7.875" style="1632" customWidth="1"/>
    <col min="12285" max="12288" width="9" style="1632" customWidth="1"/>
    <col min="12289" max="12289" width="21.125" style="1632" customWidth="1"/>
    <col min="12290" max="12290" width="7.875" style="1632" customWidth="1"/>
    <col min="12291" max="12291" width="145" style="1632" customWidth="1"/>
    <col min="12292" max="12294" width="10.625" style="1632" customWidth="1"/>
    <col min="12295" max="12296" width="16" style="1632" customWidth="1"/>
    <col min="12297" max="12298" width="14.375" style="1632" customWidth="1"/>
    <col min="12299" max="12300" width="21.875" style="1632" customWidth="1"/>
    <col min="12301" max="12301" width="6.25" style="1632" customWidth="1"/>
    <col min="12302" max="12302" width="24.5" style="1632" customWidth="1"/>
    <col min="12303" max="12303" width="16.875" style="1632" customWidth="1"/>
    <col min="12304" max="12305" width="20.125" style="1632" customWidth="1"/>
    <col min="12306" max="12306" width="7.875" style="1632" customWidth="1"/>
    <col min="12307" max="12517" width="9" style="1632"/>
    <col min="12518" max="12518" width="113.125" style="1632" customWidth="1"/>
    <col min="12519" max="12519" width="6.25" style="1632" customWidth="1"/>
    <col min="12520" max="12520" width="13.875" style="1632" customWidth="1"/>
    <col min="12521" max="12521" width="6.25" style="1632" customWidth="1"/>
    <col min="12522" max="12522" width="4.625" style="1632" customWidth="1"/>
    <col min="12523" max="12523" width="24.5" style="1632" customWidth="1"/>
    <col min="12524" max="12524" width="7.875" style="1632" customWidth="1"/>
    <col min="12525" max="12525" width="21.125" style="1632" customWidth="1"/>
    <col min="12526" max="12526" width="83.375" style="1632" customWidth="1"/>
    <col min="12527" max="12528" width="13.875" style="1632" customWidth="1"/>
    <col min="12529" max="12529" width="45.625" style="1632" customWidth="1"/>
    <col min="12530" max="12530" width="7.875" style="1632" customWidth="1"/>
    <col min="12531" max="12531" width="23.375" style="1632" customWidth="1"/>
    <col min="12532" max="12532" width="24" style="1632" customWidth="1"/>
    <col min="12533" max="12533" width="10" style="1632" customWidth="1"/>
    <col min="12534" max="12535" width="15.5" style="1632" customWidth="1"/>
    <col min="12536" max="12536" width="77.75" style="1632" customWidth="1"/>
    <col min="12537" max="12537" width="51.75" style="1632" customWidth="1"/>
    <col min="12538" max="12538" width="37.25" style="1632" customWidth="1"/>
    <col min="12539" max="12539" width="17.875" style="1632" customWidth="1"/>
    <col min="12540" max="12540" width="7.875" style="1632" customWidth="1"/>
    <col min="12541" max="12544" width="9" style="1632" customWidth="1"/>
    <col min="12545" max="12545" width="21.125" style="1632" customWidth="1"/>
    <col min="12546" max="12546" width="7.875" style="1632" customWidth="1"/>
    <col min="12547" max="12547" width="145" style="1632" customWidth="1"/>
    <col min="12548" max="12550" width="10.625" style="1632" customWidth="1"/>
    <col min="12551" max="12552" width="16" style="1632" customWidth="1"/>
    <col min="12553" max="12554" width="14.375" style="1632" customWidth="1"/>
    <col min="12555" max="12556" width="21.875" style="1632" customWidth="1"/>
    <col min="12557" max="12557" width="6.25" style="1632" customWidth="1"/>
    <col min="12558" max="12558" width="24.5" style="1632" customWidth="1"/>
    <col min="12559" max="12559" width="16.875" style="1632" customWidth="1"/>
    <col min="12560" max="12561" width="20.125" style="1632" customWidth="1"/>
    <col min="12562" max="12562" width="7.875" style="1632" customWidth="1"/>
    <col min="12563" max="12773" width="9" style="1632"/>
    <col min="12774" max="12774" width="113.125" style="1632" customWidth="1"/>
    <col min="12775" max="12775" width="6.25" style="1632" customWidth="1"/>
    <col min="12776" max="12776" width="13.875" style="1632" customWidth="1"/>
    <col min="12777" max="12777" width="6.25" style="1632" customWidth="1"/>
    <col min="12778" max="12778" width="4.625" style="1632" customWidth="1"/>
    <col min="12779" max="12779" width="24.5" style="1632" customWidth="1"/>
    <col min="12780" max="12780" width="7.875" style="1632" customWidth="1"/>
    <col min="12781" max="12781" width="21.125" style="1632" customWidth="1"/>
    <col min="12782" max="12782" width="83.375" style="1632" customWidth="1"/>
    <col min="12783" max="12784" width="13.875" style="1632" customWidth="1"/>
    <col min="12785" max="12785" width="45.625" style="1632" customWidth="1"/>
    <col min="12786" max="12786" width="7.875" style="1632" customWidth="1"/>
    <col min="12787" max="12787" width="23.375" style="1632" customWidth="1"/>
    <col min="12788" max="12788" width="24" style="1632" customWidth="1"/>
    <col min="12789" max="12789" width="10" style="1632" customWidth="1"/>
    <col min="12790" max="12791" width="15.5" style="1632" customWidth="1"/>
    <col min="12792" max="12792" width="77.75" style="1632" customWidth="1"/>
    <col min="12793" max="12793" width="51.75" style="1632" customWidth="1"/>
    <col min="12794" max="12794" width="37.25" style="1632" customWidth="1"/>
    <col min="12795" max="12795" width="17.875" style="1632" customWidth="1"/>
    <col min="12796" max="12796" width="7.875" style="1632" customWidth="1"/>
    <col min="12797" max="12800" width="9" style="1632" customWidth="1"/>
    <col min="12801" max="12801" width="21.125" style="1632" customWidth="1"/>
    <col min="12802" max="12802" width="7.875" style="1632" customWidth="1"/>
    <col min="12803" max="12803" width="145" style="1632" customWidth="1"/>
    <col min="12804" max="12806" width="10.625" style="1632" customWidth="1"/>
    <col min="12807" max="12808" width="16" style="1632" customWidth="1"/>
    <col min="12809" max="12810" width="14.375" style="1632" customWidth="1"/>
    <col min="12811" max="12812" width="21.875" style="1632" customWidth="1"/>
    <col min="12813" max="12813" width="6.25" style="1632" customWidth="1"/>
    <col min="12814" max="12814" width="24.5" style="1632" customWidth="1"/>
    <col min="12815" max="12815" width="16.875" style="1632" customWidth="1"/>
    <col min="12816" max="12817" width="20.125" style="1632" customWidth="1"/>
    <col min="12818" max="12818" width="7.875" style="1632" customWidth="1"/>
    <col min="12819" max="13029" width="9" style="1632"/>
    <col min="13030" max="13030" width="113.125" style="1632" customWidth="1"/>
    <col min="13031" max="13031" width="6.25" style="1632" customWidth="1"/>
    <col min="13032" max="13032" width="13.875" style="1632" customWidth="1"/>
    <col min="13033" max="13033" width="6.25" style="1632" customWidth="1"/>
    <col min="13034" max="13034" width="4.625" style="1632" customWidth="1"/>
    <col min="13035" max="13035" width="24.5" style="1632" customWidth="1"/>
    <col min="13036" max="13036" width="7.875" style="1632" customWidth="1"/>
    <col min="13037" max="13037" width="21.125" style="1632" customWidth="1"/>
    <col min="13038" max="13038" width="83.375" style="1632" customWidth="1"/>
    <col min="13039" max="13040" width="13.875" style="1632" customWidth="1"/>
    <col min="13041" max="13041" width="45.625" style="1632" customWidth="1"/>
    <col min="13042" max="13042" width="7.875" style="1632" customWidth="1"/>
    <col min="13043" max="13043" width="23.375" style="1632" customWidth="1"/>
    <col min="13044" max="13044" width="24" style="1632" customWidth="1"/>
    <col min="13045" max="13045" width="10" style="1632" customWidth="1"/>
    <col min="13046" max="13047" width="15.5" style="1632" customWidth="1"/>
    <col min="13048" max="13048" width="77.75" style="1632" customWidth="1"/>
    <col min="13049" max="13049" width="51.75" style="1632" customWidth="1"/>
    <col min="13050" max="13050" width="37.25" style="1632" customWidth="1"/>
    <col min="13051" max="13051" width="17.875" style="1632" customWidth="1"/>
    <col min="13052" max="13052" width="7.875" style="1632" customWidth="1"/>
    <col min="13053" max="13056" width="9" style="1632" customWidth="1"/>
    <col min="13057" max="13057" width="21.125" style="1632" customWidth="1"/>
    <col min="13058" max="13058" width="7.875" style="1632" customWidth="1"/>
    <col min="13059" max="13059" width="145" style="1632" customWidth="1"/>
    <col min="13060" max="13062" width="10.625" style="1632" customWidth="1"/>
    <col min="13063" max="13064" width="16" style="1632" customWidth="1"/>
    <col min="13065" max="13066" width="14.375" style="1632" customWidth="1"/>
    <col min="13067" max="13068" width="21.875" style="1632" customWidth="1"/>
    <col min="13069" max="13069" width="6.25" style="1632" customWidth="1"/>
    <col min="13070" max="13070" width="24.5" style="1632" customWidth="1"/>
    <col min="13071" max="13071" width="16.875" style="1632" customWidth="1"/>
    <col min="13072" max="13073" width="20.125" style="1632" customWidth="1"/>
    <col min="13074" max="13074" width="7.875" style="1632" customWidth="1"/>
    <col min="13075" max="13285" width="9" style="1632"/>
    <col min="13286" max="13286" width="113.125" style="1632" customWidth="1"/>
    <col min="13287" max="13287" width="6.25" style="1632" customWidth="1"/>
    <col min="13288" max="13288" width="13.875" style="1632" customWidth="1"/>
    <col min="13289" max="13289" width="6.25" style="1632" customWidth="1"/>
    <col min="13290" max="13290" width="4.625" style="1632" customWidth="1"/>
    <col min="13291" max="13291" width="24.5" style="1632" customWidth="1"/>
    <col min="13292" max="13292" width="7.875" style="1632" customWidth="1"/>
    <col min="13293" max="13293" width="21.125" style="1632" customWidth="1"/>
    <col min="13294" max="13294" width="83.375" style="1632" customWidth="1"/>
    <col min="13295" max="13296" width="13.875" style="1632" customWidth="1"/>
    <col min="13297" max="13297" width="45.625" style="1632" customWidth="1"/>
    <col min="13298" max="13298" width="7.875" style="1632" customWidth="1"/>
    <col min="13299" max="13299" width="23.375" style="1632" customWidth="1"/>
    <col min="13300" max="13300" width="24" style="1632" customWidth="1"/>
    <col min="13301" max="13301" width="10" style="1632" customWidth="1"/>
    <col min="13302" max="13303" width="15.5" style="1632" customWidth="1"/>
    <col min="13304" max="13304" width="77.75" style="1632" customWidth="1"/>
    <col min="13305" max="13305" width="51.75" style="1632" customWidth="1"/>
    <col min="13306" max="13306" width="37.25" style="1632" customWidth="1"/>
    <col min="13307" max="13307" width="17.875" style="1632" customWidth="1"/>
    <col min="13308" max="13308" width="7.875" style="1632" customWidth="1"/>
    <col min="13309" max="13312" width="9" style="1632" customWidth="1"/>
    <col min="13313" max="13313" width="21.125" style="1632" customWidth="1"/>
    <col min="13314" max="13314" width="7.875" style="1632" customWidth="1"/>
    <col min="13315" max="13315" width="145" style="1632" customWidth="1"/>
    <col min="13316" max="13318" width="10.625" style="1632" customWidth="1"/>
    <col min="13319" max="13320" width="16" style="1632" customWidth="1"/>
    <col min="13321" max="13322" width="14.375" style="1632" customWidth="1"/>
    <col min="13323" max="13324" width="21.875" style="1632" customWidth="1"/>
    <col min="13325" max="13325" width="6.25" style="1632" customWidth="1"/>
    <col min="13326" max="13326" width="24.5" style="1632" customWidth="1"/>
    <col min="13327" max="13327" width="16.875" style="1632" customWidth="1"/>
    <col min="13328" max="13329" width="20.125" style="1632" customWidth="1"/>
    <col min="13330" max="13330" width="7.875" style="1632" customWidth="1"/>
    <col min="13331" max="13541" width="9" style="1632"/>
    <col min="13542" max="13542" width="113.125" style="1632" customWidth="1"/>
    <col min="13543" max="13543" width="6.25" style="1632" customWidth="1"/>
    <col min="13544" max="13544" width="13.875" style="1632" customWidth="1"/>
    <col min="13545" max="13545" width="6.25" style="1632" customWidth="1"/>
    <col min="13546" max="13546" width="4.625" style="1632" customWidth="1"/>
    <col min="13547" max="13547" width="24.5" style="1632" customWidth="1"/>
    <col min="13548" max="13548" width="7.875" style="1632" customWidth="1"/>
    <col min="13549" max="13549" width="21.125" style="1632" customWidth="1"/>
    <col min="13550" max="13550" width="83.375" style="1632" customWidth="1"/>
    <col min="13551" max="13552" width="13.875" style="1632" customWidth="1"/>
    <col min="13553" max="13553" width="45.625" style="1632" customWidth="1"/>
    <col min="13554" max="13554" width="7.875" style="1632" customWidth="1"/>
    <col min="13555" max="13555" width="23.375" style="1632" customWidth="1"/>
    <col min="13556" max="13556" width="24" style="1632" customWidth="1"/>
    <col min="13557" max="13557" width="10" style="1632" customWidth="1"/>
    <col min="13558" max="13559" width="15.5" style="1632" customWidth="1"/>
    <col min="13560" max="13560" width="77.75" style="1632" customWidth="1"/>
    <col min="13561" max="13561" width="51.75" style="1632" customWidth="1"/>
    <col min="13562" max="13562" width="37.25" style="1632" customWidth="1"/>
    <col min="13563" max="13563" width="17.875" style="1632" customWidth="1"/>
    <col min="13564" max="13564" width="7.875" style="1632" customWidth="1"/>
    <col min="13565" max="13568" width="9" style="1632" customWidth="1"/>
    <col min="13569" max="13569" width="21.125" style="1632" customWidth="1"/>
    <col min="13570" max="13570" width="7.875" style="1632" customWidth="1"/>
    <col min="13571" max="13571" width="145" style="1632" customWidth="1"/>
    <col min="13572" max="13574" width="10.625" style="1632" customWidth="1"/>
    <col min="13575" max="13576" width="16" style="1632" customWidth="1"/>
    <col min="13577" max="13578" width="14.375" style="1632" customWidth="1"/>
    <col min="13579" max="13580" width="21.875" style="1632" customWidth="1"/>
    <col min="13581" max="13581" width="6.25" style="1632" customWidth="1"/>
    <col min="13582" max="13582" width="24.5" style="1632" customWidth="1"/>
    <col min="13583" max="13583" width="16.875" style="1632" customWidth="1"/>
    <col min="13584" max="13585" width="20.125" style="1632" customWidth="1"/>
    <col min="13586" max="13586" width="7.875" style="1632" customWidth="1"/>
    <col min="13587" max="13797" width="9" style="1632"/>
    <col min="13798" max="13798" width="113.125" style="1632" customWidth="1"/>
    <col min="13799" max="13799" width="6.25" style="1632" customWidth="1"/>
    <col min="13800" max="13800" width="13.875" style="1632" customWidth="1"/>
    <col min="13801" max="13801" width="6.25" style="1632" customWidth="1"/>
    <col min="13802" max="13802" width="4.625" style="1632" customWidth="1"/>
    <col min="13803" max="13803" width="24.5" style="1632" customWidth="1"/>
    <col min="13804" max="13804" width="7.875" style="1632" customWidth="1"/>
    <col min="13805" max="13805" width="21.125" style="1632" customWidth="1"/>
    <col min="13806" max="13806" width="83.375" style="1632" customWidth="1"/>
    <col min="13807" max="13808" width="13.875" style="1632" customWidth="1"/>
    <col min="13809" max="13809" width="45.625" style="1632" customWidth="1"/>
    <col min="13810" max="13810" width="7.875" style="1632" customWidth="1"/>
    <col min="13811" max="13811" width="23.375" style="1632" customWidth="1"/>
    <col min="13812" max="13812" width="24" style="1632" customWidth="1"/>
    <col min="13813" max="13813" width="10" style="1632" customWidth="1"/>
    <col min="13814" max="13815" width="15.5" style="1632" customWidth="1"/>
    <col min="13816" max="13816" width="77.75" style="1632" customWidth="1"/>
    <col min="13817" max="13817" width="51.75" style="1632" customWidth="1"/>
    <col min="13818" max="13818" width="37.25" style="1632" customWidth="1"/>
    <col min="13819" max="13819" width="17.875" style="1632" customWidth="1"/>
    <col min="13820" max="13820" width="7.875" style="1632" customWidth="1"/>
    <col min="13821" max="13824" width="9" style="1632" customWidth="1"/>
    <col min="13825" max="13825" width="21.125" style="1632" customWidth="1"/>
    <col min="13826" max="13826" width="7.875" style="1632" customWidth="1"/>
    <col min="13827" max="13827" width="145" style="1632" customWidth="1"/>
    <col min="13828" max="13830" width="10.625" style="1632" customWidth="1"/>
    <col min="13831" max="13832" width="16" style="1632" customWidth="1"/>
    <col min="13833" max="13834" width="14.375" style="1632" customWidth="1"/>
    <col min="13835" max="13836" width="21.875" style="1632" customWidth="1"/>
    <col min="13837" max="13837" width="6.25" style="1632" customWidth="1"/>
    <col min="13838" max="13838" width="24.5" style="1632" customWidth="1"/>
    <col min="13839" max="13839" width="16.875" style="1632" customWidth="1"/>
    <col min="13840" max="13841" width="20.125" style="1632" customWidth="1"/>
    <col min="13842" max="13842" width="7.875" style="1632" customWidth="1"/>
    <col min="13843" max="14053" width="9" style="1632"/>
    <col min="14054" max="14054" width="113.125" style="1632" customWidth="1"/>
    <col min="14055" max="14055" width="6.25" style="1632" customWidth="1"/>
    <col min="14056" max="14056" width="13.875" style="1632" customWidth="1"/>
    <col min="14057" max="14057" width="6.25" style="1632" customWidth="1"/>
    <col min="14058" max="14058" width="4.625" style="1632" customWidth="1"/>
    <col min="14059" max="14059" width="24.5" style="1632" customWidth="1"/>
    <col min="14060" max="14060" width="7.875" style="1632" customWidth="1"/>
    <col min="14061" max="14061" width="21.125" style="1632" customWidth="1"/>
    <col min="14062" max="14062" width="83.375" style="1632" customWidth="1"/>
    <col min="14063" max="14064" width="13.875" style="1632" customWidth="1"/>
    <col min="14065" max="14065" width="45.625" style="1632" customWidth="1"/>
    <col min="14066" max="14066" width="7.875" style="1632" customWidth="1"/>
    <col min="14067" max="14067" width="23.375" style="1632" customWidth="1"/>
    <col min="14068" max="14068" width="24" style="1632" customWidth="1"/>
    <col min="14069" max="14069" width="10" style="1632" customWidth="1"/>
    <col min="14070" max="14071" width="15.5" style="1632" customWidth="1"/>
    <col min="14072" max="14072" width="77.75" style="1632" customWidth="1"/>
    <col min="14073" max="14073" width="51.75" style="1632" customWidth="1"/>
    <col min="14074" max="14074" width="37.25" style="1632" customWidth="1"/>
    <col min="14075" max="14075" width="17.875" style="1632" customWidth="1"/>
    <col min="14076" max="14076" width="7.875" style="1632" customWidth="1"/>
    <col min="14077" max="14080" width="9" style="1632" customWidth="1"/>
    <col min="14081" max="14081" width="21.125" style="1632" customWidth="1"/>
    <col min="14082" max="14082" width="7.875" style="1632" customWidth="1"/>
    <col min="14083" max="14083" width="145" style="1632" customWidth="1"/>
    <col min="14084" max="14086" width="10.625" style="1632" customWidth="1"/>
    <col min="14087" max="14088" width="16" style="1632" customWidth="1"/>
    <col min="14089" max="14090" width="14.375" style="1632" customWidth="1"/>
    <col min="14091" max="14092" width="21.875" style="1632" customWidth="1"/>
    <col min="14093" max="14093" width="6.25" style="1632" customWidth="1"/>
    <col min="14094" max="14094" width="24.5" style="1632" customWidth="1"/>
    <col min="14095" max="14095" width="16.875" style="1632" customWidth="1"/>
    <col min="14096" max="14097" width="20.125" style="1632" customWidth="1"/>
    <col min="14098" max="14098" width="7.875" style="1632" customWidth="1"/>
    <col min="14099" max="14309" width="9" style="1632"/>
    <col min="14310" max="14310" width="113.125" style="1632" customWidth="1"/>
    <col min="14311" max="14311" width="6.25" style="1632" customWidth="1"/>
    <col min="14312" max="14312" width="13.875" style="1632" customWidth="1"/>
    <col min="14313" max="14313" width="6.25" style="1632" customWidth="1"/>
    <col min="14314" max="14314" width="4.625" style="1632" customWidth="1"/>
    <col min="14315" max="14315" width="24.5" style="1632" customWidth="1"/>
    <col min="14316" max="14316" width="7.875" style="1632" customWidth="1"/>
    <col min="14317" max="14317" width="21.125" style="1632" customWidth="1"/>
    <col min="14318" max="14318" width="83.375" style="1632" customWidth="1"/>
    <col min="14319" max="14320" width="13.875" style="1632" customWidth="1"/>
    <col min="14321" max="14321" width="45.625" style="1632" customWidth="1"/>
    <col min="14322" max="14322" width="7.875" style="1632" customWidth="1"/>
    <col min="14323" max="14323" width="23.375" style="1632" customWidth="1"/>
    <col min="14324" max="14324" width="24" style="1632" customWidth="1"/>
    <col min="14325" max="14325" width="10" style="1632" customWidth="1"/>
    <col min="14326" max="14327" width="15.5" style="1632" customWidth="1"/>
    <col min="14328" max="14328" width="77.75" style="1632" customWidth="1"/>
    <col min="14329" max="14329" width="51.75" style="1632" customWidth="1"/>
    <col min="14330" max="14330" width="37.25" style="1632" customWidth="1"/>
    <col min="14331" max="14331" width="17.875" style="1632" customWidth="1"/>
    <col min="14332" max="14332" width="7.875" style="1632" customWidth="1"/>
    <col min="14333" max="14336" width="9" style="1632" customWidth="1"/>
    <col min="14337" max="14337" width="21.125" style="1632" customWidth="1"/>
    <col min="14338" max="14338" width="7.875" style="1632" customWidth="1"/>
    <col min="14339" max="14339" width="145" style="1632" customWidth="1"/>
    <col min="14340" max="14342" width="10.625" style="1632" customWidth="1"/>
    <col min="14343" max="14344" width="16" style="1632" customWidth="1"/>
    <col min="14345" max="14346" width="14.375" style="1632" customWidth="1"/>
    <col min="14347" max="14348" width="21.875" style="1632" customWidth="1"/>
    <col min="14349" max="14349" width="6.25" style="1632" customWidth="1"/>
    <col min="14350" max="14350" width="24.5" style="1632" customWidth="1"/>
    <col min="14351" max="14351" width="16.875" style="1632" customWidth="1"/>
    <col min="14352" max="14353" width="20.125" style="1632" customWidth="1"/>
    <col min="14354" max="14354" width="7.875" style="1632" customWidth="1"/>
    <col min="14355" max="14565" width="9" style="1632"/>
    <col min="14566" max="14566" width="113.125" style="1632" customWidth="1"/>
    <col min="14567" max="14567" width="6.25" style="1632" customWidth="1"/>
    <col min="14568" max="14568" width="13.875" style="1632" customWidth="1"/>
    <col min="14569" max="14569" width="6.25" style="1632" customWidth="1"/>
    <col min="14570" max="14570" width="4.625" style="1632" customWidth="1"/>
    <col min="14571" max="14571" width="24.5" style="1632" customWidth="1"/>
    <col min="14572" max="14572" width="7.875" style="1632" customWidth="1"/>
    <col min="14573" max="14573" width="21.125" style="1632" customWidth="1"/>
    <col min="14574" max="14574" width="83.375" style="1632" customWidth="1"/>
    <col min="14575" max="14576" width="13.875" style="1632" customWidth="1"/>
    <col min="14577" max="14577" width="45.625" style="1632" customWidth="1"/>
    <col min="14578" max="14578" width="7.875" style="1632" customWidth="1"/>
    <col min="14579" max="14579" width="23.375" style="1632" customWidth="1"/>
    <col min="14580" max="14580" width="24" style="1632" customWidth="1"/>
    <col min="14581" max="14581" width="10" style="1632" customWidth="1"/>
    <col min="14582" max="14583" width="15.5" style="1632" customWidth="1"/>
    <col min="14584" max="14584" width="77.75" style="1632" customWidth="1"/>
    <col min="14585" max="14585" width="51.75" style="1632" customWidth="1"/>
    <col min="14586" max="14586" width="37.25" style="1632" customWidth="1"/>
    <col min="14587" max="14587" width="17.875" style="1632" customWidth="1"/>
    <col min="14588" max="14588" width="7.875" style="1632" customWidth="1"/>
    <col min="14589" max="14592" width="9" style="1632" customWidth="1"/>
    <col min="14593" max="14593" width="21.125" style="1632" customWidth="1"/>
    <col min="14594" max="14594" width="7.875" style="1632" customWidth="1"/>
    <col min="14595" max="14595" width="145" style="1632" customWidth="1"/>
    <col min="14596" max="14598" width="10.625" style="1632" customWidth="1"/>
    <col min="14599" max="14600" width="16" style="1632" customWidth="1"/>
    <col min="14601" max="14602" width="14.375" style="1632" customWidth="1"/>
    <col min="14603" max="14604" width="21.875" style="1632" customWidth="1"/>
    <col min="14605" max="14605" width="6.25" style="1632" customWidth="1"/>
    <col min="14606" max="14606" width="24.5" style="1632" customWidth="1"/>
    <col min="14607" max="14607" width="16.875" style="1632" customWidth="1"/>
    <col min="14608" max="14609" width="20.125" style="1632" customWidth="1"/>
    <col min="14610" max="14610" width="7.875" style="1632" customWidth="1"/>
    <col min="14611" max="14821" width="9" style="1632"/>
    <col min="14822" max="14822" width="113.125" style="1632" customWidth="1"/>
    <col min="14823" max="14823" width="6.25" style="1632" customWidth="1"/>
    <col min="14824" max="14824" width="13.875" style="1632" customWidth="1"/>
    <col min="14825" max="14825" width="6.25" style="1632" customWidth="1"/>
    <col min="14826" max="14826" width="4.625" style="1632" customWidth="1"/>
    <col min="14827" max="14827" width="24.5" style="1632" customWidth="1"/>
    <col min="14828" max="14828" width="7.875" style="1632" customWidth="1"/>
    <col min="14829" max="14829" width="21.125" style="1632" customWidth="1"/>
    <col min="14830" max="14830" width="83.375" style="1632" customWidth="1"/>
    <col min="14831" max="14832" width="13.875" style="1632" customWidth="1"/>
    <col min="14833" max="14833" width="45.625" style="1632" customWidth="1"/>
    <col min="14834" max="14834" width="7.875" style="1632" customWidth="1"/>
    <col min="14835" max="14835" width="23.375" style="1632" customWidth="1"/>
    <col min="14836" max="14836" width="24" style="1632" customWidth="1"/>
    <col min="14837" max="14837" width="10" style="1632" customWidth="1"/>
    <col min="14838" max="14839" width="15.5" style="1632" customWidth="1"/>
    <col min="14840" max="14840" width="77.75" style="1632" customWidth="1"/>
    <col min="14841" max="14841" width="51.75" style="1632" customWidth="1"/>
    <col min="14842" max="14842" width="37.25" style="1632" customWidth="1"/>
    <col min="14843" max="14843" width="17.875" style="1632" customWidth="1"/>
    <col min="14844" max="14844" width="7.875" style="1632" customWidth="1"/>
    <col min="14845" max="14848" width="9" style="1632" customWidth="1"/>
    <col min="14849" max="14849" width="21.125" style="1632" customWidth="1"/>
    <col min="14850" max="14850" width="7.875" style="1632" customWidth="1"/>
    <col min="14851" max="14851" width="145" style="1632" customWidth="1"/>
    <col min="14852" max="14854" width="10.625" style="1632" customWidth="1"/>
    <col min="14855" max="14856" width="16" style="1632" customWidth="1"/>
    <col min="14857" max="14858" width="14.375" style="1632" customWidth="1"/>
    <col min="14859" max="14860" width="21.875" style="1632" customWidth="1"/>
    <col min="14861" max="14861" width="6.25" style="1632" customWidth="1"/>
    <col min="14862" max="14862" width="24.5" style="1632" customWidth="1"/>
    <col min="14863" max="14863" width="16.875" style="1632" customWidth="1"/>
    <col min="14864" max="14865" width="20.125" style="1632" customWidth="1"/>
    <col min="14866" max="14866" width="7.875" style="1632" customWidth="1"/>
    <col min="14867" max="15077" width="9" style="1632"/>
    <col min="15078" max="15078" width="113.125" style="1632" customWidth="1"/>
    <col min="15079" max="15079" width="6.25" style="1632" customWidth="1"/>
    <col min="15080" max="15080" width="13.875" style="1632" customWidth="1"/>
    <col min="15081" max="15081" width="6.25" style="1632" customWidth="1"/>
    <col min="15082" max="15082" width="4.625" style="1632" customWidth="1"/>
    <col min="15083" max="15083" width="24.5" style="1632" customWidth="1"/>
    <col min="15084" max="15084" width="7.875" style="1632" customWidth="1"/>
    <col min="15085" max="15085" width="21.125" style="1632" customWidth="1"/>
    <col min="15086" max="15086" width="83.375" style="1632" customWidth="1"/>
    <col min="15087" max="15088" width="13.875" style="1632" customWidth="1"/>
    <col min="15089" max="15089" width="45.625" style="1632" customWidth="1"/>
    <col min="15090" max="15090" width="7.875" style="1632" customWidth="1"/>
    <col min="15091" max="15091" width="23.375" style="1632" customWidth="1"/>
    <col min="15092" max="15092" width="24" style="1632" customWidth="1"/>
    <col min="15093" max="15093" width="10" style="1632" customWidth="1"/>
    <col min="15094" max="15095" width="15.5" style="1632" customWidth="1"/>
    <col min="15096" max="15096" width="77.75" style="1632" customWidth="1"/>
    <col min="15097" max="15097" width="51.75" style="1632" customWidth="1"/>
    <col min="15098" max="15098" width="37.25" style="1632" customWidth="1"/>
    <col min="15099" max="15099" width="17.875" style="1632" customWidth="1"/>
    <col min="15100" max="15100" width="7.875" style="1632" customWidth="1"/>
    <col min="15101" max="15104" width="9" style="1632" customWidth="1"/>
    <col min="15105" max="15105" width="21.125" style="1632" customWidth="1"/>
    <col min="15106" max="15106" width="7.875" style="1632" customWidth="1"/>
    <col min="15107" max="15107" width="145" style="1632" customWidth="1"/>
    <col min="15108" max="15110" width="10.625" style="1632" customWidth="1"/>
    <col min="15111" max="15112" width="16" style="1632" customWidth="1"/>
    <col min="15113" max="15114" width="14.375" style="1632" customWidth="1"/>
    <col min="15115" max="15116" width="21.875" style="1632" customWidth="1"/>
    <col min="15117" max="15117" width="6.25" style="1632" customWidth="1"/>
    <col min="15118" max="15118" width="24.5" style="1632" customWidth="1"/>
    <col min="15119" max="15119" width="16.875" style="1632" customWidth="1"/>
    <col min="15120" max="15121" width="20.125" style="1632" customWidth="1"/>
    <col min="15122" max="15122" width="7.875" style="1632" customWidth="1"/>
    <col min="15123" max="15333" width="9" style="1632"/>
    <col min="15334" max="15334" width="113.125" style="1632" customWidth="1"/>
    <col min="15335" max="15335" width="6.25" style="1632" customWidth="1"/>
    <col min="15336" max="15336" width="13.875" style="1632" customWidth="1"/>
    <col min="15337" max="15337" width="6.25" style="1632" customWidth="1"/>
    <col min="15338" max="15338" width="4.625" style="1632" customWidth="1"/>
    <col min="15339" max="15339" width="24.5" style="1632" customWidth="1"/>
    <col min="15340" max="15340" width="7.875" style="1632" customWidth="1"/>
    <col min="15341" max="15341" width="21.125" style="1632" customWidth="1"/>
    <col min="15342" max="15342" width="83.375" style="1632" customWidth="1"/>
    <col min="15343" max="15344" width="13.875" style="1632" customWidth="1"/>
    <col min="15345" max="15345" width="45.625" style="1632" customWidth="1"/>
    <col min="15346" max="15346" width="7.875" style="1632" customWidth="1"/>
    <col min="15347" max="15347" width="23.375" style="1632" customWidth="1"/>
    <col min="15348" max="15348" width="24" style="1632" customWidth="1"/>
    <col min="15349" max="15349" width="10" style="1632" customWidth="1"/>
    <col min="15350" max="15351" width="15.5" style="1632" customWidth="1"/>
    <col min="15352" max="15352" width="77.75" style="1632" customWidth="1"/>
    <col min="15353" max="15353" width="51.75" style="1632" customWidth="1"/>
    <col min="15354" max="15354" width="37.25" style="1632" customWidth="1"/>
    <col min="15355" max="15355" width="17.875" style="1632" customWidth="1"/>
    <col min="15356" max="15356" width="7.875" style="1632" customWidth="1"/>
    <col min="15357" max="15360" width="9" style="1632" customWidth="1"/>
    <col min="15361" max="15361" width="21.125" style="1632" customWidth="1"/>
    <col min="15362" max="15362" width="7.875" style="1632" customWidth="1"/>
    <col min="15363" max="15363" width="145" style="1632" customWidth="1"/>
    <col min="15364" max="15366" width="10.625" style="1632" customWidth="1"/>
    <col min="15367" max="15368" width="16" style="1632" customWidth="1"/>
    <col min="15369" max="15370" width="14.375" style="1632" customWidth="1"/>
    <col min="15371" max="15372" width="21.875" style="1632" customWidth="1"/>
    <col min="15373" max="15373" width="6.25" style="1632" customWidth="1"/>
    <col min="15374" max="15374" width="24.5" style="1632" customWidth="1"/>
    <col min="15375" max="15375" width="16.875" style="1632" customWidth="1"/>
    <col min="15376" max="15377" width="20.125" style="1632" customWidth="1"/>
    <col min="15378" max="15378" width="7.875" style="1632" customWidth="1"/>
    <col min="15379" max="15589" width="9" style="1632"/>
    <col min="15590" max="15590" width="113.125" style="1632" customWidth="1"/>
    <col min="15591" max="15591" width="6.25" style="1632" customWidth="1"/>
    <col min="15592" max="15592" width="13.875" style="1632" customWidth="1"/>
    <col min="15593" max="15593" width="6.25" style="1632" customWidth="1"/>
    <col min="15594" max="15594" width="4.625" style="1632" customWidth="1"/>
    <col min="15595" max="15595" width="24.5" style="1632" customWidth="1"/>
    <col min="15596" max="15596" width="7.875" style="1632" customWidth="1"/>
    <col min="15597" max="15597" width="21.125" style="1632" customWidth="1"/>
    <col min="15598" max="15598" width="83.375" style="1632" customWidth="1"/>
    <col min="15599" max="15600" width="13.875" style="1632" customWidth="1"/>
    <col min="15601" max="15601" width="45.625" style="1632" customWidth="1"/>
    <col min="15602" max="15602" width="7.875" style="1632" customWidth="1"/>
    <col min="15603" max="15603" width="23.375" style="1632" customWidth="1"/>
    <col min="15604" max="15604" width="24" style="1632" customWidth="1"/>
    <col min="15605" max="15605" width="10" style="1632" customWidth="1"/>
    <col min="15606" max="15607" width="15.5" style="1632" customWidth="1"/>
    <col min="15608" max="15608" width="77.75" style="1632" customWidth="1"/>
    <col min="15609" max="15609" width="51.75" style="1632" customWidth="1"/>
    <col min="15610" max="15610" width="37.25" style="1632" customWidth="1"/>
    <col min="15611" max="15611" width="17.875" style="1632" customWidth="1"/>
    <col min="15612" max="15612" width="7.875" style="1632" customWidth="1"/>
    <col min="15613" max="15616" width="9" style="1632" customWidth="1"/>
    <col min="15617" max="15617" width="21.125" style="1632" customWidth="1"/>
    <col min="15618" max="15618" width="7.875" style="1632" customWidth="1"/>
    <col min="15619" max="15619" width="145" style="1632" customWidth="1"/>
    <col min="15620" max="15622" width="10.625" style="1632" customWidth="1"/>
    <col min="15623" max="15624" width="16" style="1632" customWidth="1"/>
    <col min="15625" max="15626" width="14.375" style="1632" customWidth="1"/>
    <col min="15627" max="15628" width="21.875" style="1632" customWidth="1"/>
    <col min="15629" max="15629" width="6.25" style="1632" customWidth="1"/>
    <col min="15630" max="15630" width="24.5" style="1632" customWidth="1"/>
    <col min="15631" max="15631" width="16.875" style="1632" customWidth="1"/>
    <col min="15632" max="15633" width="20.125" style="1632" customWidth="1"/>
    <col min="15634" max="15634" width="7.875" style="1632" customWidth="1"/>
    <col min="15635" max="15845" width="9" style="1632"/>
    <col min="15846" max="15846" width="113.125" style="1632" customWidth="1"/>
    <col min="15847" max="15847" width="6.25" style="1632" customWidth="1"/>
    <col min="15848" max="15848" width="13.875" style="1632" customWidth="1"/>
    <col min="15849" max="15849" width="6.25" style="1632" customWidth="1"/>
    <col min="15850" max="15850" width="4.625" style="1632" customWidth="1"/>
    <col min="15851" max="15851" width="24.5" style="1632" customWidth="1"/>
    <col min="15852" max="15852" width="7.875" style="1632" customWidth="1"/>
    <col min="15853" max="15853" width="21.125" style="1632" customWidth="1"/>
    <col min="15854" max="15854" width="83.375" style="1632" customWidth="1"/>
    <col min="15855" max="15856" width="13.875" style="1632" customWidth="1"/>
    <col min="15857" max="15857" width="45.625" style="1632" customWidth="1"/>
    <col min="15858" max="15858" width="7.875" style="1632" customWidth="1"/>
    <col min="15859" max="15859" width="23.375" style="1632" customWidth="1"/>
    <col min="15860" max="15860" width="24" style="1632" customWidth="1"/>
    <col min="15861" max="15861" width="10" style="1632" customWidth="1"/>
    <col min="15862" max="15863" width="15.5" style="1632" customWidth="1"/>
    <col min="15864" max="15864" width="77.75" style="1632" customWidth="1"/>
    <col min="15865" max="15865" width="51.75" style="1632" customWidth="1"/>
    <col min="15866" max="15866" width="37.25" style="1632" customWidth="1"/>
    <col min="15867" max="15867" width="17.875" style="1632" customWidth="1"/>
    <col min="15868" max="15868" width="7.875" style="1632" customWidth="1"/>
    <col min="15869" max="15872" width="9" style="1632" customWidth="1"/>
    <col min="15873" max="15873" width="21.125" style="1632" customWidth="1"/>
    <col min="15874" max="15874" width="7.875" style="1632" customWidth="1"/>
    <col min="15875" max="15875" width="145" style="1632" customWidth="1"/>
    <col min="15876" max="15878" width="10.625" style="1632" customWidth="1"/>
    <col min="15879" max="15880" width="16" style="1632" customWidth="1"/>
    <col min="15881" max="15882" width="14.375" style="1632" customWidth="1"/>
    <col min="15883" max="15884" width="21.875" style="1632" customWidth="1"/>
    <col min="15885" max="15885" width="6.25" style="1632" customWidth="1"/>
    <col min="15886" max="15886" width="24.5" style="1632" customWidth="1"/>
    <col min="15887" max="15887" width="16.875" style="1632" customWidth="1"/>
    <col min="15888" max="15889" width="20.125" style="1632" customWidth="1"/>
    <col min="15890" max="15890" width="7.875" style="1632" customWidth="1"/>
    <col min="15891" max="16101" width="9" style="1632"/>
    <col min="16102" max="16102" width="113.125" style="1632" customWidth="1"/>
    <col min="16103" max="16103" width="6.25" style="1632" customWidth="1"/>
    <col min="16104" max="16104" width="13.875" style="1632" customWidth="1"/>
    <col min="16105" max="16105" width="6.25" style="1632" customWidth="1"/>
    <col min="16106" max="16106" width="4.625" style="1632" customWidth="1"/>
    <col min="16107" max="16107" width="24.5" style="1632" customWidth="1"/>
    <col min="16108" max="16108" width="7.875" style="1632" customWidth="1"/>
    <col min="16109" max="16109" width="21.125" style="1632" customWidth="1"/>
    <col min="16110" max="16110" width="83.375" style="1632" customWidth="1"/>
    <col min="16111" max="16112" width="13.875" style="1632" customWidth="1"/>
    <col min="16113" max="16113" width="45.625" style="1632" customWidth="1"/>
    <col min="16114" max="16114" width="7.875" style="1632" customWidth="1"/>
    <col min="16115" max="16115" width="23.375" style="1632" customWidth="1"/>
    <col min="16116" max="16116" width="24" style="1632" customWidth="1"/>
    <col min="16117" max="16117" width="10" style="1632" customWidth="1"/>
    <col min="16118" max="16119" width="15.5" style="1632" customWidth="1"/>
    <col min="16120" max="16120" width="77.75" style="1632" customWidth="1"/>
    <col min="16121" max="16121" width="51.75" style="1632" customWidth="1"/>
    <col min="16122" max="16122" width="37.25" style="1632" customWidth="1"/>
    <col min="16123" max="16123" width="17.875" style="1632" customWidth="1"/>
    <col min="16124" max="16124" width="7.875" style="1632" customWidth="1"/>
    <col min="16125" max="16128" width="9" style="1632" customWidth="1"/>
    <col min="16129" max="16129" width="21.125" style="1632" customWidth="1"/>
    <col min="16130" max="16130" width="7.875" style="1632" customWidth="1"/>
    <col min="16131" max="16131" width="145" style="1632" customWidth="1"/>
    <col min="16132" max="16134" width="10.625" style="1632" customWidth="1"/>
    <col min="16135" max="16136" width="16" style="1632" customWidth="1"/>
    <col min="16137" max="16138" width="14.375" style="1632" customWidth="1"/>
    <col min="16139" max="16140" width="21.875" style="1632" customWidth="1"/>
    <col min="16141" max="16141" width="6.25" style="1632" customWidth="1"/>
    <col min="16142" max="16142" width="24.5" style="1632" customWidth="1"/>
    <col min="16143" max="16143" width="16.875" style="1632" customWidth="1"/>
    <col min="16144" max="16145" width="20.125" style="1632" customWidth="1"/>
    <col min="16146" max="16146" width="7.875" style="1632" customWidth="1"/>
    <col min="16147" max="16384" width="9" style="1632"/>
  </cols>
  <sheetData>
    <row r="1" spans="1:18">
      <c r="A1" s="1632" t="s">
        <v>3079</v>
      </c>
      <c r="B1" s="1632" t="s">
        <v>3080</v>
      </c>
      <c r="C1" s="1632" t="s">
        <v>3081</v>
      </c>
      <c r="D1" s="1632" t="s">
        <v>3082</v>
      </c>
      <c r="E1" s="1632" t="s">
        <v>3083</v>
      </c>
      <c r="F1" s="1632" t="s">
        <v>3084</v>
      </c>
      <c r="G1" s="1632" t="s">
        <v>3085</v>
      </c>
      <c r="H1" s="1632" t="s">
        <v>3086</v>
      </c>
      <c r="I1" s="1632" t="s">
        <v>3087</v>
      </c>
      <c r="J1" s="1632" t="s">
        <v>3088</v>
      </c>
      <c r="K1" s="1632" t="s">
        <v>3089</v>
      </c>
      <c r="L1" s="1632" t="s">
        <v>3090</v>
      </c>
      <c r="M1" s="1632" t="s">
        <v>3091</v>
      </c>
      <c r="N1" s="1632" t="s">
        <v>3092</v>
      </c>
      <c r="O1" s="1632" t="s">
        <v>3093</v>
      </c>
      <c r="P1" s="1632" t="s">
        <v>3094</v>
      </c>
      <c r="Q1" s="2957" t="s">
        <v>3219</v>
      </c>
      <c r="R1" s="1632" t="s">
        <v>3095</v>
      </c>
    </row>
    <row r="2" spans="1:18">
      <c r="A2" s="1632" t="s">
        <v>3096</v>
      </c>
      <c r="B2" s="1632" t="s">
        <v>3063</v>
      </c>
      <c r="C2" s="1632" t="s">
        <v>3097</v>
      </c>
      <c r="D2" s="1632" t="s">
        <v>3098</v>
      </c>
      <c r="E2" s="1632" t="s">
        <v>1326</v>
      </c>
      <c r="F2" s="1632" t="s">
        <v>3099</v>
      </c>
      <c r="G2" s="1632" t="s">
        <v>3100</v>
      </c>
      <c r="H2" s="1632">
        <v>33194.400000000001</v>
      </c>
      <c r="I2" s="1632">
        <v>107437</v>
      </c>
      <c r="J2" s="1632" t="s">
        <v>3101</v>
      </c>
      <c r="K2" s="1632" t="s">
        <v>3103</v>
      </c>
      <c r="L2" s="1632" t="s">
        <v>3104</v>
      </c>
      <c r="M2" s="1632">
        <v>722000</v>
      </c>
      <c r="N2" s="1632">
        <v>14500.44</v>
      </c>
      <c r="O2" s="1632">
        <v>67202.16</v>
      </c>
      <c r="P2" s="1632">
        <v>26.25</v>
      </c>
      <c r="Q2" s="1632" t="s">
        <v>3105</v>
      </c>
      <c r="R2" s="1632" t="s">
        <v>1326</v>
      </c>
    </row>
    <row r="3" spans="1:18">
      <c r="A3" s="1632" t="s">
        <v>3106</v>
      </c>
      <c r="B3" s="1632" t="s">
        <v>3063</v>
      </c>
      <c r="C3" s="1632" t="s">
        <v>3107</v>
      </c>
      <c r="D3" s="1632" t="s">
        <v>3108</v>
      </c>
      <c r="E3" s="1632" t="s">
        <v>1326</v>
      </c>
      <c r="F3" s="1632" t="s">
        <v>3109</v>
      </c>
      <c r="G3" s="1632" t="s">
        <v>3110</v>
      </c>
      <c r="H3" s="1632">
        <v>56727.74</v>
      </c>
      <c r="I3" s="1632">
        <v>133882</v>
      </c>
      <c r="J3" s="1632" t="s">
        <v>3111</v>
      </c>
      <c r="K3" s="1632" t="s">
        <v>3102</v>
      </c>
      <c r="L3" s="1632" t="s">
        <v>3112</v>
      </c>
      <c r="M3" s="1632">
        <v>185000</v>
      </c>
      <c r="N3" s="1632">
        <v>2174.13</v>
      </c>
      <c r="O3" s="1632">
        <v>13818.13</v>
      </c>
      <c r="P3" s="1632">
        <v>33.090000000000003</v>
      </c>
      <c r="Q3" s="1632" t="s">
        <v>3105</v>
      </c>
      <c r="R3" s="1632" t="s">
        <v>1326</v>
      </c>
    </row>
    <row r="4" spans="1:18">
      <c r="A4" s="1632" t="s">
        <v>3114</v>
      </c>
      <c r="B4" s="1632" t="s">
        <v>3063</v>
      </c>
      <c r="C4" s="1632" t="s">
        <v>3107</v>
      </c>
      <c r="D4" s="1632" t="s">
        <v>3108</v>
      </c>
      <c r="E4" s="1632" t="s">
        <v>1326</v>
      </c>
      <c r="F4" s="1632" t="s">
        <v>3109</v>
      </c>
      <c r="G4" s="1632" t="s">
        <v>3115</v>
      </c>
      <c r="H4" s="1632">
        <v>165793.17000000001</v>
      </c>
      <c r="I4" s="1632">
        <v>381104</v>
      </c>
      <c r="J4" s="1632" t="s">
        <v>3116</v>
      </c>
      <c r="K4" s="1632" t="s">
        <v>3117</v>
      </c>
      <c r="L4" s="1632" t="s">
        <v>3118</v>
      </c>
      <c r="M4" s="1632">
        <v>420000</v>
      </c>
      <c r="N4" s="1632">
        <v>1688.85</v>
      </c>
      <c r="O4" s="1632">
        <v>11020.61</v>
      </c>
      <c r="P4" s="1632">
        <v>0</v>
      </c>
      <c r="Q4" s="1632" t="s">
        <v>3105</v>
      </c>
      <c r="R4" s="1632" t="s">
        <v>1326</v>
      </c>
    </row>
    <row r="5" spans="1:18">
      <c r="A5" s="1632" t="s">
        <v>3119</v>
      </c>
      <c r="B5" s="1632" t="s">
        <v>3063</v>
      </c>
      <c r="C5" s="1632" t="s">
        <v>3097</v>
      </c>
      <c r="D5" s="1632" t="s">
        <v>3098</v>
      </c>
      <c r="E5" s="1632" t="s">
        <v>1326</v>
      </c>
      <c r="F5" s="1632" t="s">
        <v>3120</v>
      </c>
      <c r="G5" s="1632" t="s">
        <v>3100</v>
      </c>
      <c r="H5" s="1632">
        <v>74642.399999999994</v>
      </c>
      <c r="I5" s="1632">
        <v>82107</v>
      </c>
      <c r="J5" s="1632" t="s">
        <v>3121</v>
      </c>
      <c r="K5" s="1632" t="s">
        <v>3122</v>
      </c>
      <c r="L5" s="1632" t="s">
        <v>3123</v>
      </c>
      <c r="M5" s="1632">
        <v>260000</v>
      </c>
      <c r="N5" s="1632">
        <v>2322.1799999999998</v>
      </c>
      <c r="O5" s="1632">
        <v>31666</v>
      </c>
      <c r="P5" s="1632">
        <v>0</v>
      </c>
      <c r="Q5" s="1632" t="s">
        <v>3105</v>
      </c>
      <c r="R5" s="1632" t="s">
        <v>1326</v>
      </c>
    </row>
    <row r="6" spans="1:18">
      <c r="A6" s="1632" t="s">
        <v>3126</v>
      </c>
      <c r="B6" s="1632" t="s">
        <v>3063</v>
      </c>
      <c r="C6" s="1632" t="s">
        <v>3107</v>
      </c>
      <c r="D6" s="1632" t="s">
        <v>3098</v>
      </c>
      <c r="E6" s="1632" t="s">
        <v>1326</v>
      </c>
      <c r="F6" s="1632" t="s">
        <v>3127</v>
      </c>
      <c r="G6" s="1632" t="s">
        <v>3128</v>
      </c>
      <c r="H6" s="1632">
        <v>21023.4</v>
      </c>
      <c r="I6" s="1632">
        <v>63070</v>
      </c>
      <c r="J6" s="1632" t="s">
        <v>3113</v>
      </c>
      <c r="K6" s="1632" t="s">
        <v>3129</v>
      </c>
      <c r="L6" s="1632" t="s">
        <v>3130</v>
      </c>
      <c r="M6" s="1632">
        <v>282000</v>
      </c>
      <c r="N6" s="1632">
        <v>8942.42</v>
      </c>
      <c r="O6" s="1632">
        <v>44712.22</v>
      </c>
      <c r="P6" s="1632">
        <v>5.66</v>
      </c>
      <c r="Q6" s="1632" t="s">
        <v>3105</v>
      </c>
      <c r="R6" s="1632" t="s">
        <v>1326</v>
      </c>
    </row>
    <row r="7" spans="1:18">
      <c r="A7" s="1632" t="s">
        <v>3131</v>
      </c>
      <c r="B7" s="1632" t="s">
        <v>3063</v>
      </c>
      <c r="C7" s="1632" t="s">
        <v>3107</v>
      </c>
      <c r="D7" s="1632" t="s">
        <v>3098</v>
      </c>
      <c r="E7" s="1632" t="s">
        <v>1326</v>
      </c>
      <c r="F7" s="1632" t="s">
        <v>3132</v>
      </c>
      <c r="G7" s="1632" t="s">
        <v>3133</v>
      </c>
      <c r="H7" s="1632">
        <v>59111.519999999997</v>
      </c>
      <c r="I7" s="1632">
        <v>216452</v>
      </c>
      <c r="J7" s="1632" t="s">
        <v>3134</v>
      </c>
      <c r="K7" s="1632" t="s">
        <v>3135</v>
      </c>
      <c r="L7" s="1632" t="s">
        <v>3136</v>
      </c>
      <c r="M7" s="1632">
        <v>794000</v>
      </c>
      <c r="N7" s="1632">
        <v>8954.83</v>
      </c>
      <c r="O7" s="1632">
        <v>36682.5</v>
      </c>
      <c r="P7" s="1632">
        <v>18.79</v>
      </c>
      <c r="Q7" s="1632" t="s">
        <v>3105</v>
      </c>
      <c r="R7" s="1632" t="s">
        <v>1326</v>
      </c>
    </row>
    <row r="8" spans="1:18" s="2958" customFormat="1">
      <c r="A8" s="2958" t="s">
        <v>3137</v>
      </c>
      <c r="B8" s="2958" t="s">
        <v>3063</v>
      </c>
      <c r="C8" s="2958" t="s">
        <v>3107</v>
      </c>
      <c r="D8" s="2958" t="s">
        <v>3098</v>
      </c>
      <c r="E8" s="2958" t="s">
        <v>1326</v>
      </c>
      <c r="F8" s="2958" t="s">
        <v>3138</v>
      </c>
      <c r="G8" s="2958" t="s">
        <v>3125</v>
      </c>
      <c r="H8" s="2958">
        <v>168662.9</v>
      </c>
      <c r="I8" s="2958">
        <v>184119</v>
      </c>
      <c r="J8" s="2958" t="s">
        <v>3139</v>
      </c>
      <c r="K8" s="2958" t="s">
        <v>3140</v>
      </c>
      <c r="L8" s="2958" t="s">
        <v>3141</v>
      </c>
      <c r="M8" s="2958">
        <v>430000</v>
      </c>
      <c r="N8" s="2958">
        <v>1699.64</v>
      </c>
      <c r="O8" s="2958">
        <v>23354.45</v>
      </c>
      <c r="P8" s="2958">
        <v>6.17</v>
      </c>
      <c r="Q8" s="2958" t="s">
        <v>3142</v>
      </c>
      <c r="R8" s="2958" t="s">
        <v>1326</v>
      </c>
    </row>
    <row r="9" spans="1:18">
      <c r="A9" s="1632" t="s">
        <v>3143</v>
      </c>
      <c r="B9" s="1632" t="s">
        <v>3063</v>
      </c>
      <c r="C9" s="1632" t="s">
        <v>3097</v>
      </c>
      <c r="D9" s="1632" t="s">
        <v>3098</v>
      </c>
      <c r="E9" s="1632" t="s">
        <v>1326</v>
      </c>
      <c r="F9" s="1632" t="s">
        <v>3144</v>
      </c>
      <c r="G9" s="1632" t="s">
        <v>3100</v>
      </c>
      <c r="H9" s="1632">
        <v>43166.27</v>
      </c>
      <c r="I9" s="1632">
        <v>131841</v>
      </c>
      <c r="J9" s="1632">
        <v>3.05</v>
      </c>
      <c r="K9" s="1632" t="s">
        <v>3145</v>
      </c>
      <c r="L9" s="1632" t="s">
        <v>3146</v>
      </c>
      <c r="M9" s="1632">
        <v>584000</v>
      </c>
      <c r="N9" s="1632">
        <v>9019.39</v>
      </c>
      <c r="O9" s="1632">
        <v>44295.77</v>
      </c>
      <c r="P9" s="1632">
        <v>26.3</v>
      </c>
      <c r="Q9" s="1632" t="s">
        <v>3105</v>
      </c>
      <c r="R9" s="1632" t="s">
        <v>1326</v>
      </c>
    </row>
    <row r="10" spans="1:18">
      <c r="A10" s="1632" t="s">
        <v>3147</v>
      </c>
      <c r="B10" s="1632" t="s">
        <v>3063</v>
      </c>
      <c r="C10" s="1632" t="s">
        <v>3107</v>
      </c>
      <c r="D10" s="1632" t="s">
        <v>3098</v>
      </c>
      <c r="E10" s="1632" t="s">
        <v>1326</v>
      </c>
      <c r="F10" s="1632" t="s">
        <v>3144</v>
      </c>
      <c r="G10" s="1632" t="s">
        <v>3125</v>
      </c>
      <c r="H10" s="1632">
        <v>58664.08</v>
      </c>
      <c r="I10" s="1632">
        <v>163477</v>
      </c>
      <c r="J10" s="1632">
        <v>2.79</v>
      </c>
      <c r="K10" s="1632" t="s">
        <v>3145</v>
      </c>
      <c r="L10" s="1632" t="s">
        <v>3148</v>
      </c>
      <c r="M10" s="1632">
        <v>702000</v>
      </c>
      <c r="N10" s="1632">
        <v>7977.62</v>
      </c>
      <c r="O10" s="1632">
        <v>42941.81</v>
      </c>
      <c r="P10" s="1632">
        <v>25.36</v>
      </c>
      <c r="Q10" s="1632" t="s">
        <v>3105</v>
      </c>
      <c r="R10" s="1632" t="s">
        <v>1326</v>
      </c>
    </row>
    <row r="11" spans="1:18">
      <c r="A11" s="1632" t="s">
        <v>3149</v>
      </c>
      <c r="B11" s="1632" t="s">
        <v>3063</v>
      </c>
      <c r="C11" s="1632" t="s">
        <v>3107</v>
      </c>
      <c r="D11" s="1632" t="s">
        <v>3108</v>
      </c>
      <c r="E11" s="1632" t="s">
        <v>1326</v>
      </c>
      <c r="F11" s="1632" t="s">
        <v>3124</v>
      </c>
      <c r="G11" s="1632" t="s">
        <v>3150</v>
      </c>
      <c r="H11" s="1632">
        <v>60622</v>
      </c>
      <c r="I11" s="1632">
        <v>157573</v>
      </c>
      <c r="J11" s="1632">
        <v>2.6</v>
      </c>
      <c r="K11" s="1632" t="s">
        <v>3145</v>
      </c>
      <c r="L11" s="1632" t="s">
        <v>3151</v>
      </c>
      <c r="M11" s="1632">
        <v>253350</v>
      </c>
      <c r="N11" s="1632">
        <v>2786.12</v>
      </c>
      <c r="O11" s="1632">
        <v>16078.26</v>
      </c>
      <c r="P11" s="1632">
        <v>1.5</v>
      </c>
      <c r="Q11" s="1632" t="s">
        <v>3105</v>
      </c>
      <c r="R11" s="1632" t="s">
        <v>1326</v>
      </c>
    </row>
    <row r="12" spans="1:18" s="2956" customFormat="1">
      <c r="A12" s="2956" t="s">
        <v>3152</v>
      </c>
      <c r="B12" s="2956" t="s">
        <v>3063</v>
      </c>
      <c r="C12" s="2956" t="s">
        <v>3107</v>
      </c>
      <c r="D12" s="2956" t="s">
        <v>3108</v>
      </c>
      <c r="E12" s="2956" t="s">
        <v>1326</v>
      </c>
      <c r="F12" s="2956" t="s">
        <v>3153</v>
      </c>
      <c r="G12" s="2956" t="s">
        <v>3133</v>
      </c>
      <c r="H12" s="2956">
        <v>54533</v>
      </c>
      <c r="I12" s="2956">
        <v>70556</v>
      </c>
      <c r="J12" s="2956">
        <v>1.29</v>
      </c>
      <c r="K12" s="2956" t="s">
        <v>3154</v>
      </c>
      <c r="L12" s="2956" t="s">
        <v>3155</v>
      </c>
      <c r="M12" s="2956">
        <v>92500</v>
      </c>
      <c r="N12" s="2956">
        <v>1130.81</v>
      </c>
      <c r="O12" s="2956">
        <v>13110.14</v>
      </c>
      <c r="P12" s="2956">
        <v>0</v>
      </c>
      <c r="Q12" s="2956" t="s">
        <v>3105</v>
      </c>
      <c r="R12" s="2956" t="s">
        <v>1326</v>
      </c>
    </row>
    <row r="13" spans="1:18" s="2958" customFormat="1">
      <c r="A13" s="2958" t="s">
        <v>3156</v>
      </c>
      <c r="B13" s="2958" t="s">
        <v>3063</v>
      </c>
      <c r="C13" s="2958" t="s">
        <v>3107</v>
      </c>
      <c r="D13" s="2958" t="s">
        <v>3108</v>
      </c>
      <c r="E13" s="2958" t="s">
        <v>1326</v>
      </c>
      <c r="F13" s="2958" t="s">
        <v>3153</v>
      </c>
      <c r="G13" s="2958" t="s">
        <v>3157</v>
      </c>
      <c r="H13" s="2958">
        <v>55220.72</v>
      </c>
      <c r="I13" s="2958">
        <v>84310</v>
      </c>
      <c r="J13" s="2958">
        <v>1.53</v>
      </c>
      <c r="K13" s="2958" t="s">
        <v>3158</v>
      </c>
      <c r="L13" s="2958" t="s">
        <v>3159</v>
      </c>
      <c r="M13" s="2958">
        <v>115000</v>
      </c>
      <c r="N13" s="2958">
        <v>1388.37</v>
      </c>
      <c r="O13" s="2958">
        <v>13640.13</v>
      </c>
      <c r="P13" s="2958">
        <v>0</v>
      </c>
      <c r="Q13" s="2958" t="s">
        <v>3105</v>
      </c>
      <c r="R13" s="2958" t="s">
        <v>1326</v>
      </c>
    </row>
    <row r="14" spans="1:18">
      <c r="A14" s="1632" t="s">
        <v>3160</v>
      </c>
      <c r="B14" s="1632" t="s">
        <v>3063</v>
      </c>
      <c r="C14" s="1632" t="s">
        <v>3161</v>
      </c>
      <c r="D14" s="1632" t="s">
        <v>3098</v>
      </c>
      <c r="E14" s="1632" t="s">
        <v>1326</v>
      </c>
      <c r="F14" s="1632" t="s">
        <v>3162</v>
      </c>
      <c r="G14" s="1632" t="s">
        <v>3163</v>
      </c>
      <c r="H14" s="1632">
        <v>39410.74</v>
      </c>
      <c r="I14" s="1632">
        <v>120000</v>
      </c>
      <c r="J14" s="1632">
        <v>3.04</v>
      </c>
      <c r="K14" s="1632" t="s">
        <v>3164</v>
      </c>
      <c r="L14" s="1632" t="s">
        <v>3165</v>
      </c>
      <c r="M14" s="1632">
        <v>318758</v>
      </c>
      <c r="N14" s="1632">
        <v>5392.07</v>
      </c>
      <c r="O14" s="1632">
        <v>26563.16</v>
      </c>
      <c r="P14" s="1632" t="s">
        <v>1326</v>
      </c>
      <c r="Q14" s="1632" t="s">
        <v>3166</v>
      </c>
      <c r="R14" s="1632" t="s">
        <v>1326</v>
      </c>
    </row>
    <row r="15" spans="1:18" s="2958" customFormat="1">
      <c r="A15" s="2958" t="s">
        <v>3167</v>
      </c>
      <c r="B15" s="2958" t="s">
        <v>3063</v>
      </c>
      <c r="C15" s="2958" t="s">
        <v>3097</v>
      </c>
      <c r="D15" s="2958" t="s">
        <v>3108</v>
      </c>
      <c r="E15" s="2958" t="s">
        <v>1326</v>
      </c>
      <c r="F15" s="2958" t="s">
        <v>3153</v>
      </c>
      <c r="G15" s="2958" t="s">
        <v>3100</v>
      </c>
      <c r="H15" s="2958">
        <v>47849.94</v>
      </c>
      <c r="I15" s="2958">
        <v>76560</v>
      </c>
      <c r="J15" s="2958">
        <v>1.6</v>
      </c>
      <c r="K15" s="2958" t="s">
        <v>3168</v>
      </c>
      <c r="L15" s="2958" t="s">
        <v>3169</v>
      </c>
      <c r="M15" s="2958">
        <v>175000</v>
      </c>
      <c r="N15" s="2958">
        <v>2438.1799999999998</v>
      </c>
      <c r="O15" s="2958">
        <v>22857.88</v>
      </c>
      <c r="P15" s="2958">
        <v>41.13</v>
      </c>
      <c r="Q15" s="2958" t="s">
        <v>3105</v>
      </c>
      <c r="R15" s="2958" t="s">
        <v>1326</v>
      </c>
    </row>
    <row r="16" spans="1:18">
      <c r="A16" s="1632" t="s">
        <v>3170</v>
      </c>
      <c r="B16" s="1632" t="s">
        <v>3063</v>
      </c>
      <c r="C16" s="1632" t="s">
        <v>3107</v>
      </c>
      <c r="D16" s="1632" t="s">
        <v>3098</v>
      </c>
      <c r="E16" s="1632" t="s">
        <v>1326</v>
      </c>
      <c r="F16" s="1632" t="s">
        <v>3171</v>
      </c>
      <c r="G16" s="1632" t="s">
        <v>3172</v>
      </c>
      <c r="H16" s="1632">
        <v>90247.13</v>
      </c>
      <c r="I16" s="1632">
        <v>290836</v>
      </c>
      <c r="J16" s="1632">
        <v>3.2229999999999999</v>
      </c>
      <c r="K16" s="1632" t="s">
        <v>3173</v>
      </c>
      <c r="L16" s="1632" t="s">
        <v>3174</v>
      </c>
      <c r="M16" s="1632">
        <v>498000</v>
      </c>
      <c r="N16" s="1632">
        <v>3678.79</v>
      </c>
      <c r="O16" s="1632">
        <v>17123.04</v>
      </c>
      <c r="P16" s="1632">
        <v>0</v>
      </c>
      <c r="Q16" s="1632" t="s">
        <v>3105</v>
      </c>
      <c r="R16" s="1632" t="s">
        <v>1326</v>
      </c>
    </row>
    <row r="17" spans="1:18">
      <c r="A17" s="1632" t="s">
        <v>3175</v>
      </c>
      <c r="B17" s="1632" t="s">
        <v>3063</v>
      </c>
      <c r="C17" s="1632" t="s">
        <v>3161</v>
      </c>
      <c r="D17" s="1632" t="s">
        <v>3108</v>
      </c>
      <c r="E17" s="1632" t="s">
        <v>1326</v>
      </c>
      <c r="F17" s="1632" t="s">
        <v>3176</v>
      </c>
      <c r="G17" s="1632" t="s">
        <v>3163</v>
      </c>
      <c r="H17" s="1632">
        <v>113768</v>
      </c>
      <c r="I17" s="1632">
        <v>119494</v>
      </c>
      <c r="J17" s="1632">
        <v>1.05</v>
      </c>
      <c r="K17" s="1632" t="s">
        <v>3177</v>
      </c>
      <c r="L17" s="1632" t="s">
        <v>3178</v>
      </c>
      <c r="M17" s="1632">
        <v>74000</v>
      </c>
      <c r="N17" s="1632">
        <v>433.63</v>
      </c>
      <c r="O17" s="1632">
        <v>6192.77</v>
      </c>
      <c r="P17" s="1632" t="s">
        <v>1326</v>
      </c>
      <c r="Q17" s="1632" t="s">
        <v>3166</v>
      </c>
      <c r="R17" s="1632" t="s">
        <v>1326</v>
      </c>
    </row>
    <row r="18" spans="1:18">
      <c r="A18" s="1632" t="s">
        <v>3179</v>
      </c>
      <c r="B18" s="1632" t="s">
        <v>3063</v>
      </c>
      <c r="C18" s="1632" t="s">
        <v>3097</v>
      </c>
      <c r="D18" s="1632" t="s">
        <v>3098</v>
      </c>
      <c r="E18" s="1632" t="s">
        <v>1326</v>
      </c>
      <c r="F18" s="1632" t="s">
        <v>3171</v>
      </c>
      <c r="G18" s="1632" t="s">
        <v>3100</v>
      </c>
      <c r="H18" s="1632">
        <v>27200</v>
      </c>
      <c r="I18" s="1632">
        <v>76160</v>
      </c>
      <c r="J18" s="1632">
        <v>2.8</v>
      </c>
      <c r="K18" s="1632" t="s">
        <v>3180</v>
      </c>
      <c r="L18" s="1632" t="s">
        <v>3181</v>
      </c>
      <c r="M18" s="1632">
        <v>312500</v>
      </c>
      <c r="N18" s="1632">
        <v>7659.31</v>
      </c>
      <c r="O18" s="1632">
        <v>41032.04</v>
      </c>
      <c r="P18" s="1632">
        <v>4.83</v>
      </c>
      <c r="Q18" s="1632" t="s">
        <v>3105</v>
      </c>
      <c r="R18" s="1632" t="s">
        <v>1326</v>
      </c>
    </row>
    <row r="19" spans="1:18">
      <c r="A19" s="1632" t="s">
        <v>3182</v>
      </c>
      <c r="B19" s="1632" t="s">
        <v>3063</v>
      </c>
      <c r="C19" s="1632" t="s">
        <v>3107</v>
      </c>
      <c r="D19" s="1632" t="s">
        <v>3098</v>
      </c>
      <c r="E19" s="1632" t="s">
        <v>1326</v>
      </c>
      <c r="F19" s="1632" t="s">
        <v>3183</v>
      </c>
      <c r="G19" s="1632" t="s">
        <v>3125</v>
      </c>
      <c r="H19" s="1632">
        <v>21975.01</v>
      </c>
      <c r="I19" s="1632">
        <v>41704</v>
      </c>
      <c r="J19" s="1632">
        <v>1.9</v>
      </c>
      <c r="K19" s="1632" t="s">
        <v>3184</v>
      </c>
      <c r="L19" s="1632" t="s">
        <v>3185</v>
      </c>
      <c r="M19" s="1632">
        <v>167500</v>
      </c>
      <c r="N19" s="1632">
        <v>5081.53</v>
      </c>
      <c r="O19" s="1632">
        <v>40164.01</v>
      </c>
      <c r="P19" s="1632">
        <v>24.07</v>
      </c>
      <c r="Q19" s="1632" t="s">
        <v>3105</v>
      </c>
      <c r="R19" s="1632" t="s">
        <v>1326</v>
      </c>
    </row>
    <row r="20" spans="1:18">
      <c r="A20" s="1632" t="s">
        <v>3186</v>
      </c>
      <c r="B20" s="1632" t="s">
        <v>3063</v>
      </c>
      <c r="C20" s="1632" t="s">
        <v>3161</v>
      </c>
      <c r="D20" s="1632" t="s">
        <v>3098</v>
      </c>
      <c r="E20" s="1632" t="s">
        <v>1326</v>
      </c>
      <c r="F20" s="1632" t="s">
        <v>3162</v>
      </c>
      <c r="G20" s="1632" t="s">
        <v>3187</v>
      </c>
      <c r="H20" s="1632">
        <v>14089.17</v>
      </c>
      <c r="I20" s="1632">
        <v>105000</v>
      </c>
      <c r="J20" s="1632">
        <v>7.4525300000000003</v>
      </c>
      <c r="K20" s="1632" t="s">
        <v>3188</v>
      </c>
      <c r="L20" s="1632" t="s">
        <v>3189</v>
      </c>
      <c r="M20" s="1632">
        <v>355000</v>
      </c>
      <c r="N20" s="1632">
        <v>16797.77</v>
      </c>
      <c r="O20" s="1632">
        <v>33809.51</v>
      </c>
      <c r="P20" s="1632">
        <v>40.869999999999997</v>
      </c>
      <c r="Q20" s="1632" t="s">
        <v>3166</v>
      </c>
      <c r="R20" s="1632" t="s">
        <v>1326</v>
      </c>
    </row>
    <row r="21" spans="1:18">
      <c r="A21" s="1632" t="s">
        <v>3190</v>
      </c>
      <c r="B21" s="1632" t="s">
        <v>3063</v>
      </c>
      <c r="C21" s="1632" t="s">
        <v>3107</v>
      </c>
      <c r="D21" s="1632" t="s">
        <v>3108</v>
      </c>
      <c r="E21" s="1632" t="s">
        <v>1326</v>
      </c>
      <c r="F21" s="1632" t="s">
        <v>3191</v>
      </c>
      <c r="G21" s="1632" t="s">
        <v>3192</v>
      </c>
      <c r="H21" s="1632">
        <v>33380</v>
      </c>
      <c r="I21" s="1632">
        <v>83451</v>
      </c>
      <c r="J21" s="1632">
        <v>2.5</v>
      </c>
      <c r="K21" s="1632" t="s">
        <v>3193</v>
      </c>
      <c r="L21" s="1632" t="s">
        <v>3136</v>
      </c>
      <c r="M21" s="1632">
        <v>135000</v>
      </c>
      <c r="N21" s="1632">
        <v>2696.23</v>
      </c>
      <c r="O21" s="1632">
        <v>16177.15</v>
      </c>
      <c r="P21" s="1632">
        <v>12.5</v>
      </c>
      <c r="Q21" s="1632" t="s">
        <v>3105</v>
      </c>
      <c r="R21" s="1632" t="s">
        <v>1326</v>
      </c>
    </row>
    <row r="22" spans="1:18">
      <c r="A22" s="1632" t="s">
        <v>3194</v>
      </c>
      <c r="B22" s="1632" t="s">
        <v>3063</v>
      </c>
      <c r="C22" s="1632" t="s">
        <v>3097</v>
      </c>
      <c r="D22" s="1632" t="s">
        <v>3098</v>
      </c>
      <c r="E22" s="1632" t="s">
        <v>1326</v>
      </c>
      <c r="F22" s="1632" t="s">
        <v>3195</v>
      </c>
      <c r="G22" s="1632" t="s">
        <v>3100</v>
      </c>
      <c r="H22" s="1632">
        <v>36708.14</v>
      </c>
      <c r="I22" s="1632">
        <v>102783</v>
      </c>
      <c r="J22" s="1632">
        <v>2.8</v>
      </c>
      <c r="K22" s="1632" t="s">
        <v>3196</v>
      </c>
      <c r="L22" s="1632" t="s">
        <v>3197</v>
      </c>
      <c r="M22" s="1632">
        <v>626000</v>
      </c>
      <c r="N22" s="1632">
        <v>11368.96</v>
      </c>
      <c r="O22" s="1632">
        <v>60905.01</v>
      </c>
      <c r="P22" s="1632">
        <v>49.05</v>
      </c>
      <c r="Q22" s="1632" t="s">
        <v>3105</v>
      </c>
      <c r="R22" s="1632">
        <v>16</v>
      </c>
    </row>
    <row r="23" spans="1:18">
      <c r="A23" s="1632" t="s">
        <v>3198</v>
      </c>
      <c r="B23" s="1632" t="s">
        <v>3063</v>
      </c>
      <c r="C23" s="1632" t="s">
        <v>3097</v>
      </c>
      <c r="D23" s="1632" t="s">
        <v>3108</v>
      </c>
      <c r="E23" s="1632" t="s">
        <v>1326</v>
      </c>
      <c r="F23" s="1632" t="s">
        <v>3199</v>
      </c>
      <c r="G23" s="1632" t="s">
        <v>3100</v>
      </c>
      <c r="H23" s="1632">
        <v>89116.67</v>
      </c>
      <c r="I23" s="1632">
        <v>133675</v>
      </c>
      <c r="J23" s="1632">
        <v>1.5</v>
      </c>
      <c r="K23" s="1632" t="s">
        <v>3201</v>
      </c>
      <c r="L23" s="1632" t="s">
        <v>3202</v>
      </c>
      <c r="M23" s="1632">
        <v>172000</v>
      </c>
      <c r="N23" s="1632">
        <v>1286.7</v>
      </c>
      <c r="O23" s="1632">
        <v>12867.03</v>
      </c>
      <c r="P23" s="1632">
        <v>49.57</v>
      </c>
      <c r="Q23" s="1632" t="s">
        <v>3105</v>
      </c>
      <c r="R23" s="1632">
        <v>40</v>
      </c>
    </row>
    <row r="24" spans="1:18">
      <c r="A24" s="1632" t="s">
        <v>3203</v>
      </c>
      <c r="B24" s="1632" t="s">
        <v>3063</v>
      </c>
      <c r="C24" s="1632" t="s">
        <v>3107</v>
      </c>
      <c r="D24" s="1632" t="s">
        <v>3098</v>
      </c>
      <c r="E24" s="1632" t="s">
        <v>1326</v>
      </c>
      <c r="F24" s="1632" t="s">
        <v>3204</v>
      </c>
      <c r="G24" s="1632" t="s">
        <v>3205</v>
      </c>
      <c r="H24" s="1632">
        <v>65649.87</v>
      </c>
      <c r="I24" s="1632">
        <v>193846</v>
      </c>
      <c r="J24" s="1632" t="s">
        <v>3206</v>
      </c>
      <c r="K24" s="1632" t="s">
        <v>3201</v>
      </c>
      <c r="L24" s="1632" t="s">
        <v>3207</v>
      </c>
      <c r="M24" s="1632">
        <v>787000</v>
      </c>
      <c r="N24" s="1632">
        <v>7991.89</v>
      </c>
      <c r="O24" s="1632">
        <v>40599.230000000003</v>
      </c>
      <c r="P24" s="1632">
        <v>49.9</v>
      </c>
      <c r="Q24" s="1632" t="s">
        <v>3105</v>
      </c>
      <c r="R24" s="1632">
        <v>54</v>
      </c>
    </row>
    <row r="25" spans="1:18" s="2959" customFormat="1">
      <c r="A25" s="2959" t="s">
        <v>3208</v>
      </c>
      <c r="B25" s="2959" t="s">
        <v>3063</v>
      </c>
      <c r="C25" s="2959" t="s">
        <v>3107</v>
      </c>
      <c r="D25" s="2959" t="s">
        <v>3108</v>
      </c>
      <c r="E25" s="2959" t="s">
        <v>1326</v>
      </c>
      <c r="F25" s="2959" t="s">
        <v>3153</v>
      </c>
      <c r="G25" s="2959" t="s">
        <v>3125</v>
      </c>
      <c r="H25" s="2959">
        <v>133032.79999999999</v>
      </c>
      <c r="I25" s="2959">
        <v>210450</v>
      </c>
      <c r="J25" s="2959">
        <v>1.581940932</v>
      </c>
      <c r="K25" s="2959" t="s">
        <v>3209</v>
      </c>
      <c r="L25" s="2959" t="s">
        <v>3210</v>
      </c>
      <c r="M25" s="2959">
        <v>561000</v>
      </c>
      <c r="N25" s="2959">
        <v>2811.34</v>
      </c>
      <c r="O25" s="2959">
        <v>26657.15</v>
      </c>
      <c r="P25" s="2959">
        <v>50</v>
      </c>
      <c r="Q25" s="2959" t="s">
        <v>3105</v>
      </c>
      <c r="R25" s="2959">
        <v>12</v>
      </c>
    </row>
    <row r="26" spans="1:18">
      <c r="A26" s="1632" t="s">
        <v>3211</v>
      </c>
      <c r="B26" s="1632" t="s">
        <v>3063</v>
      </c>
      <c r="C26" s="1632" t="s">
        <v>3107</v>
      </c>
      <c r="D26" s="1632" t="s">
        <v>3098</v>
      </c>
      <c r="E26" s="1632" t="s">
        <v>1326</v>
      </c>
      <c r="F26" s="1632" t="s">
        <v>3212</v>
      </c>
      <c r="G26" s="1632" t="s">
        <v>3213</v>
      </c>
      <c r="H26" s="1632">
        <v>35982.400000000001</v>
      </c>
      <c r="I26" s="1632">
        <v>86965</v>
      </c>
      <c r="J26" s="1632">
        <v>2.4</v>
      </c>
      <c r="K26" s="1632" t="s">
        <v>3200</v>
      </c>
      <c r="L26" s="1632" t="s">
        <v>3214</v>
      </c>
      <c r="M26" s="1632">
        <v>286000</v>
      </c>
      <c r="N26" s="1632">
        <v>5298.89</v>
      </c>
      <c r="O26" s="1632">
        <v>32886.79</v>
      </c>
      <c r="P26" s="1632">
        <v>24.35</v>
      </c>
      <c r="Q26" s="1632" t="s">
        <v>3142</v>
      </c>
      <c r="R26" s="1632" t="s">
        <v>1326</v>
      </c>
    </row>
    <row r="27" spans="1:18">
      <c r="A27" s="1632" t="s">
        <v>3215</v>
      </c>
      <c r="B27" s="1632" t="s">
        <v>3063</v>
      </c>
      <c r="C27" s="1632" t="s">
        <v>3161</v>
      </c>
      <c r="D27" s="1632" t="s">
        <v>3098</v>
      </c>
      <c r="E27" s="1632" t="s">
        <v>1326</v>
      </c>
      <c r="F27" s="1632" t="s">
        <v>3162</v>
      </c>
      <c r="G27" s="1632" t="s">
        <v>3163</v>
      </c>
      <c r="H27" s="1632">
        <v>27295.08</v>
      </c>
      <c r="I27" s="1632">
        <v>160000</v>
      </c>
      <c r="J27" s="1632">
        <v>5.8</v>
      </c>
      <c r="K27" s="1632" t="s">
        <v>3216</v>
      </c>
      <c r="L27" s="1632" t="s">
        <v>3217</v>
      </c>
      <c r="M27" s="1632">
        <v>434000</v>
      </c>
      <c r="N27" s="1632">
        <v>10600.2</v>
      </c>
      <c r="O27" s="1632">
        <v>27125</v>
      </c>
      <c r="P27" s="1632">
        <v>0.46</v>
      </c>
      <c r="Q27" s="1632" t="s">
        <v>3218</v>
      </c>
      <c r="R27" s="1632" t="s">
        <v>1326</v>
      </c>
    </row>
    <row r="30" spans="1:18">
      <c r="A30"/>
      <c r="B30" s="2968" t="s">
        <v>3260</v>
      </c>
      <c r="C30" s="2968" t="s">
        <v>3261</v>
      </c>
      <c r="D30" s="2968" t="s">
        <v>3262</v>
      </c>
      <c r="E30" s="2968" t="s">
        <v>3263</v>
      </c>
      <c r="F30"/>
    </row>
    <row r="31" spans="1:18">
      <c r="A31"/>
      <c r="B31" s="2968" t="s">
        <v>3264</v>
      </c>
      <c r="C31">
        <v>1</v>
      </c>
      <c r="D31">
        <f>D33/2</f>
        <v>279.11500000000001</v>
      </c>
      <c r="E31">
        <v>5.4</v>
      </c>
      <c r="F31"/>
    </row>
    <row r="32" spans="1:18">
      <c r="A32"/>
      <c r="B32" s="2968" t="s">
        <v>3265</v>
      </c>
      <c r="C32">
        <v>0.7</v>
      </c>
      <c r="D32">
        <f>D31</f>
        <v>279.11500000000001</v>
      </c>
      <c r="E32">
        <f>ROUND(E31*C32,1)</f>
        <v>3.8</v>
      </c>
      <c r="F32"/>
    </row>
    <row r="33" spans="1:6">
      <c r="A33"/>
      <c r="B33"/>
      <c r="C33"/>
      <c r="D33">
        <f>'数据-基础表'!I13</f>
        <v>558.23</v>
      </c>
      <c r="E33">
        <f>ROUND(SUMPRODUCT(D31:D32*E31:E32/D33),1)</f>
        <v>4.5999999999999996</v>
      </c>
      <c r="F33"/>
    </row>
    <row r="34" spans="1:6">
      <c r="A34"/>
      <c r="B34"/>
      <c r="C34"/>
      <c r="D34"/>
      <c r="E34"/>
      <c r="F34"/>
    </row>
    <row r="35" spans="1:6">
      <c r="A35"/>
      <c r="B35"/>
      <c r="C35"/>
      <c r="D35"/>
      <c r="E35"/>
      <c r="F35"/>
    </row>
    <row r="36" spans="1:6">
      <c r="A36"/>
      <c r="B36"/>
      <c r="C36"/>
      <c r="D36"/>
      <c r="E36"/>
      <c r="F36"/>
    </row>
    <row r="37" spans="1:6">
      <c r="A37"/>
      <c r="B37"/>
      <c r="C37"/>
      <c r="D37"/>
      <c r="E37"/>
      <c r="F37"/>
    </row>
    <row r="38" spans="1:6">
      <c r="A38"/>
      <c r="B38"/>
      <c r="C38"/>
      <c r="D38"/>
      <c r="E38"/>
      <c r="F38"/>
    </row>
    <row r="39" spans="1:6">
      <c r="A39"/>
      <c r="B39"/>
      <c r="C39"/>
      <c r="D39"/>
      <c r="E39"/>
      <c r="F39"/>
    </row>
    <row r="40" spans="1:6">
      <c r="A40"/>
      <c r="B40"/>
      <c r="C40"/>
      <c r="D40"/>
      <c r="E40"/>
      <c r="F40"/>
    </row>
    <row r="41" spans="1:6">
      <c r="A41"/>
      <c r="B41"/>
      <c r="C41"/>
      <c r="D41"/>
      <c r="E41"/>
      <c r="F41"/>
    </row>
    <row r="42" spans="1:6">
      <c r="A42"/>
      <c r="B42"/>
      <c r="C42"/>
      <c r="D42"/>
      <c r="E42"/>
      <c r="F42"/>
    </row>
    <row r="43" spans="1:6">
      <c r="A43"/>
      <c r="B43"/>
      <c r="C43"/>
      <c r="D43"/>
      <c r="E43"/>
      <c r="F43"/>
    </row>
    <row r="44" spans="1:6">
      <c r="A44"/>
      <c r="B44"/>
      <c r="C44"/>
      <c r="D44"/>
      <c r="E44"/>
      <c r="F44"/>
    </row>
    <row r="45" spans="1:6">
      <c r="A45"/>
      <c r="B45"/>
      <c r="C45"/>
      <c r="D45"/>
      <c r="E45"/>
      <c r="F45"/>
    </row>
    <row r="46" spans="1:6">
      <c r="A46"/>
      <c r="B46"/>
      <c r="C46"/>
      <c r="D46"/>
      <c r="E46"/>
      <c r="F46"/>
    </row>
    <row r="47" spans="1:6">
      <c r="A47"/>
      <c r="B47"/>
      <c r="C47"/>
      <c r="D47"/>
      <c r="E47"/>
      <c r="F47"/>
    </row>
    <row r="48" spans="1:6">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A56"/>
      <c r="B56"/>
      <c r="C56"/>
      <c r="D56"/>
      <c r="E56"/>
      <c r="F56"/>
    </row>
    <row r="57" spans="1:6">
      <c r="A57"/>
      <c r="B57"/>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抵押面积表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比较法-合院</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'比较法-合院'!住宅朝向</vt:lpstr>
      <vt:lpstr>住宅朝向</vt:lpstr>
      <vt:lpstr>'比较法-合院'!住宅房型</vt:lpstr>
      <vt:lpstr>住宅房型</vt:lpstr>
      <vt:lpstr>'比较法-合院'!住宅公共部分装修</vt:lpstr>
      <vt:lpstr>住宅公共部分装修</vt:lpstr>
      <vt:lpstr>'比较法-合院'!住宅基础设施水平</vt:lpstr>
      <vt:lpstr>住宅基础设施水平</vt:lpstr>
      <vt:lpstr>'比较法-合院'!住宅建筑结构</vt:lpstr>
      <vt:lpstr>住宅建筑结构</vt:lpstr>
      <vt:lpstr>'比较法-合院'!住宅建筑类型</vt:lpstr>
      <vt:lpstr>住宅建筑类型</vt:lpstr>
      <vt:lpstr>'比较法-合院'!住宅建筑品质</vt:lpstr>
      <vt:lpstr>住宅建筑品质</vt:lpstr>
      <vt:lpstr>'比较法-合院'!住宅交易情况</vt:lpstr>
      <vt:lpstr>住宅交易情况</vt:lpstr>
      <vt:lpstr>'比较法-合院'!住宅楼层</vt:lpstr>
      <vt:lpstr>住宅楼层</vt:lpstr>
      <vt:lpstr>'比较法-合院'!住宅内部装修</vt:lpstr>
      <vt:lpstr>住宅内部装修</vt:lpstr>
      <vt:lpstr>'比较法-合院'!住宅物业管理</vt:lpstr>
      <vt:lpstr>住宅物业管理</vt:lpstr>
      <vt:lpstr>'比较法-合院'!住宅用途</vt:lpstr>
      <vt:lpstr>住宅用途</vt:lpstr>
      <vt:lpstr>'比较法-合院'!住宅主力户型面积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2020-06-03T07:22:22Z</dcterms:modified>
</cp:coreProperties>
</file>