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6" i="68" l="1"/>
  <c r="I41" i="40"/>
  <c r="G41" i="40"/>
  <c r="E41" i="40"/>
  <c r="I34" i="40"/>
  <c r="G34" i="40"/>
  <c r="E34" i="40"/>
  <c r="C34" i="40"/>
  <c r="I11" i="40"/>
  <c r="G11" i="40"/>
  <c r="E11" i="40"/>
  <c r="C11" i="40"/>
  <c r="C10" i="40"/>
  <c r="E109" i="40"/>
  <c r="F109" i="40" s="1"/>
  <c r="G109" i="40" s="1"/>
  <c r="H109" i="40" s="1"/>
  <c r="I109" i="40" s="1"/>
  <c r="J109" i="40" s="1"/>
  <c r="D109" i="40"/>
  <c r="E66" i="40"/>
  <c r="F66" i="40" s="1"/>
  <c r="G66" i="40" s="1"/>
  <c r="H66" i="40" s="1"/>
  <c r="I66" i="40" s="1"/>
  <c r="J66" i="40" s="1"/>
  <c r="K66" i="40" s="1"/>
  <c r="L66" i="40" s="1"/>
  <c r="M66" i="40" s="1"/>
  <c r="N66" i="40" s="1"/>
  <c r="O66" i="40" s="1"/>
  <c r="D66" i="40"/>
  <c r="I7" i="40"/>
  <c r="G7" i="40"/>
  <c r="E7" i="40"/>
  <c r="I5" i="40"/>
  <c r="G5" i="40"/>
  <c r="E5" i="40"/>
  <c r="AL3" i="77"/>
  <c r="AL2" i="77"/>
  <c r="AL1" i="77"/>
  <c r="AL17" i="77"/>
  <c r="AL16" i="77"/>
  <c r="AL15" i="77"/>
  <c r="AL14" i="77"/>
  <c r="AL13" i="77"/>
  <c r="AL12" i="77"/>
  <c r="AL11" i="77"/>
  <c r="AL10" i="77"/>
  <c r="AL9" i="77"/>
  <c r="AL8" i="77"/>
  <c r="AL7" i="77"/>
  <c r="AL6" i="77"/>
  <c r="AL5" i="77"/>
  <c r="B29" i="1"/>
  <c r="Y6" i="1"/>
  <c r="N6" i="1"/>
  <c r="F19" i="6"/>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B13" i="76"/>
  <c r="B7" i="76"/>
  <c r="E11" i="76"/>
  <c r="B12" i="76"/>
  <c r="E10" i="76"/>
  <c r="E13" i="76"/>
  <c r="B10" i="76"/>
  <c r="B9" i="76"/>
  <c r="E8" i="76"/>
  <c r="B8" i="76"/>
  <c r="E9" i="76"/>
  <c r="B11"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D5" i="73"/>
  <c r="D3" i="73"/>
  <c r="F6" i="73"/>
  <c r="F5" i="73"/>
  <c r="F3"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5" i="71"/>
  <c r="AA6"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S34" i="35"/>
  <c r="W34" i="35"/>
  <c r="W36" i="35"/>
  <c r="S31"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AA44" i="33"/>
  <c r="AA14" i="33"/>
  <c r="J36" i="37"/>
  <c r="AC36" i="37" s="1"/>
  <c r="G105" i="37"/>
  <c r="AB11" i="35"/>
  <c r="J10" i="36"/>
  <c r="AC10" i="36" s="1"/>
  <c r="AB26" i="33"/>
  <c r="AB30" i="21"/>
  <c r="W31" i="34"/>
  <c r="AC13" i="36"/>
  <c r="W13" i="36"/>
  <c r="S11" i="36"/>
  <c r="W11" i="36"/>
  <c r="AC30" i="34"/>
  <c r="AB31"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9"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8" i="3"/>
  <c r="BL549"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G129" i="3"/>
  <c r="BA131" i="3"/>
  <c r="BL132" i="3"/>
  <c r="AZ132" i="3"/>
  <c r="G133" i="3"/>
  <c r="BA135" i="3"/>
  <c r="AZ135" i="3" s="1"/>
  <c r="BL136" i="3"/>
  <c r="G137" i="3"/>
  <c r="BA139" i="3"/>
  <c r="AZ139" i="3" s="1"/>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160" i="3"/>
  <c r="AZ200" i="3"/>
  <c r="AZ85" i="3"/>
  <c r="AZ89" i="3"/>
  <c r="AZ97" i="3"/>
  <c r="AZ105"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AZ382" i="3" s="1"/>
  <c r="BL382" i="3"/>
  <c r="G383" i="3"/>
  <c r="G386" i="3"/>
  <c r="BL387" i="3"/>
  <c r="BA389" i="3"/>
  <c r="AZ389" i="3" s="1"/>
  <c r="BA390" i="3"/>
  <c r="BL390" i="3"/>
  <c r="G391" i="3"/>
  <c r="G394" i="3"/>
  <c r="AZ138" i="3"/>
  <c r="AZ150" i="3"/>
  <c r="AZ158"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BB5" i="3"/>
  <c r="E8" i="6" s="1"/>
  <c r="F27" i="6" s="1"/>
  <c r="BR5" i="3"/>
  <c r="G28" i="6" s="1"/>
  <c r="AZ384" i="3"/>
  <c r="AZ392" i="3"/>
  <c r="AZ394" i="3"/>
  <c r="AZ499" i="3"/>
  <c r="AZ509" i="3"/>
  <c r="G509" i="3"/>
  <c r="BL493" i="3"/>
  <c r="AZ491" i="3"/>
  <c r="AZ376"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7" i="3"/>
  <c r="AZ240" i="3"/>
  <c r="AZ243" i="3"/>
  <c r="AZ256" i="3"/>
  <c r="AZ259" i="3"/>
  <c r="AZ280" i="3"/>
  <c r="AZ296" i="3"/>
  <c r="AZ114"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F28" i="40" l="1"/>
  <c r="AA28" i="40" s="1"/>
  <c r="H28" i="40"/>
  <c r="U28" i="40" s="1"/>
  <c r="J28" i="40"/>
  <c r="AC28" i="40" s="1"/>
  <c r="W35" i="40"/>
  <c r="AC11" i="40"/>
  <c r="C21" i="39"/>
  <c r="A15" i="62"/>
  <c r="B61" i="72" s="1"/>
  <c r="F29" i="6"/>
  <c r="AZ310" i="3"/>
  <c r="AZ329" i="3"/>
  <c r="AZ321" i="3"/>
  <c r="AZ362" i="3"/>
  <c r="S25" i="21"/>
  <c r="AA25" i="21"/>
  <c r="AZ557" i="3"/>
  <c r="AC14" i="37"/>
  <c r="W14" i="37"/>
  <c r="W13" i="40"/>
  <c r="AC13" i="40"/>
  <c r="S13" i="35"/>
  <c r="AA13" i="35"/>
  <c r="AB46" i="33"/>
  <c r="U46" i="33"/>
  <c r="U11" i="36"/>
  <c r="AB11" i="36"/>
  <c r="U46" i="34"/>
  <c r="AB46" i="34"/>
  <c r="S14" i="34"/>
  <c r="AA14" i="34"/>
  <c r="U45" i="33"/>
  <c r="AB45" i="33"/>
  <c r="AB13" i="33"/>
  <c r="U13" i="33"/>
  <c r="W46" i="21"/>
  <c r="AC46" i="21"/>
  <c r="AC44" i="21"/>
  <c r="W44" i="21"/>
  <c r="AA44" i="34"/>
  <c r="S44" i="34"/>
  <c r="AC31" i="40"/>
  <c r="W31" i="40"/>
  <c r="AA38" i="40"/>
  <c r="S38" i="40"/>
  <c r="W40" i="40"/>
  <c r="AC40" i="40"/>
  <c r="S41" i="34"/>
  <c r="AA41" i="34"/>
  <c r="AB43" i="33"/>
  <c r="U43" i="33"/>
  <c r="AZ523" i="3"/>
  <c r="AZ527" i="3"/>
  <c r="AZ531" i="3"/>
  <c r="AZ535" i="3"/>
  <c r="AZ539" i="3"/>
  <c r="AZ543" i="3"/>
  <c r="AZ547" i="3"/>
  <c r="AZ559" i="3"/>
  <c r="AZ567" i="3"/>
  <c r="AZ579" i="3"/>
  <c r="AZ508" i="3"/>
  <c r="W29" i="33"/>
  <c r="S45" i="33"/>
  <c r="W11" i="35"/>
  <c r="AA14" i="37"/>
  <c r="U31" i="34"/>
  <c r="AB14" i="37"/>
  <c r="U14" i="37"/>
  <c r="AB26" i="37"/>
  <c r="U26" i="37"/>
  <c r="AC32" i="40"/>
  <c r="W32" i="40"/>
  <c r="AZ375" i="3"/>
  <c r="AB37" i="34"/>
  <c r="U33" i="37"/>
  <c r="AZ507" i="3"/>
  <c r="AZ513" i="3"/>
  <c r="AZ521" i="3"/>
  <c r="AZ553" i="3"/>
  <c r="AZ583" i="3"/>
  <c r="AZ581" i="3"/>
  <c r="AZ518" i="3"/>
  <c r="AZ538" i="3"/>
  <c r="AZ552" i="3"/>
  <c r="U23" i="40"/>
  <c r="AA29" i="35"/>
  <c r="U33" i="35"/>
  <c r="C27" i="39"/>
  <c r="U35" i="33"/>
  <c r="U34" i="35"/>
  <c r="W22" i="35"/>
  <c r="AA31" i="36"/>
  <c r="W28" i="36"/>
  <c r="F39" i="37"/>
  <c r="BL586" i="3"/>
  <c r="BL585" i="3"/>
  <c r="AZ585" i="3" s="1"/>
  <c r="H12" i="33"/>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BL220" i="3"/>
  <c r="AZ220" i="3" s="1"/>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AZ125" i="3"/>
  <c r="BA141" i="3"/>
  <c r="AZ141" i="3" s="1"/>
  <c r="BA142" i="3"/>
  <c r="AZ142" i="3" s="1"/>
  <c r="BL143" i="3"/>
  <c r="AZ143" i="3" s="1"/>
  <c r="BA145" i="3"/>
  <c r="AZ145" i="3" s="1"/>
  <c r="BA146" i="3"/>
  <c r="AZ146" i="3" s="1"/>
  <c r="BA148" i="3"/>
  <c r="AZ148" i="3" s="1"/>
  <c r="BL149" i="3"/>
  <c r="G152" i="3"/>
  <c r="BL154" i="3"/>
  <c r="AZ154" i="3" s="1"/>
  <c r="BA156" i="3"/>
  <c r="AZ156" i="3" s="1"/>
  <c r="BL157" i="3"/>
  <c r="G160" i="3"/>
  <c r="AZ177" i="3"/>
  <c r="AZ226" i="3"/>
  <c r="AZ230" i="3"/>
  <c r="AZ242" i="3"/>
  <c r="AZ246" i="3"/>
  <c r="AZ258" i="3"/>
  <c r="AZ262" i="3"/>
  <c r="BL125" i="3"/>
  <c r="BA126" i="3"/>
  <c r="AZ126" i="3" s="1"/>
  <c r="BL127" i="3"/>
  <c r="AZ127" i="3" s="1"/>
  <c r="BA129" i="3"/>
  <c r="AZ129" i="3" s="1"/>
  <c r="BA130" i="3"/>
  <c r="AZ130" i="3" s="1"/>
  <c r="BL131" i="3"/>
  <c r="AZ131" i="3" s="1"/>
  <c r="G135" i="3"/>
  <c r="G138" i="3"/>
  <c r="G139"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67"/>
  <c r="F16" i="67"/>
  <c r="M8" i="15"/>
  <c r="F43" i="15"/>
  <c r="L47" i="67"/>
  <c r="M26" i="15"/>
  <c r="F13" i="15"/>
  <c r="F38" i="67"/>
  <c r="L48" i="15"/>
  <c r="F16" i="15"/>
  <c r="F37" i="67"/>
  <c r="F40" i="67"/>
  <c r="F36" i="67"/>
  <c r="C76" i="67"/>
  <c r="M24" i="67"/>
  <c r="M6" i="15"/>
  <c r="M22" i="15"/>
  <c r="M26" i="67"/>
  <c r="F26" i="67"/>
  <c r="F13" i="67"/>
  <c r="M28" i="15"/>
  <c r="F6" i="15"/>
  <c r="L48" i="67"/>
  <c r="F37" i="15"/>
  <c r="F36" i="15"/>
  <c r="L47" i="15"/>
  <c r="M9" i="15"/>
  <c r="J15" i="67"/>
  <c r="F40" i="15"/>
  <c r="F8" i="15"/>
  <c r="C76" i="15"/>
  <c r="M22" i="67"/>
  <c r="F26" i="15"/>
  <c r="M29" i="67"/>
  <c r="F9" i="67"/>
  <c r="M8" i="67"/>
  <c r="M29" i="15"/>
  <c r="F42" i="67"/>
  <c r="M23" i="67"/>
  <c r="M24" i="15"/>
  <c r="F7" i="15"/>
  <c r="F6" i="67"/>
  <c r="M23" i="15"/>
  <c r="F8" i="67"/>
  <c r="F38" i="15"/>
  <c r="F42" i="15"/>
  <c r="F9" i="15"/>
  <c r="F7" i="67"/>
  <c r="J15" i="15"/>
  <c r="M9" i="67"/>
  <c r="F43" i="67"/>
  <c r="M6" i="67"/>
  <c r="G1" i="73"/>
  <c r="C4" i="4" l="1"/>
  <c r="B4" i="62" s="1"/>
  <c r="B71" i="72" s="1"/>
  <c r="D22" i="43"/>
  <c r="E4" i="4"/>
  <c r="B5" i="62" s="1"/>
  <c r="B73" i="72" s="1"/>
  <c r="AB38" i="40"/>
  <c r="U38" i="40"/>
  <c r="U12" i="33"/>
  <c r="AB12" i="33"/>
  <c r="AA40" i="40"/>
  <c r="S40" i="40"/>
  <c r="AC25" i="37"/>
  <c r="W25" i="37"/>
  <c r="S39" i="37"/>
  <c r="AA39" i="37"/>
  <c r="C10" i="1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M17" i="67"/>
  <c r="M17" i="15"/>
  <c r="F59" i="67"/>
  <c r="F59" i="15"/>
  <c r="F31" i="67"/>
  <c r="C16" i="15"/>
  <c r="C16" i="67"/>
  <c r="C17" i="15"/>
  <c r="K4" i="4" l="1"/>
  <c r="B46" i="48" s="1"/>
  <c r="B4" i="72" s="1"/>
  <c r="C30" i="69"/>
  <c r="S5" i="43"/>
  <c r="S7" i="43"/>
  <c r="S4" i="43"/>
  <c r="S6" i="43"/>
  <c r="S3" i="43"/>
  <c r="C23" i="43"/>
  <c r="C21"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36"/>
  <c r="F20" i="31"/>
  <c r="D2" i="33"/>
  <c r="E2" i="68"/>
  <c r="D2" i="37"/>
  <c r="D2" i="21"/>
  <c r="D2" i="34"/>
  <c r="C19" i="9"/>
  <c r="D2" i="35"/>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<sst xmlns="http://schemas.openxmlformats.org/spreadsheetml/2006/main" count="7865" uniqueCount="3235">
  <si>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</si>
  <si>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</si>
  <si>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</si>
  <si>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</si>
  <si>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</si>
  <si>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</si>
  <si>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</si>
  <si>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</si>
  <si>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</si>
  <si>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</si>
  <si>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</si>
  <si>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</si>
  <si>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</si>
  <si>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</si>
  <si>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</si>
  <si>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</si>
  <si>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</si>
  <si>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</si>
  <si>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</si>
  <si>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</si>
  <si>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</si>
  <si>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</si>
  <si>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</si>
  <si>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</si>
  <si>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</si>
  <si>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</si>
  <si>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</si>
  <si>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</si>
  <si>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</si>
  <si>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</si>
  <si>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</si>
  <si>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</si>
  <si>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</si>
  <si>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</si>
  <si>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</si>
  <si>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</si>
  <si>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</si>
  <si>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</si>
  <si>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</si>
  <si>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</si>
  <si>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</si>
  <si>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</si>
  <si>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</si>
  <si>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</si>
  <si>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</si>
  <si>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</si>
  <si>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</si>
  <si>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</si>
  <si>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</si>
  <si>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</si>
  <si>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</si>
  <si>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</si>
  <si>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</si>
  <si>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</si>
  <si>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</si>
  <si>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</si>
  <si>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</si>
  <si>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</si>
  <si>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</si>
  <si>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</si>
  <si>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</si>
  <si>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</si>
  <si>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</si>
  <si>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</si>
  <si>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</si>
  <si>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</si>
  <si>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</si>
  <si>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</si>
  <si>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</si>
  <si>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</si>
  <si>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</si>
  <si>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</si>
  <si>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</si>
  <si>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</si>
  <si>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</si>
  <si>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</si>
  <si>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</si>
  <si>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</si>
  <si>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</si>
  <si>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</si>
  <si>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</si>
  <si>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</si>
  <si>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</si>
  <si>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</si>
  <si>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</si>
  <si>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</si>
  <si>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</si>
  <si>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</si>
  <si>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</si>
  <si>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</si>
  <si>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</si>
  <si>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</si>
  <si>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</si>
  <si>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</si>
  <si>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</si>
  <si>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</si>
  <si>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</si>
  <si>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</si>
  <si>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</si>
  <si>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</si>
  <si>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</si>
  <si>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</si>
  <si>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</si>
  <si>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</si>
  <si>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</si>
  <si>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</si>
  <si>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</si>
  <si>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</si>
  <si>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</si>
  <si>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</si>
  <si>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</si>
  <si>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</si>
  <si>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</si>
  <si>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</si>
  <si>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</si>
  <si>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</si>
  <si>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</si>
  <si>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</si>
  <si>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</si>
  <si>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</si>
  <si>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</si>
  <si>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</si>
  <si>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</si>
  <si>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</si>
  <si>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</si>
  <si>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</si>
  <si>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</si>
  <si>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</si>
  <si>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</si>
  <si>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</si>
  <si>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</si>
  <si>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</si>
  <si>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</si>
  <si>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</si>
  <si>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</si>
  <si>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</si>
  <si>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</si>
  <si>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</si>
  <si>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</si>
  <si>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</si>
  <si>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</si>
  <si>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</si>
  <si>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</si>
  <si>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</si>
  <si>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</si>
  <si>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</si>
  <si>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</si>
  <si>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</si>
  <si>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</si>
  <si>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</si>
  <si>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</si>
  <si>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</si>
  <si>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</si>
  <si>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</si>
  <si>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</si>
  <si>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</si>
  <si>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</si>
  <si>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</si>
  <si>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</si>
  <si>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</si>
  <si>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</si>
  <si>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</si>
  <si>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</si>
  <si>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</si>
  <si>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</si>
  <si>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</si>
  <si>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</si>
  <si>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</si>
  <si>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</si>
  <si>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</si>
  <si>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</si>
  <si>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</si>
  <si>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</si>
  <si>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</si>
  <si>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</si>
  <si>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</si>
  <si>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</si>
  <si>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</si>
  <si>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</si>
  <si>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</si>
  <si>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</si>
  <si>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</si>
  <si>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</si>
  <si>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</si>
  <si>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</si>
  <si>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</si>
  <si>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</si>
  <si>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</si>
  <si>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</si>
  <si>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</si>
  <si>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</si>
  <si>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</si>
  <si>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</si>
  <si>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</si>
  <si>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</si>
  <si>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</si>
  <si>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</si>
  <si>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</si>
  <si>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</si>
  <si>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</si>
  <si>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</si>
  <si>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</si>
  <si>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</si>
  <si>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</si>
  <si>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</si>
  <si>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</si>
  <si>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</si>
  <si>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</si>
  <si>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</si>
  <si>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</si>
  <si>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</si>
  <si>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</si>
  <si>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</si>
  <si>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</si>
  <si>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</si>
  <si>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</si>
  <si>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</si>
  <si>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</si>
  <si>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</si>
  <si>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</si>
  <si>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</si>
  <si>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</si>
  <si>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</si>
  <si>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</si>
  <si>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</si>
  <si>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</si>
  <si>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</si>
  <si>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</si>
  <si>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</si>
  <si>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</si>
  <si>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</si>
  <si>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</si>
  <si>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</si>
  <si>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</si>
  <si>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</si>
  <si>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</si>
  <si>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</si>
  <si>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</si>
  <si>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</si>
  <si>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</si>
  <si>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</si>
  <si>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</si>
  <si>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</si>
  <si>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</si>
  <si>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</si>
  <si>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</si>
  <si>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</si>
  <si>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</si>
  <si>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</si>
  <si>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</si>
  <si>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</si>
  <si>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</si>
  <si>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</si>
  <si>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</si>
  <si>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</si>
  <si>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</si>
  <si>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</si>
  <si>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</si>
  <si>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</si>
  <si>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</si>
  <si>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</si>
  <si>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</si>
  <si>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</si>
  <si>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</si>
  <si>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</si>
  <si>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</si>
  <si>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</si>
  <si>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</si>
  <si>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</si>
  <si>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</si>
  <si>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</si>
  <si>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</si>
  <si>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</si>
  <si>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</si>
  <si>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</si>
  <si>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</si>
  <si>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</si>
  <si>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</si>
  <si>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</si>
  <si>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</si>
  <si>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</si>
  <si>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</si>
  <si>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</si>
  <si>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</si>
  <si>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</si>
  <si>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</si>
  <si>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</si>
  <si>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</si>
  <si>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</si>
  <si>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</si>
  <si>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</si>
  <si>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</si>
  <si>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</si>
  <si>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</si>
  <si>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</si>
  <si>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</si>
  <si>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</si>
  <si>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</si>
  <si>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</si>
  <si>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</si>
  <si>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</si>
  <si>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</si>
  <si>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</si>
  <si>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</si>
  <si>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</si>
  <si>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</si>
  <si>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</si>
  <si>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</si>
  <si>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</si>
  <si>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</si>
  <si>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</si>
  <si>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</si>
  <si>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</si>
  <si>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</si>
  <si>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</si>
  <si>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</si>
  <si>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</si>
  <si>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</si>
  <si>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</si>
  <si>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</si>
  <si>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</si>
  <si>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</si>
  <si>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</si>
  <si>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</si>
  <si>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</si>
  <si>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</si>
  <si>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</si>
  <si>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</si>
  <si>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</si>
  <si>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</si>
  <si>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</si>
  <si>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</si>
  <si>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</si>
  <si>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</si>
  <si>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</si>
  <si>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</si>
  <si>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</si>
  <si>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</si>
  <si>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</si>
  <si>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</si>
  <si>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</si>
  <si>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</si>
  <si>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</si>
  <si>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</si>
  <si>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</si>
  <si>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</si>
  <si>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</si>
  <si>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</si>
  <si>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</si>
  <si>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</si>
  <si>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</si>
  <si>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</si>
  <si>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</si>
  <si>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</si>
  <si>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</si>
  <si>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</si>
  <si>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</si>
  <si>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</si>
  <si>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</si>
  <si>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</si>
  <si>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</si>
  <si>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</si>
  <si>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</si>
  <si>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</si>
  <si>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</si>
  <si>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</si>
  <si>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</si>
  <si>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</si>
  <si>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</si>
  <si>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</si>
  <si>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</si>
  <si>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</si>
  <si>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</si>
  <si>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</si>
  <si>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</si>
  <si>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</si>
  <si>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</si>
  <si>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</si>
  <si>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</si>
  <si>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</si>
  <si>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</si>
  <si>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</si>
  <si>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</si>
  <si>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</si>
  <si>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</si>
  <si>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</si>
  <si>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</si>
  <si>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</si>
  <si>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</si>
  <si>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</si>
  <si>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</si>
  <si>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</si>
  <si>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</si>
  <si>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</si>
  <si>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</si>
  <si>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</si>
  <si>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</si>
  <si>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</si>
  <si>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</si>
  <si>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</si>
  <si>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</si>
  <si>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</si>
  <si>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</si>
  <si>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</si>
  <si>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</si>
  <si>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</si>
  <si>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</si>
  <si>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</si>
  <si>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</si>
  <si>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</si>
  <si>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</si>
  <si>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</si>
  <si>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</si>
  <si>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</si>
  <si>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</si>
  <si>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</si>
  <si>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</si>
  <si>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</si>
  <si>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</si>
  <si>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</si>
  <si>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</si>
  <si>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</si>
  <si>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</si>
  <si>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</si>
  <si>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</si>
  <si>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</si>
  <si>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</si>
  <si>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</si>
  <si>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</si>
  <si>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</si>
  <si>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</si>
  <si>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</si>
  <si>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</si>
  <si>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</si>
  <si>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</si>
  <si>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</si>
  <si>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</si>
  <si>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</si>
  <si>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</si>
  <si>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</si>
  <si>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</si>
  <si>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</si>
  <si>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</si>
  <si>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</si>
  <si>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</si>
  <si>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</si>
  <si>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</si>
  <si>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</si>
  <si>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</si>
  <si>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</si>
  <si>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</si>
  <si>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</si>
  <si>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</si>
  <si>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</si>
  <si>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</si>
  <si>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</si>
  <si>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</si>
  <si>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</si>
  <si>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</si>
  <si>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</si>
  <si>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</si>
  <si>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</si>
  <si>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</si>
  <si>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</si>
  <si>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</si>
  <si>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</si>
  <si>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</si>
  <si>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</si>
  <si>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</si>
  <si>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</si>
  <si>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</si>
  <si>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</si>
  <si>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</si>
  <si>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</si>
  <si>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</si>
  <si>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</si>
  <si>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</si>
  <si>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</si>
  <si>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</si>
  <si>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</si>
  <si>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</si>
  <si>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</si>
  <si>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</si>
  <si>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</si>
  <si>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</si>
  <si>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</si>
  <si>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</si>
  <si>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</si>
  <si>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</si>
  <si>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</si>
  <si>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</si>
  <si>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</si>
  <si>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</si>
  <si>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</si>
  <si>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</si>
  <si>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</si>
  <si>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</si>
  <si>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</si>
  <si>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</si>
  <si>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</si>
  <si>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</si>
  <si>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</si>
  <si>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</si>
  <si>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</si>
  <si>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</si>
  <si>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</si>
  <si>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</si>
  <si>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</si>
  <si>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</si>
  <si>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</si>
  <si>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</si>
  <si>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</si>
  <si>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</si>
  <si>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</si>
  <si>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</si>
  <si>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</si>
  <si>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</si>
  <si>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</si>
  <si>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</si>
  <si>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</si>
  <si>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</si>
  <si>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</si>
  <si>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</si>
  <si>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</si>
  <si>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</si>
  <si>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</si>
  <si>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</si>
  <si>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</si>
  <si>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</si>
  <si>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</si>
  <si>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</si>
  <si>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</si>
  <si>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</si>
  <si>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</si>
  <si>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</si>
  <si>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</si>
  <si>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</si>
  <si>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</si>
  <si>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</si>
  <si>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</si>
  <si>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</si>
  <si>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</si>
  <si>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</si>
  <si>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</si>
  <si>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</si>
  <si>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</si>
  <si>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</si>
  <si>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</si>
  <si>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</si>
  <si>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</si>
  <si>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</si>
  <si>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</si>
  <si>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</si>
  <si>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</si>
  <si>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</si>
  <si>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</si>
  <si>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</si>
  <si>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</si>
  <si>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</si>
  <si>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</si>
  <si>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</si>
  <si>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</si>
  <si>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</si>
  <si>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</si>
  <si>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</si>
  <si>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</si>
  <si>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</si>
  <si>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</si>
  <si>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</si>
  <si>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</si>
  <si>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</si>
  <si>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</si>
  <si>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</si>
  <si>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</si>
  <si>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</si>
  <si>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</si>
  <si>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</si>
  <si>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</si>
  <si>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</si>
  <si>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</si>
  <si>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</si>
  <si>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</si>
  <si>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</si>
  <si>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</si>
  <si>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</si>
  <si>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</si>
  <si>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</si>
  <si>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</si>
  <si>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</si>
  <si>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</si>
  <si>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</si>
  <si>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</si>
  <si>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</si>
  <si>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</si>
  <si>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</si>
  <si>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</si>
  <si>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</si>
  <si>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</si>
  <si>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</si>
  <si>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</si>
  <si>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</si>
  <si>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</si>
  <si>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</si>
  <si>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</si>
  <si>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</si>
  <si>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</si>
  <si>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</si>
  <si>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</si>
  <si>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</si>
  <si>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</si>
  <si>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</si>
  <si>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</si>
  <si>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</si>
  <si>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</si>
  <si>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</si>
  <si>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</si>
  <si>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</si>
  <si>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</si>
  <si>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</si>
  <si>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</si>
  <si>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</si>
  <si>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</si>
  <si>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</si>
  <si>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</si>
  <si>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</si>
  <si>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</si>
  <si>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</si>
  <si>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</si>
  <si>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</si>
  <si>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</si>
  <si>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</si>
  <si>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</si>
  <si>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</si>
  <si>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</si>
  <si>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</si>
  <si>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</si>
  <si>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</si>
  <si>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</si>
  <si>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</si>
  <si>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</si>
  <si>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</si>
  <si>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</si>
  <si>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</si>
  <si>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</si>
  <si>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</si>
  <si>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</si>
  <si>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</si>
  <si>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</si>
  <si>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</si>
  <si>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</si>
  <si>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</si>
  <si>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</si>
  <si>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</si>
  <si>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</si>
  <si>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</si>
  <si>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</si>
  <si>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</si>
  <si>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</si>
  <si>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</si>
  <si>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</si>
  <si>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</si>
  <si>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</si>
  <si>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</si>
  <si>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</si>
  <si>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</si>
  <si>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</si>
  <si>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</si>
  <si>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</si>
  <si>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</si>
  <si>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</si>
  <si>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</si>
  <si>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</si>
  <si>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</si>
  <si>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</si>
  <si>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</si>
  <si>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</si>
  <si>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</si>
  <si>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</si>
  <si>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</si>
  <si>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</si>
  <si>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</si>
  <si>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</si>
  <si>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</si>
  <si>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</si>
  <si>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</si>
  <si>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</si>
  <si>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</si>
  <si>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</si>
  <si>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</si>
  <si>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</si>
  <si>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</si>
  <si>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</si>
  <si>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</si>
  <si>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</si>
  <si>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</si>
  <si>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</si>
  <si>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</si>
  <si>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</si>
  <si>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</si>
  <si>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</si>
  <si>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</si>
  <si>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</si>
  <si>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</si>
  <si>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</si>
  <si>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</si>
  <si>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</si>
  <si>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</si>
  <si>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</si>
  <si>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</si>
  <si>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</si>
  <si>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</si>
  <si>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</si>
  <si>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</si>
  <si>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</si>
  <si>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</si>
  <si>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</si>
  <si>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</si>
  <si>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</si>
  <si>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</si>
  <si>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</si>
  <si>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</si>
  <si>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</si>
  <si>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</si>
  <si>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</si>
  <si>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</si>
  <si>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</si>
  <si>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</si>
  <si>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</si>
  <si>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</si>
  <si>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</si>
  <si>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</si>
  <si>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</si>
  <si>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</si>
  <si>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</si>
  <si>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</si>
  <si>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</si>
  <si>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</si>
  <si>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</si>
  <si>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</si>
  <si>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</si>
  <si>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</si>
  <si>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</si>
  <si>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</si>
  <si>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</si>
  <si>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</si>
  <si>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</si>
  <si>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</si>
  <si>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</si>
  <si>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</si>
  <si>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</si>
  <si>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</si>
  <si>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</si>
  <si>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</si>
  <si>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</si>
  <si>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</si>
  <si>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</si>
  <si>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</si>
  <si>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</si>
  <si>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</si>
  <si>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</si>
  <si>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</si>
  <si>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</si>
  <si>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</si>
  <si>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</si>
  <si>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</si>
  <si>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</si>
  <si>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</si>
  <si>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</si>
  <si>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</si>
  <si>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</si>
  <si>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</si>
  <si>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</si>
  <si>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</si>
  <si>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</si>
  <si>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</si>
  <si>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</si>
  <si>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</si>
  <si>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</si>
  <si>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</si>
  <si>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</si>
  <si>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</si>
  <si>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</si>
  <si>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</si>
  <si>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</si>
  <si>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</si>
  <si>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</si>
  <si>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</si>
  <si>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</si>
  <si>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</si>
  <si>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</si>
  <si>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</si>
  <si>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</si>
  <si>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</si>
  <si>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</si>
  <si>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</si>
  <si>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</si>
  <si>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</si>
  <si>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</si>
  <si>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</si>
  <si>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</si>
  <si>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</si>
  <si>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</si>
  <si>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</si>
  <si>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</si>
  <si>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</si>
  <si>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</si>
  <si>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</si>
  <si>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</si>
  <si>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</si>
  <si>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</si>
  <si>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</si>
  <si>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</si>
  <si>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</si>
  <si>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</si>
  <si>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</si>
  <si>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</si>
  <si>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</si>
  <si>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</si>
  <si>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</si>
  <si>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</si>
  <si>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</si>
  <si>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</si>
  <si>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</si>
  <si>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</si>
  <si>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</si>
  <si>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</si>
  <si>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</si>
  <si>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</si>
  <si>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</si>
  <si>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</si>
  <si>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</si>
  <si>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</si>
  <si>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</si>
  <si>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</si>
  <si>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</si>
  <si>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</si>
  <si>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</si>
  <si>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</si>
  <si>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</si>
  <si>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</si>
  <si>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</si>
  <si>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</si>
  <si>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</si>
  <si>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</si>
  <si>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</si>
  <si>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</si>
  <si>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</si>
  <si>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</si>
  <si>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</si>
  <si>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</si>
  <si>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</si>
  <si>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</si>
  <si>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</si>
  <si>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</si>
  <si>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</si>
  <si>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</si>
  <si>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</si>
  <si>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</si>
  <si>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</si>
  <si>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</si>
  <si>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</si>
  <si>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</si>
  <si>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</si>
  <si>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</si>
  <si>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</si>
  <si>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</si>
  <si>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</si>
  <si>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</si>
  <si>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</si>
  <si>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</si>
  <si>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</si>
  <si>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</si>
  <si>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</si>
  <si>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</si>
  <si>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</si>
  <si>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</si>
  <si>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</si>
  <si>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</si>
  <si>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</si>
  <si>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</si>
  <si>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</si>
  <si>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</si>
  <si>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</si>
  <si>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</si>
  <si>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</si>
  <si>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</si>
  <si>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</si>
  <si>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</si>
  <si>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</si>
  <si>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</si>
  <si>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</si>
  <si>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</si>
  <si>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</si>
  <si>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</si>
  <si>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</si>
  <si>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</si>
  <si>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</si>
  <si>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</si>
  <si>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</si>
  <si>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</si>
  <si>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</si>
  <si>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</si>
  <si>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</si>
  <si>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</si>
  <si>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</si>
  <si>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</si>
  <si>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</si>
  <si>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</si>
  <si>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</si>
  <si>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</si>
  <si>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</si>
  <si>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</si>
  <si>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</si>
  <si>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</si>
  <si>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</si>
  <si>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</si>
  <si>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</si>
  <si>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</si>
  <si>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</si>
  <si>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</si>
  <si>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</si>
  <si>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</si>
  <si>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</si>
  <si>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</si>
  <si>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</si>
  <si>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</si>
  <si>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</si>
  <si>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</si>
  <si>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</si>
  <si>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</si>
  <si>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</si>
  <si>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</si>
  <si>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</si>
  <si>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</si>
  <si>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</si>
  <si>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</si>
  <si>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</si>
  <si>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</si>
  <si>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</si>
  <si>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</si>
  <si>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</si>
  <si>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</si>
  <si>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</si>
  <si>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</si>
  <si>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</si>
  <si>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</si>
  <si>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</si>
  <si>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</si>
  <si>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</si>
  <si>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</si>
  <si>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</si>
  <si>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</si>
  <si>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</si>
  <si>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</si>
  <si>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</si>
  <si>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</si>
  <si>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</si>
  <si>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</si>
  <si>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</si>
  <si>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</si>
  <si>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</si>
  <si>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</si>
  <si>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</si>
  <si>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</si>
  <si>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</si>
  <si>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</si>
  <si>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</si>
  <si>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</si>
  <si>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</si>
  <si>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</si>
  <si>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</si>
  <si>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</si>
  <si>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</si>
  <si>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</si>
  <si>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</si>
  <si>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</si>
  <si>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</si>
  <si>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</si>
  <si>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</si>
  <si>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</si>
  <si>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</si>
  <si>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</si>
  <si>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</si>
  <si>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</si>
  <si>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</si>
  <si>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</si>
  <si>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</si>
  <si>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</si>
  <si>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</si>
  <si>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</si>
  <si>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</si>
  <si>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</si>
  <si>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</si>
  <si>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</si>
  <si>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</si>
  <si>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</si>
  <si>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</si>
  <si>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</si>
  <si>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</si>
  <si>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</si>
  <si>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</si>
  <si>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</si>
  <si>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</si>
  <si>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</si>
  <si>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</si>
  <si>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</si>
  <si>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</si>
  <si>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</si>
  <si>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</si>
  <si>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</si>
  <si>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</si>
  <si>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</si>
  <si>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</si>
  <si>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</si>
  <si>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</si>
  <si>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</si>
  <si>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</si>
  <si>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</si>
  <si>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</si>
  <si>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</si>
  <si>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</si>
  <si>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</si>
  <si>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</si>
  <si>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</si>
  <si>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</si>
  <si>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</si>
  <si>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</si>
  <si>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</si>
  <si>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</si>
  <si>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</si>
  <si>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</si>
  <si>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</si>
  <si>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</si>
  <si>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</si>
  <si>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</si>
  <si>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</si>
  <si>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</si>
  <si>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</si>
  <si>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</si>
  <si>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</si>
  <si>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</si>
  <si>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</si>
  <si>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</si>
  <si>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</si>
  <si>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</si>
  <si>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</si>
  <si>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</si>
  <si>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</si>
  <si>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</si>
  <si>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</si>
  <si>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</si>
  <si>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</si>
  <si>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</si>
  <si>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</si>
  <si>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</si>
  <si>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</si>
  <si>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</si>
  <si>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</si>
  <si>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</si>
  <si>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</si>
  <si>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</si>
  <si>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</si>
  <si>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</si>
  <si>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</si>
  <si>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</si>
  <si>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</si>
  <si>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</si>
  <si>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</si>
  <si>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</si>
  <si>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</si>
  <si>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</si>
  <si>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</si>
  <si>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</si>
  <si>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</si>
  <si>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</si>
  <si>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</si>
  <si>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</si>
  <si>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</si>
  <si>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</si>
  <si>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</si>
  <si>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</si>
  <si>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</si>
  <si>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</si>
  <si>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</si>
  <si>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</si>
  <si>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</si>
  <si>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</si>
  <si>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</si>
  <si>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</si>
  <si>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</si>
  <si>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</si>
  <si>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</si>
  <si>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</si>
  <si>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</si>
  <si>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</si>
  <si>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</si>
  <si>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</si>
  <si>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</si>
  <si>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</si>
  <si>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</si>
  <si>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</si>
  <si>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</si>
  <si>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</si>
  <si>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</si>
  <si>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</si>
  <si>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</si>
  <si>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</si>
  <si>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</si>
  <si>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</si>
  <si>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</si>
  <si>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</si>
  <si>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</si>
  <si>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</si>
  <si>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</si>
  <si>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</si>
  <si>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</si>
  <si>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</si>
  <si>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</si>
  <si>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</si>
  <si>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</si>
  <si>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</si>
  <si>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</si>
  <si>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</si>
  <si>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</si>
  <si>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</si>
  <si>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</si>
  <si>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</si>
  <si>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</si>
  <si>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</si>
  <si>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</si>
  <si>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</si>
  <si>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</si>
  <si>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</si>
  <si>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</si>
  <si>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</si>
  <si>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</si>
  <si>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</si>
  <si>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</si>
  <si>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</si>
  <si>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</si>
  <si>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</si>
  <si>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</si>
  <si>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</si>
  <si>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</si>
  <si>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</si>
  <si>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</si>
  <si>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</si>
  <si>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</si>
  <si>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</si>
  <si>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</si>
  <si>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</si>
  <si>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</si>
  <si>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</si>
  <si>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</si>
  <si>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</si>
  <si>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</si>
  <si>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</si>
  <si>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</si>
  <si>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</si>
  <si>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</si>
  <si>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</si>
  <si>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</si>
  <si>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</si>
  <si>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</si>
  <si>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</si>
  <si>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</si>
  <si>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</si>
  <si>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</si>
  <si>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</si>
  <si>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</si>
  <si>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</si>
  <si>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</si>
  <si>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</si>
  <si>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</si>
  <si>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</si>
  <si>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</si>
  <si>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</si>
  <si>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</si>
  <si>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</si>
  <si>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</si>
  <si>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</si>
  <si>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</si>
  <si>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</si>
  <si>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</si>
  <si>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</si>
  <si>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</si>
  <si>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</si>
  <si>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</si>
  <si>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</si>
  <si>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</si>
  <si>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</si>
  <si>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</si>
  <si>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</si>
  <si>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</si>
  <si>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</si>
  <si>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</si>
  <si>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</si>
  <si>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</si>
  <si>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</si>
  <si>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</si>
  <si>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</si>
  <si>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</si>
  <si>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</si>
  <si>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</si>
  <si>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</si>
  <si>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</si>
  <si>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</si>
  <si>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</si>
  <si>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</si>
  <si>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</si>
  <si>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</si>
  <si>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</si>
  <si>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</si>
  <si>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</si>
  <si>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</si>
  <si>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</si>
  <si>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</si>
  <si>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</si>
  <si>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</si>
  <si>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</si>
  <si>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</si>
  <si>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</si>
  <si>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</si>
  <si>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</si>
  <si>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</si>
  <si>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</si>
  <si>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</si>
  <si>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</si>
  <si>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</si>
  <si>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</si>
  <si>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</si>
  <si>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</si>
  <si>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</si>
  <si>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</si>
  <si>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</si>
  <si>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</si>
  <si>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</si>
  <si>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</si>
  <si>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</si>
  <si>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</si>
  <si>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</si>
  <si>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</si>
  <si>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</si>
  <si>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</si>
  <si>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</si>
  <si>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</si>
  <si>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</si>
  <si>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</si>
  <si>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</si>
  <si>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</si>
  <si>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</si>
  <si>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</si>
  <si>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</si>
  <si>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</si>
  <si>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</si>
  <si>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</si>
  <si>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</si>
  <si>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</si>
  <si>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</si>
  <si>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</si>
  <si>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</si>
  <si>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</si>
  <si>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</si>
  <si>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</si>
  <si>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</si>
  <si>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</si>
  <si>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</si>
  <si>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</si>
  <si>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</si>
  <si>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</si>
  <si>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</si>
  <si>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</si>
  <si>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</si>
  <si>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</si>
  <si>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</si>
  <si>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</si>
  <si>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</si>
  <si>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</si>
  <si>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</si>
  <si>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</si>
  <si>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</si>
  <si>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</si>
  <si>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</si>
  <si>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</si>
  <si>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</si>
  <si>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</si>
  <si>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</si>
  <si>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</si>
  <si>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</si>
  <si>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</si>
  <si>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</si>
  <si>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</si>
  <si>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</si>
  <si>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</si>
  <si>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</si>
  <si>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</si>
  <si>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</si>
  <si>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</si>
  <si>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</si>
  <si>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</si>
  <si>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</si>
  <si>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</si>
  <si>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</si>
  <si>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</si>
  <si>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</si>
  <si>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</si>
  <si>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</si>
  <si>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</si>
  <si>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</si>
  <si>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</si>
  <si>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</si>
  <si>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</si>
  <si>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</si>
  <si>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</si>
  <si>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</si>
  <si>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</si>
  <si>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</si>
  <si>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</si>
  <si>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</si>
  <si>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</si>
  <si>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</si>
  <si>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</si>
  <si>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</si>
  <si>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</si>
  <si>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</si>
  <si>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</si>
  <si>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</si>
  <si>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</si>
  <si>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</si>
  <si>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</si>
  <si>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</si>
  <si>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</si>
  <si>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</si>
  <si>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</si>
  <si>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</si>
  <si>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</si>
  <si>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</si>
  <si>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</si>
  <si>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</si>
  <si>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</si>
  <si>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</si>
  <si>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</si>
  <si>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</si>
  <si>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</si>
  <si>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</si>
  <si>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</si>
  <si>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</si>
  <si>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</si>
  <si>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</si>
  <si>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</si>
  <si>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</si>
  <si>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</si>
  <si>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</si>
  <si>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</si>
  <si>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</si>
  <si>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</si>
  <si>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</si>
  <si>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</si>
  <si>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</si>
  <si>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</si>
  <si>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</si>
  <si>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</si>
  <si>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</si>
  <si>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</si>
  <si>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</si>
  <si>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</si>
  <si>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</si>
  <si>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</si>
  <si>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</si>
  <si>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</si>
  <si>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</si>
  <si>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</si>
  <si>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</si>
  <si>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</si>
  <si>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</si>
  <si>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</si>
  <si>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</si>
  <si>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</si>
  <si>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</si>
  <si>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</si>
  <si>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</si>
  <si>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</si>
  <si>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</si>
  <si>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</si>
  <si>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</si>
  <si>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</si>
  <si>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</si>
  <si>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</si>
  <si>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</si>
  <si>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</si>
  <si>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</si>
  <si>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</si>
  <si>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</si>
  <si>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</si>
  <si>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</si>
  <si>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</si>
  <si>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</si>
  <si>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</si>
  <si>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</si>
  <si>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</si>
  <si>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</si>
  <si>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</si>
  <si>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</si>
  <si>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</si>
  <si>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</si>
  <si>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</si>
  <si>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</si>
  <si>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</si>
  <si>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</si>
  <si>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</si>
  <si>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</si>
  <si>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</si>
  <si>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</si>
  <si>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</si>
  <si>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</si>
  <si>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</si>
  <si>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</si>
  <si>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</si>
  <si>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</si>
  <si>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</si>
  <si>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</si>
  <si>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</si>
  <si>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</si>
  <si>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</si>
  <si>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</si>
  <si>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</si>
  <si>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</si>
  <si>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</si>
  <si>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</si>
  <si>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</si>
  <si>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</si>
  <si>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</si>
  <si>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</si>
  <si>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</si>
  <si>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</si>
  <si>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</si>
  <si>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</si>
  <si>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</si>
  <si>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</si>
  <si>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</si>
  <si>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</si>
  <si>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</si>
  <si>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</si>
  <si>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</si>
  <si>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</si>
  <si>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</si>
  <si>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</si>
  <si>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</si>
  <si>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</si>
  <si>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</si>
  <si>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</si>
  <si>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</si>
  <si>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</si>
  <si>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</si>
  <si>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</si>
  <si>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</si>
  <si>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</si>
  <si>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</si>
  <si>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</si>
  <si>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</si>
  <si>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</si>
  <si>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</si>
  <si>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</si>
  <si>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</si>
  <si>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</si>
  <si>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</si>
  <si>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</si>
  <si>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</si>
  <si>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</si>
  <si>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</si>
  <si>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</si>
  <si>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</si>
  <si>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</si>
  <si>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</si>
  <si>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</si>
  <si>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</si>
  <si>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</si>
  <si>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</si>
  <si>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</si>
  <si>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</si>
  <si>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</si>
  <si>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</si>
  <si>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</si>
  <si>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</si>
  <si>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</si>
  <si>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</si>
  <si>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</si>
  <si>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</si>
  <si>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</si>
  <si>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</si>
  <si>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</si>
  <si>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</si>
  <si>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</si>
  <si>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</si>
  <si>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</si>
  <si>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</si>
  <si>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</si>
  <si>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</si>
  <si>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</si>
  <si>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</si>
  <si>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</si>
  <si>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</si>
  <si>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</si>
  <si>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</si>
  <si>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</si>
  <si>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</si>
  <si>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</si>
  <si>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</si>
  <si>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</si>
  <si>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</si>
  <si>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</si>
  <si>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</si>
  <si>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</si>
  <si>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</si>
  <si>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</si>
  <si>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</si>
  <si>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</si>
  <si>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</si>
  <si>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</si>
  <si>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</si>
  <si>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</si>
  <si>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</si>
  <si>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</si>
  <si>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</si>
  <si>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</si>
  <si>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</si>
  <si>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</si>
  <si>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</si>
  <si>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</si>
  <si>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</si>
  <si>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</si>
  <si>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</si>
  <si>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</si>
  <si>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</si>
  <si>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</si>
  <si>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</si>
  <si>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</si>
  <si>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</si>
  <si>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</si>
  <si>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</si>
  <si>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</si>
  <si>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</si>
  <si>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</si>
  <si>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</si>
  <si>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</si>
  <si>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</si>
  <si>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</si>
  <si>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</si>
  <si>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</si>
  <si>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</si>
  <si>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</si>
  <si>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</si>
  <si>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</si>
  <si>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</si>
  <si>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</si>
  <si>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</si>
  <si>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</si>
  <si>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</si>
  <si>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</si>
  <si>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</si>
  <si>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</si>
  <si>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</si>
  <si>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</si>
  <si>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</si>
  <si>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</si>
  <si>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</si>
  <si>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</si>
  <si>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</si>
  <si>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</si>
  <si>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</si>
  <si>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</si>
  <si>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</si>
  <si>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</si>
  <si>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</si>
  <si>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</si>
  <si>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</si>
  <si>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</si>
  <si>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</si>
  <si>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</si>
  <si>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</si>
  <si>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</si>
  <si>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</si>
  <si>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</si>
  <si>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</si>
  <si>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</si>
  <si>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</si>
  <si>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</si>
  <si>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</si>
  <si>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</si>
  <si>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</si>
  <si>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</si>
  <si>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</si>
  <si>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</si>
  <si>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</si>
  <si>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</si>
  <si>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</si>
  <si>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</si>
  <si>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</si>
  <si>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</si>
  <si>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</si>
  <si>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</si>
  <si>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</si>
  <si>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</si>
  <si>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</si>
  <si>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</si>
  <si>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</si>
  <si>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</si>
  <si>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</si>
  <si>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</si>
  <si>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</si>
  <si>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</si>
  <si>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</si>
  <si>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</si>
  <si>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</si>
  <si>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</si>
  <si>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</si>
  <si>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</si>
  <si>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</si>
  <si>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</si>
  <si>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</si>
  <si>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</si>
  <si>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</si>
  <si>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</si>
  <si>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</si>
  <si>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</si>
  <si>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</si>
  <si>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</si>
  <si>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</si>
  <si>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</si>
  <si>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</si>
  <si>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</si>
  <si>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</si>
  <si>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</si>
  <si>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</si>
  <si>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</si>
  <si>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</si>
  <si>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</si>
  <si>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</si>
  <si>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</si>
  <si>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</si>
  <si>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</si>
  <si>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</si>
  <si>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</si>
  <si>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</si>
  <si>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</si>
  <si>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</si>
  <si>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</si>
  <si>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</si>
  <si>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</si>
  <si>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</si>
  <si>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</si>
  <si>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</si>
  <si>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</si>
  <si>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</si>
  <si>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</si>
  <si>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</si>
  <si>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</si>
  <si>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</si>
  <si>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</si>
  <si>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</si>
  <si>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</si>
  <si>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</si>
  <si>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</si>
  <si>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</si>
  <si>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</si>
  <si>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</si>
  <si>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</si>
  <si>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</si>
  <si>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</si>
  <si>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</si>
  <si>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</si>
  <si>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</si>
  <si>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</si>
  <si>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</si>
  <si>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</si>
  <si>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</si>
  <si>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</si>
  <si>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</si>
  <si>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</si>
  <si>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</si>
  <si>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</si>
  <si>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</si>
  <si>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</si>
  <si>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</si>
  <si>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</si>
  <si>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</si>
  <si>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</si>
  <si>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</si>
  <si>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</si>
  <si>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</si>
  <si>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</si>
  <si>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</si>
  <si>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</si>
  <si>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</si>
  <si>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</si>
  <si>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</si>
  <si>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</si>
  <si>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</si>
  <si>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</si>
  <si>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</si>
  <si>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</si>
  <si>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</si>
  <si>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</si>
  <si>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</si>
  <si>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</si>
  <si>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</si>
  <si>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</si>
  <si>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</si>
  <si>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</si>
  <si>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</si>
  <si>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</si>
  <si>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</si>
  <si>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</si>
  <si>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</si>
  <si>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</si>
  <si>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</si>
  <si>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</si>
  <si>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</si>
  <si>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</si>
  <si>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</si>
  <si>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</si>
  <si>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</si>
  <si>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</si>
  <si>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</si>
  <si>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</si>
  <si>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</si>
  <si>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</si>
  <si>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</si>
  <si>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</si>
  <si>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</si>
  <si>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</si>
  <si>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</si>
  <si>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</si>
  <si>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</si>
  <si>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</si>
  <si>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</si>
  <si>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</si>
  <si>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</si>
  <si>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</si>
  <si>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</si>
  <si>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</si>
  <si>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</si>
  <si>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</si>
  <si>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</si>
  <si>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</si>
  <si>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</si>
  <si>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</si>
  <si>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</si>
  <si>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</si>
  <si>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</si>
  <si>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</si>
  <si>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</si>
  <si>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</si>
  <si>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</si>
  <si>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</si>
  <si>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</si>
  <si>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</si>
  <si>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</si>
  <si>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</si>
  <si>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</si>
  <si>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</si>
  <si>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</si>
  <si>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</si>
  <si>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</si>
  <si>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</si>
  <si>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</si>
  <si>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</si>
  <si>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</si>
  <si>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</si>
  <si>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</si>
  <si>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</si>
  <si>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</si>
  <si>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</si>
  <si>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</si>
  <si>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</si>
  <si>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</si>
  <si>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</si>
  <si>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</si>
  <si>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</si>
  <si>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</si>
  <si>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</si>
  <si>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</si>
  <si>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</si>
  <si>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</si>
  <si>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</si>
  <si>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</si>
  <si>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</si>
  <si>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</si>
  <si>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</si>
  <si>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</si>
  <si>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</si>
  <si>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</si>
  <si>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</si>
  <si>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</si>
  <si>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</si>
  <si>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</si>
  <si>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</si>
  <si>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</si>
  <si>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</si>
  <si>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</si>
  <si>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</si>
  <si>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</si>
  <si>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</si>
  <si>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</si>
  <si>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</si>
  <si>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</si>
  <si>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</si>
  <si>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</si>
  <si>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</si>
  <si>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</si>
  <si>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</si>
  <si>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</si>
  <si>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</si>
  <si>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</si>
  <si>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</si>
  <si>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</si>
  <si>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</si>
  <si>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</si>
  <si>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</si>
  <si>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</si>
  <si>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</si>
  <si>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</si>
  <si>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</si>
  <si>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</si>
  <si>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</si>
  <si>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</si>
  <si>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</si>
  <si>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</si>
  <si>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</si>
  <si>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</si>
  <si>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</si>
  <si>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</si>
  <si>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</si>
  <si>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</si>
  <si>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</si>
  <si>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</si>
  <si>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</si>
  <si>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</si>
  <si>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</si>
  <si>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</si>
  <si>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</si>
  <si>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</si>
  <si>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</si>
  <si>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</si>
  <si>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</si>
  <si>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</si>
  <si>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</si>
  <si>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</si>
  <si>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</si>
  <si>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</si>
  <si>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</si>
  <si>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</si>
  <si>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</si>
  <si>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</si>
  <si>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</si>
  <si>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</si>
  <si>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</si>
  <si>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</si>
  <si>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</si>
  <si>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</si>
  <si>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</si>
  <si>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</si>
  <si>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</si>
  <si>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</si>
  <si>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</si>
  <si>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</si>
  <si>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</si>
  <si>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</si>
  <si>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</si>
  <si>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</si>
  <si>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</si>
  <si>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</si>
  <si>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</si>
  <si>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</si>
  <si>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</si>
  <si>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</si>
  <si>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</si>
  <si>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</si>
  <si>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</si>
  <si>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</si>
  <si>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</si>
  <si>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</si>
  <si>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</si>
  <si>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</si>
  <si>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</si>
  <si>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</si>
  <si>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</si>
  <si>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</si>
  <si>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</si>
  <si>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</si>
  <si>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</si>
  <si>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</si>
  <si>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</si>
  <si>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</si>
  <si>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</si>
  <si>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</si>
  <si>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</si>
  <si>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</si>
  <si>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</si>
  <si>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</si>
  <si>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</si>
  <si>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</si>
  <si>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</si>
  <si>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</si>
  <si>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</si>
  <si>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</si>
  <si>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</si>
  <si>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</si>
  <si>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</si>
  <si>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</si>
  <si>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</si>
  <si>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</si>
  <si>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</si>
  <si>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</si>
  <si>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</si>
  <si>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</si>
  <si>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</si>
  <si>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</si>
  <si>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</si>
  <si>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</si>
  <si>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</si>
  <si>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</si>
  <si>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</si>
  <si>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</si>
  <si>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</si>
  <si>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</si>
  <si>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</si>
  <si>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</si>
  <si>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</si>
  <si>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</si>
  <si>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</si>
  <si>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</si>
  <si>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</si>
  <si>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</si>
  <si>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</si>
  <si>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</si>
  <si>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</si>
  <si>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</si>
  <si>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</si>
  <si>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</si>
  <si>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</si>
  <si>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</si>
  <si>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</si>
  <si>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</si>
  <si>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</si>
  <si>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</si>
  <si>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</si>
  <si>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</si>
  <si>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</si>
  <si>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</si>
  <si>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</si>
  <si>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</si>
  <si>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</si>
  <si>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</si>
  <si>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</si>
  <si>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</si>
  <si>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</si>
  <si>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</si>
  <si>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</si>
  <si>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</si>
  <si>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</si>
  <si>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</si>
  <si>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</si>
  <si>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</si>
  <si>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</si>
  <si>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</si>
  <si>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</si>
  <si>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</si>
  <si>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</si>
  <si>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</si>
  <si>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</si>
  <si>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</si>
  <si>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</si>
  <si>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</si>
  <si>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</si>
  <si>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</si>
  <si>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</si>
  <si>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</si>
  <si>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</si>
  <si>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</si>
  <si>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</si>
  <si>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</si>
  <si>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</si>
  <si>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</si>
  <si>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</si>
  <si>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</si>
  <si>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</si>
  <si>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</si>
  <si>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</si>
  <si>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</si>
  <si>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</si>
  <si>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</si>
  <si>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</si>
  <si>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</si>
  <si>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</si>
  <si>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</si>
  <si>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</si>
  <si>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</si>
  <si>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</si>
  <si>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</si>
  <si>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</si>
  <si>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</si>
  <si>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</si>
  <si>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</si>
  <si>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</si>
  <si>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</si>
  <si>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</si>
  <si>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</si>
  <si>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</si>
  <si>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</si>
  <si>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</si>
  <si>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</si>
  <si>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</si>
  <si>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</si>
  <si>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</si>
  <si>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</si>
  <si>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</si>
  <si>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</si>
  <si>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</si>
  <si>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</si>
  <si>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</si>
  <si>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</si>
  <si>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</si>
  <si>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</si>
  <si>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</si>
  <si>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</si>
  <si>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</si>
  <si>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</si>
  <si>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</si>
  <si>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</si>
  <si>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</si>
  <si>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</si>
  <si>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</si>
  <si>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</si>
  <si>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</si>
  <si>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</si>
  <si>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</si>
  <si>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</si>
  <si>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</si>
  <si>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</si>
  <si>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</si>
  <si>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</si>
  <si>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</si>
  <si>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</si>
  <si>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</si>
  <si>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</si>
  <si>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</si>
  <si>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</si>
  <si>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</si>
  <si>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</si>
  <si>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</si>
  <si>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</si>
  <si>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</si>
  <si>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</si>
  <si>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</si>
  <si>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</si>
  <si>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</si>
  <si>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</si>
  <si>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</si>
  <si>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</si>
  <si>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</si>
  <si>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</si>
  <si>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</si>
  <si>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</si>
  <si>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</si>
  <si>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</si>
  <si>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</si>
  <si>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</si>
  <si>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</si>
  <si>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</si>
  <si>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</si>
  <si>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</si>
  <si>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</si>
  <si>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</si>
  <si>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</si>
  <si>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</si>
  <si>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</si>
  <si>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</si>
  <si>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</si>
  <si>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</si>
  <si>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</si>
  <si>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</si>
  <si>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</si>
  <si>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</si>
  <si>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</si>
  <si>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</si>
  <si>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</si>
  <si>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</si>
  <si>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</si>
  <si>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</si>
  <si>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</si>
  <si>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</si>
  <si>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</si>
  <si>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</si>
  <si>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</si>
  <si>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</si>
  <si>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</si>
  <si>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</si>
  <si>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</si>
  <si>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</si>
  <si>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</si>
  <si>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</si>
  <si>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</si>
  <si>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</si>
  <si>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</si>
  <si>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</si>
  <si>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</si>
  <si>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</si>
  <si>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</si>
  <si>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</si>
  <si>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</si>
  <si>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</si>
  <si>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</si>
  <si>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</si>
  <si>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</si>
  <si>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</si>
  <si>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</si>
  <si>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</si>
  <si>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</si>
  <si>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</si>
  <si>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</si>
  <si>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</si>
  <si>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</si>
  <si>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</si>
  <si>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</si>
  <si>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</si>
  <si>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</si>
  <si>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</si>
  <si>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</si>
  <si>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</si>
  <si>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</si>
  <si>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</si>
  <si>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</si>
  <si>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</si>
  <si>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</si>
  <si>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</si>
  <si>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</si>
  <si>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</si>
  <si>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</si>
  <si>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</si>
  <si>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</si>
  <si>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</si>
  <si>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</si>
  <si>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</si>
  <si>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</si>
  <si>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</si>
  <si>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</si>
  <si>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</si>
  <si>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</si>
  <si>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</si>
  <si>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</si>
  <si>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</si>
  <si>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</si>
  <si>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</si>
  <si>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</si>
  <si>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</si>
  <si>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</si>
  <si>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</si>
  <si>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</si>
  <si>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</si>
  <si>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</si>
  <si>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</si>
  <si>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</si>
  <si>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</si>
  <si>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</si>
  <si>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</si>
  <si>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</si>
  <si>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</si>
  <si>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</si>
  <si>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</si>
  <si>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</si>
  <si>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</si>
  <si>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</si>
  <si>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</si>
  <si>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</si>
  <si>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</si>
  <si>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</si>
  <si>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</si>
  <si>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</si>
  <si>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</si>
  <si>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</si>
  <si>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</si>
  <si>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</si>
  <si>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</si>
  <si>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</si>
  <si>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</si>
  <si>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</si>
  <si>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</si>
  <si>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</si>
  <si>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</si>
  <si>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</si>
  <si>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</si>
  <si>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</si>
  <si>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</si>
  <si>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</si>
  <si>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</si>
  <si>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</si>
  <si>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</si>
  <si>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</si>
  <si>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</si>
  <si>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</si>
  <si>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</si>
  <si>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</si>
  <si>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</si>
  <si>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</si>
  <si>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</si>
  <si>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</si>
  <si>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</si>
  <si>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</si>
  <si>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</si>
  <si>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</si>
  <si>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</si>
  <si>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</si>
  <si>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</si>
  <si>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</si>
  <si>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</si>
  <si>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</si>
  <si>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</si>
  <si>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</si>
  <si>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</si>
  <si>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</si>
  <si>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</si>
  <si>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</si>
  <si>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</si>
  <si>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</si>
  <si>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</si>
  <si>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</si>
  <si>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</si>
  <si>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</si>
  <si>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</si>
  <si>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</si>
  <si>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</si>
  <si>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</si>
  <si>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</si>
  <si>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</si>
  <si>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</si>
  <si>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</si>
  <si>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</si>
  <si>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</si>
  <si>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</si>
  <si>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</si>
  <si>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</si>
  <si>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</si>
  <si>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</si>
  <si>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</si>
  <si>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</si>
  <si>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</si>
  <si>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</si>
  <si>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</si>
  <si>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</si>
  <si>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</si>
  <si>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</si>
  <si>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</si>
  <si>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</si>
  <si>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</si>
  <si>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</si>
  <si>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</si>
  <si>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</si>
  <si>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</si>
  <si>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</si>
  <si>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</si>
  <si>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</si>
  <si>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</si>
  <si>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</si>
  <si>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</si>
  <si>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</si>
  <si>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</si>
  <si>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</si>
  <si>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</si>
  <si>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</si>
  <si>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</si>
  <si>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</si>
  <si>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</si>
  <si>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</si>
  <si>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</si>
  <si>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</si>
  <si>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</si>
  <si>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</si>
  <si>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</si>
  <si>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</si>
  <si>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</si>
  <si>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</si>
  <si>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</si>
  <si>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</si>
  <si>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</si>
  <si>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</si>
  <si>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</si>
  <si>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</si>
  <si>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</si>
  <si>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</si>
  <si>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</si>
  <si>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</si>
  <si>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</si>
  <si>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</si>
  <si>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</si>
  <si>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</si>
  <si>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</si>
  <si>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</si>
  <si>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</si>
  <si>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</si>
  <si>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</si>
  <si>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</si>
  <si>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</si>
  <si>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</si>
  <si>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</si>
  <si>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</si>
  <si>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</si>
  <si>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</si>
  <si>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</si>
  <si>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</si>
  <si>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</si>
  <si>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</si>
  <si>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</si>
  <si>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</si>
  <si>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</si>
  <si>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</si>
  <si>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</si>
  <si>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</si>
  <si>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</si>
  <si>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</si>
  <si>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</si>
  <si>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</si>
  <si>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</si>
  <si>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</si>
  <si>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</si>
  <si>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</si>
  <si>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</si>
  <si>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</si>
  <si>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</si>
  <si>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</si>
  <si>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</si>
  <si>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</si>
  <si>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</si>
  <si>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</si>
  <si>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</si>
  <si>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</si>
  <si>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</si>
  <si>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</si>
  <si>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</si>
  <si>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</si>
  <si>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</si>
  <si>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</si>
  <si>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</si>
  <si>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</si>
  <si>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</si>
  <si>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</si>
  <si>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</si>
  <si>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</si>
  <si>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</si>
  <si>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</si>
  <si>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</si>
  <si>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</si>
  <si>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</si>
  <si>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</si>
  <si>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</si>
  <si>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</si>
  <si>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</si>
  <si>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</si>
  <si>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</si>
  <si>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</si>
  <si>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</si>
  <si>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</si>
  <si>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</si>
  <si>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</si>
  <si>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</si>
  <si>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</si>
  <si>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</si>
  <si>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</si>
  <si>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</si>
  <si>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</si>
  <si>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</si>
  <si>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</si>
  <si>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</si>
  <si>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</si>
  <si>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</si>
  <si>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</si>
  <si>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</si>
  <si>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</si>
  <si>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</si>
  <si>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</si>
  <si>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</si>
  <si>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</si>
  <si>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</si>
  <si>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</si>
  <si>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</si>
  <si>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</si>
  <si>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</si>
  <si>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</si>
  <si>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</si>
  <si>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</si>
  <si>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</si>
  <si>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</si>
  <si>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</si>
  <si>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</si>
  <si>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</si>
  <si>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</si>
  <si>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</si>
  <si>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</si>
  <si>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</si>
  <si>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</si>
  <si>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</si>
  <si>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</si>
  <si>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</si>
  <si>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</si>
  <si>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</si>
  <si>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</si>
  <si>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</si>
  <si>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</si>
  <si>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</si>
  <si>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</si>
  <si>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</si>
  <si>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</si>
  <si>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</si>
  <si>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</si>
  <si>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</si>
  <si>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</si>
  <si>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</si>
  <si>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</si>
  <si>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</si>
  <si>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</si>
  <si>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</si>
  <si>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</si>
  <si>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</si>
  <si>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</si>
  <si>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</si>
  <si>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</si>
  <si>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</si>
  <si>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</si>
  <si>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</si>
  <si>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</si>
  <si>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</si>
  <si>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</si>
  <si>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</si>
  <si>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</si>
  <si>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</si>
  <si>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</si>
  <si>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</si>
  <si>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</si>
  <si>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</si>
  <si>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</si>
  <si>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</si>
  <si>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</si>
  <si>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</si>
  <si>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</si>
  <si>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</si>
  <si>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</si>
  <si>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</si>
  <si>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</si>
  <si>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</si>
  <si>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</si>
  <si>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</si>
  <si>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</si>
  <si>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</si>
  <si>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</si>
  <si>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</si>
  <si>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</si>
  <si>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</si>
  <si>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</si>
  <si>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</si>
  <si>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</si>
  <si>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</si>
  <si>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</si>
  <si>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</si>
  <si>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</si>
  <si>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</si>
  <si>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</si>
  <si>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</si>
  <si>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</si>
  <si>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</si>
  <si>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</si>
  <si>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</si>
  <si>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</si>
  <si>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</si>
  <si>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</si>
  <si>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</si>
  <si>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</si>
  <si>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</si>
  <si>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</si>
  <si>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</si>
  <si>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</si>
  <si>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</si>
  <si>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</si>
  <si>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</si>
  <si>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</si>
  <si>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</si>
  <si>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</si>
  <si>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</si>
  <si>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</si>
  <si>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</si>
  <si>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</si>
  <si>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</si>
  <si>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</si>
  <si>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</si>
  <si>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</si>
  <si>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</si>
  <si>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</si>
  <si>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</si>
  <si>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</si>
  <si>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</si>
  <si>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</si>
  <si>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</si>
  <si>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</si>
  <si>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</si>
  <si>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</si>
  <si>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</si>
  <si>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</si>
  <si>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</si>
  <si>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</si>
  <si>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</si>
  <si>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</si>
  <si>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</si>
  <si>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</si>
  <si>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</si>
  <si>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</si>
  <si>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</si>
  <si>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</si>
  <si>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</si>
  <si>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</si>
  <si>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</si>
  <si>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</si>
  <si>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</si>
  <si>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</si>
  <si>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</si>
  <si>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</si>
  <si>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</si>
  <si>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</si>
  <si>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</si>
  <si>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</si>
  <si>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</si>
  <si>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</si>
  <si>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</si>
  <si>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</si>
  <si>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</si>
  <si>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</si>
  <si>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</si>
  <si>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</si>
  <si>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</si>
  <si>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</si>
  <si>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</si>
  <si>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</si>
  <si>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</si>
  <si>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</si>
  <si>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</si>
  <si>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</si>
  <si>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</si>
  <si>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</si>
  <si>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</si>
  <si>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</si>
  <si>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</si>
  <si>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</si>
  <si>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</si>
  <si>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</si>
  <si>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</si>
  <si>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</si>
  <si>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</si>
  <si>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</si>
  <si>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</si>
  <si>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</si>
  <si>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</si>
  <si>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</si>
  <si>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</si>
  <si>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</si>
  <si>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</si>
  <si>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</si>
  <si>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</si>
  <si>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</si>
  <si>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</si>
  <si>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</si>
  <si>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</si>
  <si>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</si>
  <si>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</si>
  <si>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</si>
  <si>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</si>
  <si>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</si>
  <si>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</si>
  <si>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</si>
  <si>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</si>
  <si>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</si>
  <si>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</si>
  <si>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</si>
  <si>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</si>
  <si>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</si>
  <si>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</si>
  <si>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</si>
  <si>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</si>
  <si>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</si>
  <si>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</si>
  <si>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</si>
  <si>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</si>
  <si>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</si>
  <si>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</si>
  <si>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</si>
  <si>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</si>
  <si>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</si>
  <si>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</si>
  <si>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</si>
  <si>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</si>
  <si>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</si>
  <si>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</si>
  <si>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</si>
  <si>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</si>
  <si>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</si>
  <si>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</si>
  <si>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</si>
  <si>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</si>
  <si>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</si>
  <si>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</si>
  <si>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</si>
  <si>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</si>
  <si>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</si>
  <si>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</si>
  <si>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</si>
  <si>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</si>
  <si>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</si>
  <si>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</si>
  <si>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</si>
  <si>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</si>
  <si>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</si>
  <si>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</si>
  <si>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</si>
  <si>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</si>
  <si>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</si>
  <si>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</si>
  <si>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</si>
  <si>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</si>
  <si>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</si>
  <si>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</si>
  <si>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</si>
  <si>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</si>
  <si>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</si>
  <si>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</si>
  <si>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</si>
  <si>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</si>
  <si>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</si>
  <si>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</si>
  <si>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</si>
  <si>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</si>
  <si>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</si>
  <si>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</si>
  <si>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</si>
  <si>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</si>
  <si>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</si>
  <si>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</si>
  <si>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</si>
  <si>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</si>
  <si>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</si>
  <si>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</si>
  <si>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</si>
  <si>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</si>
  <si>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</si>
  <si>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</si>
  <si>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</si>
  <si>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</si>
  <si>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</si>
  <si>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</si>
  <si>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</si>
  <si>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</si>
  <si>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</si>
  <si>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</si>
  <si>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</si>
  <si>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</si>
  <si>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</si>
  <si>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</si>
  <si>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</si>
  <si>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</si>
  <si>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</si>
  <si>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</si>
  <si>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</si>
  <si>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</si>
  <si>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</si>
  <si>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</si>
  <si>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</si>
  <si>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</si>
  <si>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</si>
  <si>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</si>
  <si>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</si>
  <si>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</si>
  <si>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</si>
  <si>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</si>
  <si>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</si>
  <si>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</si>
  <si>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</si>
  <si>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</si>
  <si>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</si>
  <si>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</si>
  <si>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</si>
  <si>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</si>
  <si>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</si>
  <si>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</si>
  <si>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</si>
  <si>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</si>
  <si>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</si>
  <si>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</si>
  <si>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</si>
  <si>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</si>
  <si>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</si>
  <si>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</si>
  <si>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</si>
  <si>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</si>
  <si>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</si>
  <si>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</si>
  <si>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</si>
  <si>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</si>
  <si>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</si>
  <si>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</si>
  <si>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</si>
  <si>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</si>
  <si>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</si>
  <si>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</si>
  <si>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</si>
  <si>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</si>
  <si>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</si>
  <si>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</si>
  <si>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</si>
  <si>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</si>
  <si>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</si>
  <si>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</si>
  <si>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</si>
  <si>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</si>
  <si>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</si>
  <si>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</si>
  <si>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</si>
  <si>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</si>
  <si>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</si>
  <si>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</si>
  <si>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</si>
  <si>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</si>
  <si>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</si>
  <si>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</si>
  <si>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</si>
  <si>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</si>
  <si>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</si>
  <si>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</si>
  <si>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</si>
  <si>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</si>
  <si>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</si>
  <si>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</si>
  <si>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</si>
  <si>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</si>
  <si>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</si>
  <si>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</si>
  <si>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</si>
  <si>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</si>
  <si>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</si>
  <si>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</si>
  <si>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</si>
  <si>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</si>
  <si>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</si>
  <si>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</si>
  <si>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</si>
  <si>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</si>
  <si>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</si>
  <si>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</si>
  <si>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</si>
  <si>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</si>
  <si>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</si>
  <si>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</si>
  <si>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</si>
  <si>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</si>
  <si>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</si>
  <si>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</si>
  <si>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</si>
  <si>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</si>
  <si>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</si>
  <si>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</si>
  <si>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</si>
  <si>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</si>
  <si>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</si>
  <si>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</si>
  <si>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</si>
  <si>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</si>
  <si>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</si>
  <si>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</si>
  <si>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</si>
  <si>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</si>
  <si>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</si>
  <si>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</si>
  <si>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</si>
  <si>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</si>
  <si>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</si>
  <si>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</si>
  <si>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</si>
  <si>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</si>
  <si>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</si>
  <si>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</si>
  <si>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</si>
  <si>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</si>
  <si>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</si>
  <si>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</si>
  <si>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</si>
  <si>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</si>
  <si>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</si>
  <si>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</si>
  <si>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</si>
  <si>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</si>
  <si>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</si>
  <si>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</si>
  <si>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</si>
  <si>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</si>
  <si>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</si>
  <si>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</si>
  <si>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</si>
  <si>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</si>
  <si>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</si>
  <si>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</si>
  <si>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</si>
  <si>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</si>
  <si>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</si>
  <si>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</si>
  <si>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</si>
  <si>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</si>
  <si>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</si>
  <si>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</si>
  <si>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</si>
  <si>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</si>
  <si>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</si>
  <si>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</si>
  <si>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</si>
  <si>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</si>
  <si>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</si>
  <si>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</si>
  <si>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</si>
  <si>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</si>
  <si>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</si>
  <si>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</si>
  <si>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</si>
  <si>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</si>
  <si>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</si>
  <si>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</si>
  <si>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</si>
  <si>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</si>
  <si>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</si>
  <si>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</si>
  <si>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</si>
  <si>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</si>
  <si>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</si>
  <si>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</si>
  <si>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</si>
  <si>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</si>
  <si>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</si>
  <si>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</si>
  <si>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</si>
  <si>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</si>
  <si>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</si>
  <si>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</si>
  <si>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</si>
  <si>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</si>
  <si>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</si>
  <si>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</si>
  <si>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</si>
  <si>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</si>
  <si>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</si>
  <si>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</si>
  <si>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</si>
  <si>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</si>
  <si>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</si>
  <si>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</si>
  <si>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</si>
  <si>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</si>
  <si>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</si>
  <si>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</si>
  <si>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</si>
  <si>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</si>
  <si>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</si>
  <si>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</si>
  <si>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</si>
  <si>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</si>
  <si>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</si>
  <si>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</si>
  <si>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</si>
  <si>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</si>
  <si>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</si>
  <si>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</si>
  <si>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</si>
  <si>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</si>
  <si>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</si>
  <si>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</si>
  <si>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</si>
  <si>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</si>
  <si>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</si>
  <si>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</si>
  <si>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</si>
  <si>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</si>
  <si>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</si>
  <si>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</si>
  <si>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</si>
  <si>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</si>
  <si>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</si>
  <si>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</si>
  <si>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</si>
  <si>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</si>
  <si>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</si>
  <si>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</si>
  <si>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</si>
  <si>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</si>
  <si>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</si>
  <si>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</si>
  <si>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</si>
  <si>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</si>
  <si>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</si>
  <si>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</si>
  <si>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</si>
  <si>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</si>
  <si>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</si>
  <si>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</si>
  <si>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</si>
  <si>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</si>
  <si>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</si>
  <si>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</si>
  <si>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</si>
  <si>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</si>
  <si>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</si>
  <si>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</si>
  <si>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</si>
  <si>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</si>
  <si>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</si>
  <si>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</si>
  <si>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</si>
  <si>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</si>
  <si>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</si>
  <si>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</si>
  <si>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</si>
  <si>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</si>
  <si>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</si>
  <si>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</si>
  <si>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</si>
  <si>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</si>
  <si>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</si>
  <si>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</si>
  <si>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</si>
  <si>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</si>
  <si>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</si>
  <si>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</si>
  <si>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</si>
  <si>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</si>
  <si>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</si>
  <si>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</si>
  <si>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</si>
  <si>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</si>
  <si>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</si>
  <si>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</si>
  <si>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</si>
  <si>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</si>
  <si>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</si>
  <si>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</si>
  <si>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</si>
  <si>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</si>
  <si>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</si>
  <si>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</si>
  <si>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</si>
  <si>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</si>
  <si>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</si>
  <si>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</si>
  <si>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</si>
  <si>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</si>
  <si>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</si>
  <si>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</si>
  <si>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</si>
  <si>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</si>
  <si>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</si>
  <si>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</si>
  <si>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</si>
  <si>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</si>
  <si>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</si>
  <si>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</si>
  <si>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</si>
  <si>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</si>
  <si>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</si>
  <si>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</si>
  <si>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</si>
  <si>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</si>
  <si>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</si>
  <si>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</si>
  <si>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</si>
  <si>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</si>
  <si>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</si>
  <si>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</si>
  <si>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</si>
  <si>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</si>
  <si>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</si>
  <si>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</si>
  <si>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</si>
  <si>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</si>
  <si>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</si>
  <si>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</si>
  <si>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</si>
  <si>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</si>
  <si>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</si>
  <si>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</si>
  <si>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</si>
  <si>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</si>
  <si>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</si>
  <si>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</si>
  <si>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</si>
  <si>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</si>
  <si>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</si>
  <si>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</si>
  <si>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</si>
  <si>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</si>
  <si>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</si>
  <si>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</si>
  <si>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</si>
  <si>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</si>
  <si>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</si>
  <si>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</si>
  <si>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</si>
  <si>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</si>
  <si>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</si>
  <si>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</si>
  <si>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</si>
  <si>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</si>
  <si>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</si>
  <si>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</si>
  <si>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</si>
  <si>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</si>
  <si>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</si>
  <si>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</si>
  <si>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</si>
  <si>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</si>
  <si>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</si>
  <si>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</si>
  <si>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</si>
  <si>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</si>
  <si>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</si>
  <si>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</si>
  <si>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</si>
  <si>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</si>
  <si>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</si>
  <si>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</si>
  <si>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</si>
  <si>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</si>
  <si>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</si>
  <si>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</si>
  <si>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</si>
  <si>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</si>
  <si>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</si>
  <si>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</si>
  <si>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</si>
  <si>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</si>
  <si>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其他：</t>
  </si>
  <si>
    <t>上海市</t>
  </si>
  <si>
    <t>上海市</t>
    <phoneticPr fontId="6" type="noConversion"/>
  </si>
  <si>
    <r>
      <rPr>
        <sz val="12"/>
        <color theme="9" tint="-0.249977111117893"/>
        <rFont val="宋体"/>
        <family val="3"/>
        <charset val="134"/>
      </rPr>
      <t>山阳镇阳乐路</t>
    </r>
    <r>
      <rPr>
        <sz val="12"/>
        <color theme="9" tint="-0.249977111117893"/>
        <rFont val="Arial"/>
        <family val="2"/>
      </rPr>
      <t>188</t>
    </r>
    <r>
      <rPr>
        <sz val="12"/>
        <color theme="9" tint="-0.249977111117893"/>
        <rFont val="宋体"/>
        <family val="3"/>
        <charset val="134"/>
      </rPr>
      <t>号</t>
    </r>
    <phoneticPr fontId="6" type="noConversion"/>
  </si>
  <si>
    <t>企业</t>
  </si>
  <si>
    <t>上海同百投资管理有限公司</t>
    <phoneticPr fontId="6" type="noConversion"/>
  </si>
  <si>
    <t>出让</t>
  </si>
  <si>
    <t>工业</t>
    <phoneticPr fontId="6" type="noConversion"/>
  </si>
  <si>
    <t>建筑与土地面积依据相同</t>
  </si>
  <si>
    <r>
      <rPr>
        <sz val="12"/>
        <color theme="9" tint="-0.249977111117893"/>
        <rFont val="宋体"/>
        <family val="3"/>
        <charset val="134"/>
      </rPr>
      <t>《房屋所有权证》</t>
    </r>
    <r>
      <rPr>
        <sz val="12"/>
        <color theme="9" tint="-0.249977111117893"/>
        <rFont val="Arial"/>
        <family val="2"/>
      </rPr>
      <t/>
    </r>
    <phoneticPr fontId="6" type="noConversion"/>
  </si>
  <si>
    <t>否</t>
  </si>
  <si>
    <t>复印件</t>
  </si>
  <si>
    <t>工业项目</t>
  </si>
  <si>
    <t>无</t>
  </si>
  <si>
    <t>现房</t>
  </si>
  <si>
    <t>通路</t>
  </si>
  <si>
    <t>通电</t>
  </si>
  <si>
    <t>通讯</t>
  </si>
  <si>
    <t>通上水</t>
  </si>
  <si>
    <t>通下水</t>
  </si>
  <si>
    <t>工业厂房</t>
    <phoneticPr fontId="3" type="noConversion"/>
  </si>
  <si>
    <t>是</t>
  </si>
  <si>
    <t>地上</t>
  </si>
  <si>
    <t>标准厂房</t>
  </si>
  <si>
    <t>工业用房</t>
  </si>
  <si>
    <t>工业用房</t>
    <phoneticPr fontId="7" type="noConversion"/>
  </si>
  <si>
    <t>成新度</t>
  </si>
  <si>
    <t>收益法</t>
  </si>
  <si>
    <t>较好</t>
  </si>
  <si>
    <t>较好</t>
    <phoneticPr fontId="41" type="noConversion"/>
  </si>
  <si>
    <t>较好</t>
    <phoneticPr fontId="41" type="noConversion"/>
  </si>
  <si>
    <t>六通</t>
  </si>
  <si>
    <t>六通</t>
    <phoneticPr fontId="25" type="noConversion"/>
  </si>
  <si>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</si>
  <si>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</si>
  <si>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</si>
  <si>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</si>
  <si>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</si>
  <si>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</si>
  <si>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</si>
  <si>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</si>
  <si>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</si>
  <si>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</si>
  <si>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</si>
  <si>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</si>
  <si>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</si>
  <si>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</si>
  <si>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</si>
  <si>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</si>
  <si>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</si>
  <si>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</si>
  <si>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</si>
  <si>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</si>
  <si>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</si>
  <si>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</si>
  <si>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</si>
  <si>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</si>
  <si>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</si>
  <si>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</si>
  <si>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</si>
  <si>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</si>
  <si>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</si>
  <si>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</si>
  <si>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</si>
  <si>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</si>
  <si>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</si>
  <si>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</si>
  <si>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</si>
  <si>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</si>
  <si>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</si>
  <si>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</si>
  <si>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成交地面单价</t>
    <phoneticPr fontId="3" type="noConversion"/>
  </si>
  <si>
    <t>成交楼面价(除保障房)(元/㎡)</t>
  </si>
  <si>
    <t>溢价率</t>
  </si>
  <si>
    <t>出让年限</t>
  </si>
  <si>
    <t>竞报整体自持比例(%)</t>
  </si>
  <si>
    <t>竞报商品住房自持比例(%)</t>
  </si>
  <si>
    <t>竞报商办部分自持比例(%)</t>
  </si>
  <si>
    <t>金山区亭林镇CB_201002003号地块</t>
  </si>
  <si>
    <t>工业用地</t>
  </si>
  <si>
    <t>金山区</t>
  </si>
  <si>
    <t>东至:松轩路,南至:姚泾河,西至:上海剑跃电子有限公司,北至:达福路</t>
  </si>
  <si>
    <t>挂牌</t>
  </si>
  <si>
    <t>未开工</t>
  </si>
  <si>
    <t>2018-03-20</t>
  </si>
  <si>
    <t>2018-04-11</t>
  </si>
  <si>
    <t>2018-04-20</t>
  </si>
  <si>
    <t>沪告字(2018)第031号</t>
  </si>
  <si>
    <t>已成交</t>
  </si>
  <si>
    <t>上海大有风泽实业有限公司</t>
  </si>
  <si>
    <t>金山区枫泾工业区CB_201608001号地块</t>
  </si>
  <si>
    <t>东至:白象路,南至:建贡路,西至:庄官塘,北至:空地</t>
  </si>
  <si>
    <t>2018-01-17</t>
  </si>
  <si>
    <t>2018-02-06</t>
  </si>
  <si>
    <t>沪告字(2018)第006号</t>
  </si>
  <si>
    <t>上海临港金山新兴产业发展有限公司</t>
  </si>
  <si>
    <t>金山区朱泾工业区CB-201207007-1地块</t>
  </si>
  <si>
    <t>东至:农田,南至:二号河,西至:农田,北至:新日路</t>
  </si>
  <si>
    <t>2017-10-31</t>
  </si>
  <si>
    <t>2017-11-20</t>
  </si>
  <si>
    <t>沪告字(2017)第133号</t>
  </si>
  <si>
    <t>上海阀门二厂实业有限公司</t>
  </si>
  <si>
    <t>金山区金山工业区TZ_201701002号地块</t>
  </si>
  <si>
    <t>东至:金仁路,南至:自然地块,西至:金强路,北至:月工路</t>
  </si>
  <si>
    <t>2017-09-02</t>
  </si>
  <si>
    <t>2017-09-21</t>
  </si>
  <si>
    <t>沪告字(2017)第109号</t>
  </si>
  <si>
    <t>上海现代电梯制造有限公司</t>
  </si>
  <si>
    <t>金山区金山工业区CB_200801027号地块</t>
  </si>
  <si>
    <t>东至:金流路,南至:揽工路,西至:长楼港,北至:姚家港</t>
  </si>
  <si>
    <t>上海朗润迈威生物医药科技有限公司</t>
  </si>
  <si>
    <t>金山区金山工业区TZ_201701001号地块</t>
  </si>
  <si>
    <t>东至:邦成与悦康企业围墙,南至:揽工路,西至:金流路,北至:姚家港</t>
  </si>
  <si>
    <t>48.48%</t>
  </si>
  <si>
    <t>2017-08-25</t>
  </si>
  <si>
    <t>2017-09-13</t>
  </si>
  <si>
    <t>沪告字(2017)第104号</t>
  </si>
  <si>
    <t>上海青赛生物科技有限公司</t>
  </si>
  <si>
    <t>金山区金山工业区CBX_201601001号地块</t>
  </si>
  <si>
    <t>东至:亭卫公路,南至:塔格公司,西至:姚家港,北至:比瑞吉公司</t>
  </si>
  <si>
    <t>开工中</t>
  </si>
  <si>
    <t>2017-06-16</t>
  </si>
  <si>
    <t>2017-07-06</t>
  </si>
  <si>
    <t>沪告字(2017)第063号</t>
  </si>
  <si>
    <t>上海比瑞吉宠物用品股份有限公司</t>
  </si>
  <si>
    <t>金山区金山工业园区(山阳)CB_201103001-2号地块</t>
  </si>
  <si>
    <t>东至:规划临桂路,南至:山通东路,西至:艾录公司,北至:凌高公司</t>
  </si>
  <si>
    <t>0.9(层高超过8米的,在计算容积率时该层建筑面积加倍计算,折算后容积率为1.43)</t>
  </si>
  <si>
    <t>2017-04-28</t>
  </si>
  <si>
    <t>2017-05-18</t>
  </si>
  <si>
    <t>2017-06-02</t>
  </si>
  <si>
    <t>沪告字(2017)第038号</t>
  </si>
  <si>
    <t>上海艾录包装股份有限公司</t>
  </si>
  <si>
    <t>金山区金山工业区CB_201501004号地块(科创用地)</t>
  </si>
  <si>
    <t>东至:春丽路,南至:九工路,西至:牛桥港,北至:黄汶泾</t>
  </si>
  <si>
    <t>2016-12-05</t>
  </si>
  <si>
    <t>2016-12-26</t>
  </si>
  <si>
    <t>沪告字(2016)第142号</t>
  </si>
  <si>
    <t>上海金工企业发展有限公司</t>
  </si>
  <si>
    <t>50年</t>
  </si>
  <si>
    <t>金山区金山工业区TZ_201601002号地块</t>
  </si>
  <si>
    <t>东至:时代大道,南至:天工路,西至:洞泾河,北至:九工路</t>
  </si>
  <si>
    <t>2016-09-07</t>
  </si>
  <si>
    <t>2016-09-27</t>
  </si>
  <si>
    <t>沪告字(2016)第092号</t>
  </si>
  <si>
    <t>上海和辉光电有限公司</t>
  </si>
  <si>
    <t>金山工业园区金山工业区CB_201001012-2地块</t>
  </si>
  <si>
    <t>东至:上海万仕诚药业有限公司,南至:上海天宸药业有限公司,西至:金争路,北至:姚家港</t>
  </si>
  <si>
    <t>2016-02-04</t>
  </si>
  <si>
    <t>2016-02-24</t>
  </si>
  <si>
    <t>沪告字(2016)第005号</t>
  </si>
  <si>
    <t>上海金城药业有限公司</t>
  </si>
  <si>
    <t>金山工业园区金山工业区TZ_201501002号地块</t>
  </si>
  <si>
    <t>东至亚龙电缆公司,南至漕廊公路,西至金流路,北至臼井汽车零部件(上海)有限公司</t>
  </si>
  <si>
    <t>符合技术规范</t>
  </si>
  <si>
    <t>2016-02-03</t>
  </si>
  <si>
    <t>2016-02-23</t>
  </si>
  <si>
    <t>沪告字(2016)第004号</t>
  </si>
  <si>
    <t>上海泰砚通信技术有限公司</t>
  </si>
  <si>
    <t>金山工业园区(山阳)CB_201103001-1号地块</t>
  </si>
  <si>
    <t>东至:规划地块,南至:山通路,西至:阳达路,北至:规划地块</t>
  </si>
  <si>
    <t>已完工</t>
  </si>
  <si>
    <t>2015-05-14</t>
  </si>
  <si>
    <t>2015-06-03</t>
  </si>
  <si>
    <t>沪告字(2015)第056号</t>
  </si>
  <si>
    <t>工业</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</si>
  <si>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</si>
  <si>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</si>
  <si>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</si>
  <si>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</si>
  <si>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</si>
  <si>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</si>
  <si>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</si>
  <si>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</si>
  <si>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</si>
  <si>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</si>
  <si>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</si>
  <si>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</si>
  <si>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五通</t>
  </si>
  <si>
    <t>四通</t>
  </si>
  <si>
    <t>三通</t>
  </si>
  <si>
    <t>好</t>
  </si>
  <si>
    <t>一般</t>
  </si>
  <si>
    <t>较差</t>
  </si>
  <si>
    <t>差</t>
  </si>
  <si>
    <t>单面临街</t>
  </si>
  <si>
    <t>单位面积地价</t>
  </si>
  <si>
    <t>全部缴纳</t>
  </si>
  <si>
    <t>已包含在土地取得成本中</t>
  </si>
  <si>
    <t>未包含在土地购买价格中</t>
  </si>
  <si>
    <t>自定义</t>
  </si>
  <si>
    <t>钢混</t>
  </si>
  <si>
    <t>生产用房</t>
  </si>
  <si>
    <t>项目全部</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</si>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</sst>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51"/>
        <bgColor indexed="64"/>
      </patternFill>
    </fill>
    <fill>
      <patternFill patternType="solid">
        <fgColor indexed="11"/>
        <bgColor indexed="64"/>
      </patternFill>
    </fill>
    <fill>
      <patternFill patternType="solid">
        <fgColor indexed="4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19" fillId="17" borderId="0" xfId="0" applyFont="1" applyFill="1" applyAlignment="1"/>
    <xf numFmtId="0" fontId="0" fillId="19"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30</xdr:row>
      <xdr:rowOff>123167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5266667"/>
        </a:xfrm>
        <a:prstGeom prst="rect">
          <a:avLst/>
        </a:prstGeom>
      </xdr:spPr>
    </xdr:pic>
    <xdr:clientData/>
  </xdr:twoCellAnchor>
  <xdr:twoCellAnchor editAs="oneCell">
    <xdr:from>
      <xdr:col>0</xdr:col>
      <xdr:colOff>0</xdr:colOff>
      <xdr:row>31</xdr:row>
      <xdr:rowOff>0</xdr:rowOff>
    </xdr:from>
    <xdr:to>
      <xdr:col>13</xdr:col>
      <xdr:colOff>256029</xdr:colOff>
      <xdr:row>58</xdr:row>
      <xdr:rowOff>75612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171429" cy="4704762"/>
        </a:xfrm>
        <a:prstGeom prst="rect">
          <a:avLst/>
        </a:prstGeom>
      </xdr:spPr>
    </xdr:pic>
    <xdr:clientData/>
  </xdr:twoCellAnchor>
  <xdr:twoCellAnchor editAs="oneCell">
    <xdr:from>
      <xdr:col>0</xdr:col>
      <xdr:colOff>0</xdr:colOff>
      <xdr:row>59</xdr:row>
      <xdr:rowOff>0</xdr:rowOff>
    </xdr:from>
    <xdr:to>
      <xdr:col>12</xdr:col>
      <xdr:colOff>675163</xdr:colOff>
      <xdr:row>83</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8904763" cy="4266667"/>
        </a:xfrm>
        <a:prstGeom prst="rect">
          <a:avLst/>
        </a:prstGeom>
      </xdr:spPr>
    </xdr:pic>
    <xdr:clientData/>
  </xdr:twoCellAnchor>
  <xdr:twoCellAnchor editAs="oneCell">
    <xdr:from>
      <xdr:col>0</xdr:col>
      <xdr:colOff>0</xdr:colOff>
      <xdr:row>84</xdr:row>
      <xdr:rowOff>0</xdr:rowOff>
    </xdr:from>
    <xdr:to>
      <xdr:col>13</xdr:col>
      <xdr:colOff>379839</xdr:colOff>
      <xdr:row>117</xdr:row>
      <xdr:rowOff>75484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401800"/>
          <a:ext cx="9295239" cy="5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上海市山阳镇阳乐路188号房地产抵押价值预评估</v>
      </c>
    </row>
    <row r="3" spans="1:2" s="1596" customFormat="1">
      <c r="A3" s="1594" t="s">
        <v>1221</v>
      </c>
      <c r="B3" s="1595">
        <f>'预评函-封皮'!B40</f>
        <v>0</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受贵公司委托，我公司对上海市山阳镇阳乐路188号房地产抵押价值进行了预评估。</v>
      </c>
    </row>
    <row r="7" spans="1:2" s="1596" customFormat="1">
      <c r="A7" s="1594" t="s">
        <v>1264</v>
      </c>
      <c r="B7" s="1595" t="str">
        <f>'预评函-1'!A7</f>
        <v>估价对象为上海市山阳镇阳乐路188号房地产，为上海同百投资管理有限公司所有。根据《房屋所有权证》，估价对象（分摊）出让国有建设用地使用权面积为35092平方米，建筑面积为17787.51平方米。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上海市山阳镇阳乐路188号房地产,为上海同百投资管理有限公司开发建设的工业项目，该项目尚在开发建设中。根据《房屋所有权证》，估价对象（分摊）出让国有建设用地使用权面积为35092平方米，规划建筑面积为17787.51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上海市山阳镇阳乐路188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2018年4月27日（评估专业人员实地查勘之日）</v>
      </c>
    </row>
    <row r="13" spans="1:2" s="1596" customFormat="1">
      <c r="A13" s="1594" t="s">
        <v>1227</v>
      </c>
      <c r="B13" s="1595" t="str">
        <f>'预评函-1'!A18</f>
        <v>本次估价的“房地产价值”是指在正常市场情况下，在价值时点2018年4月27日，估价对象规划用途为工业，土地取得方式为出让，出让国有建设用地使用权剩余土地使用年限为38.36，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38.36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9378</v>
      </c>
    </row>
    <row r="21" spans="1:2" s="1596" customFormat="1">
      <c r="A21" s="1594" t="s">
        <v>1235</v>
      </c>
      <c r="B21" s="1595">
        <f ca="1">'预评函-2'!D7</f>
        <v>5272</v>
      </c>
    </row>
    <row r="22" spans="1:2" s="1596" customFormat="1">
      <c r="A22" s="1594" t="s">
        <v>1236</v>
      </c>
      <c r="B22" s="1595" t="str">
        <f ca="1">'预评函-2'!D6</f>
        <v>玖仟叁佰柒拾捌万元整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9378</v>
      </c>
    </row>
    <row r="31" spans="1:2" s="1596" customFormat="1">
      <c r="A31" s="1594" t="s">
        <v>1274</v>
      </c>
      <c r="B31" s="1595">
        <f ca="1">'预评函-2'!D15</f>
        <v>5272</v>
      </c>
    </row>
    <row r="32" spans="1:2" s="1596" customFormat="1">
      <c r="A32" s="1594" t="s">
        <v>1241</v>
      </c>
      <c r="B32" s="1595" t="str">
        <f ca="1">'预评函-2'!D14</f>
        <v>玖仟叁佰柒拾捌万元整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上海市山阳镇阳乐路188号房地产</v>
      </c>
    </row>
    <row r="42" spans="1:2" s="1596" customFormat="1">
      <c r="A42" s="1594" t="s">
        <v>1288</v>
      </c>
      <c r="B42" s="1595" t="str">
        <f>'预评函-3'!B2</f>
        <v>建筑面积</v>
      </c>
    </row>
    <row r="43" spans="1:2" s="1596" customFormat="1">
      <c r="A43" s="1594" t="s">
        <v>1289</v>
      </c>
      <c r="B43" s="1595">
        <f>'预评函-3'!B4</f>
        <v>17787.509999999998</v>
      </c>
    </row>
    <row r="44" spans="1:2" s="1596" customFormat="1">
      <c r="A44" s="1594" t="s">
        <v>1273</v>
      </c>
      <c r="B44" s="1595" t="str">
        <f>'预评函-3'!C2</f>
        <v>(分摊)土地面积</v>
      </c>
    </row>
    <row r="45" spans="1:2" s="1596" customFormat="1">
      <c r="A45" s="1594" t="s">
        <v>1245</v>
      </c>
      <c r="B45" s="1595">
        <f>'预评函-3'!C4</f>
        <v>35092</v>
      </c>
    </row>
    <row r="46" spans="1:2" s="1596" customFormat="1">
      <c r="A46" s="1594" t="s">
        <v>1271</v>
      </c>
      <c r="B46" s="1595" t="str">
        <f>'预评函-3'!D2</f>
        <v>出让国有建设用地使用权价值</v>
      </c>
    </row>
    <row r="47" spans="1:2" s="1596" customFormat="1">
      <c r="A47" s="1594" t="s">
        <v>1246</v>
      </c>
      <c r="B47" s="1595">
        <f ca="1">'预评函-3'!D4</f>
        <v>5308</v>
      </c>
    </row>
    <row r="48" spans="1:2" s="1596" customFormat="1">
      <c r="A48" s="1594" t="s">
        <v>1247</v>
      </c>
      <c r="B48" s="1595">
        <f ca="1">'预评函-3'!E4</f>
        <v>2984</v>
      </c>
    </row>
    <row r="49" spans="1:2" s="1596" customFormat="1">
      <c r="A49" s="1594" t="s">
        <v>1248</v>
      </c>
      <c r="B49" s="1595" t="str">
        <f ca="1">'预评函-3'!D5</f>
        <v>伍仟叁佰零捌万元整</v>
      </c>
    </row>
    <row r="50" spans="1:2" s="1596" customFormat="1">
      <c r="A50" s="1594" t="s">
        <v>1272</v>
      </c>
      <c r="B50" s="1595" t="str">
        <f>'预评函-3'!F2</f>
        <v>在建建筑物价值</v>
      </c>
    </row>
    <row r="51" spans="1:2" s="1596" customFormat="1">
      <c r="A51" s="1594" t="s">
        <v>1249</v>
      </c>
      <c r="B51" s="1595">
        <f ca="1">'预评函-3'!F4</f>
        <v>4070</v>
      </c>
    </row>
    <row r="52" spans="1:2" s="1596" customFormat="1">
      <c r="A52" s="1594" t="s">
        <v>1250</v>
      </c>
      <c r="B52" s="1595">
        <f ca="1">'预评函-3'!G4</f>
        <v>2288</v>
      </c>
    </row>
    <row r="53" spans="1:2" s="1596" customFormat="1">
      <c r="A53" s="1594" t="s">
        <v>1278</v>
      </c>
      <c r="B53" s="1595" t="str">
        <f ca="1">'预评函-3'!F5</f>
        <v>肆仟零柒拾万元整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4" sqref="X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山阳镇阳乐路188号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F34" sqref="F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4" t="str">
        <f>IF(B10="北京市","北京市",C10)&amp;F10&amp;IF(结果表!G1="在建","出让国有建设用地使用权及在建建筑物",IF(结果表!G1="土地","出让国有建设用地使用权",))&amp;B9&amp;"预评估"</f>
        <v>上海市山阳镇阳乐路188号房地产抵押价值预评估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上海市山阳镇阳乐路188号房地产抵押价值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上海市山阳镇阳乐路188号房地产</v>
      </c>
    </row>
    <row r="3" spans="1:19" ht="18" customHeight="1">
      <c r="A3" s="2038" t="s">
        <v>1778</v>
      </c>
      <c r="B3" s="2039">
        <v>43217</v>
      </c>
      <c r="C3" s="2040" t="s">
        <v>1779</v>
      </c>
      <c r="D3" s="2039">
        <f>B3</f>
        <v>43217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3037</v>
      </c>
      <c r="C8" s="2059"/>
      <c r="D8" s="3007" t="s">
        <v>1785</v>
      </c>
      <c r="E8" s="2060" t="s">
        <v>3038</v>
      </c>
      <c r="F8" s="2061"/>
      <c r="G8" s="2029"/>
      <c r="H8" s="2029"/>
      <c r="I8" s="2029"/>
      <c r="J8" s="2045"/>
      <c r="K8" s="2046"/>
      <c r="L8" s="2031"/>
      <c r="M8" s="2031"/>
      <c r="N8" s="2032"/>
      <c r="O8" s="2033"/>
      <c r="P8" s="2032"/>
      <c r="Q8" s="2032"/>
      <c r="R8" s="2032"/>
    </row>
    <row r="9" spans="1:19" ht="18" customHeight="1" thickBot="1">
      <c r="A9" s="2043" t="s">
        <v>1786</v>
      </c>
      <c r="B9" s="2062" t="s">
        <v>3038</v>
      </c>
      <c r="C9" s="2063"/>
      <c r="D9" s="3008"/>
      <c r="E9" s="2062"/>
      <c r="F9" s="2064"/>
      <c r="G9" s="2065"/>
      <c r="H9" s="2065"/>
      <c r="I9" s="2065"/>
      <c r="J9" s="2045"/>
      <c r="K9" s="2057"/>
      <c r="L9" s="2031"/>
      <c r="M9" s="2031"/>
      <c r="N9" s="2032"/>
      <c r="O9" s="2033"/>
      <c r="P9" s="2032"/>
      <c r="Q9" s="2032"/>
      <c r="R9" s="2032"/>
    </row>
    <row r="10" spans="1:19" ht="18" customHeight="1" thickTop="1">
      <c r="A10" s="2066" t="s">
        <v>1787</v>
      </c>
      <c r="B10" s="2067" t="s">
        <v>3039</v>
      </c>
      <c r="C10" s="2944" t="s">
        <v>3041</v>
      </c>
      <c r="D10" s="2050"/>
      <c r="E10" s="2068" t="s">
        <v>1788</v>
      </c>
      <c r="F10" s="2069" t="s">
        <v>3042</v>
      </c>
      <c r="G10" s="2070"/>
      <c r="H10" s="2071"/>
      <c r="I10" s="2050"/>
      <c r="J10" s="2045"/>
      <c r="K10" s="2057"/>
      <c r="L10" s="2031"/>
      <c r="M10" s="2031"/>
      <c r="N10" s="2032"/>
      <c r="O10" s="2033"/>
      <c r="P10" s="2032"/>
      <c r="Q10" s="2032"/>
      <c r="R10" s="2032"/>
    </row>
    <row r="11" spans="1:19" ht="18" customHeight="1">
      <c r="A11" s="2072" t="s">
        <v>1789</v>
      </c>
      <c r="B11" s="2073" t="s">
        <v>3043</v>
      </c>
      <c r="C11" s="2945" t="s">
        <v>3044</v>
      </c>
      <c r="D11" s="2074"/>
      <c r="E11" s="2045"/>
      <c r="F11" s="2045"/>
      <c r="G11" s="2045"/>
      <c r="H11" s="2045"/>
      <c r="I11" s="2045"/>
      <c r="J11" s="2045"/>
      <c r="K11" s="2057"/>
      <c r="L11" s="2031"/>
      <c r="M11" s="2031"/>
      <c r="N11" s="2032"/>
      <c r="O11" s="2033"/>
      <c r="P11" s="2032"/>
      <c r="Q11" s="2032"/>
      <c r="R11" s="2032"/>
    </row>
    <row r="12" spans="1:19" ht="18" customHeight="1">
      <c r="A12" s="2075" t="s">
        <v>1790</v>
      </c>
      <c r="B12" s="2073" t="s">
        <v>3045</v>
      </c>
      <c r="C12" s="2076" t="s">
        <v>1791</v>
      </c>
      <c r="D12" s="2077" t="s">
        <v>1792</v>
      </c>
      <c r="E12" s="2077" t="s">
        <v>1793</v>
      </c>
      <c r="F12" s="2077" t="s">
        <v>1794</v>
      </c>
      <c r="G12" s="2077" t="s">
        <v>1795</v>
      </c>
      <c r="H12" s="2077" t="s">
        <v>1796</v>
      </c>
      <c r="I12" s="2077" t="s">
        <v>1797</v>
      </c>
      <c r="J12" s="2045"/>
      <c r="K12" s="2057"/>
      <c r="L12" s="2031"/>
      <c r="M12" s="2031"/>
      <c r="N12" s="2032"/>
      <c r="O12" s="2033"/>
      <c r="P12" s="2032"/>
      <c r="Q12" s="2032"/>
      <c r="R12" s="2032"/>
    </row>
    <row r="13" spans="1:19" ht="18" customHeight="1">
      <c r="A13" s="2078"/>
      <c r="B13" s="2079"/>
      <c r="C13" s="2080" t="s">
        <v>1798</v>
      </c>
      <c r="D13" s="2081"/>
      <c r="E13" s="2081"/>
      <c r="F13" s="2081"/>
      <c r="G13" s="2081"/>
      <c r="H13" s="2081"/>
      <c r="I13" s="1050">
        <v>57222</v>
      </c>
      <c r="J13" s="2045"/>
      <c r="K13" s="2057"/>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6"/>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38.36</v>
      </c>
      <c r="J15" s="2045"/>
      <c r="K15" s="2084"/>
      <c r="L15" s="2085"/>
      <c r="M15" s="2085"/>
      <c r="N15" s="2086"/>
      <c r="O15" s="2085"/>
      <c r="P15" s="2086"/>
      <c r="Q15" s="2032"/>
      <c r="R15" s="2032"/>
    </row>
    <row r="16" spans="1:19" ht="30.75" customHeight="1">
      <c r="A16" s="2068" t="s">
        <v>1801</v>
      </c>
      <c r="B16" s="3014" t="s">
        <v>3046</v>
      </c>
      <c r="C16" s="3015"/>
      <c r="D16" s="3016"/>
      <c r="E16" s="2087" t="s">
        <v>1802</v>
      </c>
      <c r="F16" s="3017">
        <v>38.36</v>
      </c>
      <c r="G16" s="3018"/>
      <c r="H16" s="3018"/>
      <c r="I16" s="3019"/>
      <c r="J16" s="2032"/>
      <c r="K16" s="2084"/>
      <c r="L16" s="2085"/>
      <c r="M16" s="2085"/>
      <c r="N16" s="2086"/>
      <c r="O16" s="2085"/>
      <c r="P16" s="2086"/>
      <c r="Q16" s="2032"/>
      <c r="R16" s="2032"/>
    </row>
    <row r="17" spans="1:22" ht="18" customHeight="1">
      <c r="A17" s="2088" t="s">
        <v>1803</v>
      </c>
      <c r="B17" s="2038" t="s">
        <v>1804</v>
      </c>
      <c r="C17" s="1057">
        <f>'数据-汇总表'!E3</f>
        <v>17787.509999999998</v>
      </c>
      <c r="D17" s="2089" t="s">
        <v>1805</v>
      </c>
      <c r="E17" s="3020" t="s">
        <v>3048</v>
      </c>
      <c r="F17" s="3021"/>
      <c r="G17" s="3021"/>
      <c r="H17" s="3021"/>
      <c r="I17" s="3022"/>
      <c r="J17" s="2032"/>
      <c r="K17" s="2090"/>
      <c r="L17" s="2085"/>
      <c r="M17" s="2085"/>
      <c r="N17" s="2086"/>
      <c r="O17" s="2085"/>
      <c r="P17" s="2086"/>
      <c r="Q17" s="2032"/>
      <c r="R17" s="2032"/>
      <c r="S17" s="2032"/>
      <c r="T17" s="2032"/>
      <c r="U17" s="2032"/>
      <c r="V17" s="2032"/>
    </row>
    <row r="18" spans="1:22" ht="36" customHeight="1" thickBot="1">
      <c r="A18" s="2091" t="s">
        <v>3047</v>
      </c>
      <c r="B18" s="2041" t="s">
        <v>1806</v>
      </c>
      <c r="C18" s="1447">
        <f>'数据-汇总表'!D3</f>
        <v>35092</v>
      </c>
      <c r="D18" s="2092" t="s">
        <v>1805</v>
      </c>
      <c r="E18" s="3020" t="s">
        <v>3048</v>
      </c>
      <c r="F18" s="3021"/>
      <c r="G18" s="3021"/>
      <c r="H18" s="3021"/>
      <c r="I18" s="3022"/>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3049</v>
      </c>
      <c r="D19" s="2094" t="s">
        <v>1809</v>
      </c>
      <c r="E19" s="2095"/>
      <c r="F19" s="2096" t="str">
        <f>IF(AND(C19="是",E19="否"),"是否提供他项权证或相关说明","")</f>
        <v/>
      </c>
      <c r="G19" s="2097"/>
      <c r="H19" s="2045"/>
      <c r="I19" s="2045"/>
      <c r="J19" s="2045"/>
      <c r="K19" s="2057"/>
      <c r="L19" s="2031"/>
      <c r="M19" s="2031"/>
      <c r="N19" s="2086"/>
      <c r="O19" s="2085"/>
      <c r="P19" s="2086"/>
      <c r="Q19" s="2032"/>
      <c r="R19" s="2032"/>
      <c r="S19" s="2032"/>
      <c r="T19" s="2032"/>
      <c r="U19" s="2032"/>
      <c r="V19" s="2032"/>
    </row>
    <row r="20" spans="1:22" ht="18" customHeight="1">
      <c r="A20" s="2098" t="s">
        <v>1810</v>
      </c>
      <c r="B20" s="3010" t="s">
        <v>1811</v>
      </c>
      <c r="C20" s="3011"/>
      <c r="D20" s="3012" t="s">
        <v>1812</v>
      </c>
      <c r="E20" s="3013"/>
      <c r="F20" s="2099" t="s">
        <v>1813</v>
      </c>
      <c r="G20" s="2045"/>
      <c r="H20" s="2045"/>
      <c r="I20" s="2045"/>
      <c r="J20" s="2045"/>
      <c r="K20" s="3009" t="s">
        <v>1814</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6"/>
      <c r="O20" s="2085"/>
      <c r="P20" s="2086"/>
      <c r="Q20" s="2032"/>
      <c r="R20" s="2032"/>
      <c r="S20" s="2032"/>
      <c r="T20" s="2032"/>
      <c r="U20" s="2032"/>
      <c r="V20" s="2032"/>
    </row>
    <row r="21" spans="1:22" ht="24.75" customHeight="1">
      <c r="A21" s="2098"/>
      <c r="B21" s="2100" t="s">
        <v>1815</v>
      </c>
      <c r="C21" s="2101" t="s">
        <v>3050</v>
      </c>
      <c r="D21" s="2102"/>
      <c r="E21" s="2103"/>
      <c r="F21" s="2104"/>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7"/>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5"/>
      <c r="H26" s="2065"/>
      <c r="I26" s="2065"/>
      <c r="J26" s="2045"/>
      <c r="K26" s="2057"/>
      <c r="L26" s="2031"/>
      <c r="M26" s="2031"/>
      <c r="N26" s="2086"/>
      <c r="O26" s="2085"/>
      <c r="P26" s="2086"/>
      <c r="Q26" s="2032"/>
      <c r="R26" s="2032"/>
      <c r="S26" s="2032"/>
      <c r="T26" s="2032"/>
      <c r="U26" s="2032"/>
      <c r="V26" s="2032"/>
    </row>
    <row r="27" spans="1:22" ht="18" customHeight="1" thickTop="1">
      <c r="A27" s="3024" t="s">
        <v>1822</v>
      </c>
      <c r="B27" s="2066" t="s">
        <v>1823</v>
      </c>
      <c r="C27" s="2121" t="s">
        <v>3051</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4"/>
      <c r="B28" s="2038" t="s">
        <v>1824</v>
      </c>
      <c r="C28" s="2123" t="s">
        <v>3052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4"/>
      <c r="B29" s="2038" t="s">
        <v>1825</v>
      </c>
      <c r="C29" s="2126" t="s">
        <v>3049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5"/>
      <c r="B30" s="2038" t="s">
        <v>1826</v>
      </c>
      <c r="C30" s="3026"/>
      <c r="D30" s="3027"/>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8" t="s">
        <v>1827</v>
      </c>
      <c r="B31" s="2128" t="s">
        <v>3053</v>
      </c>
      <c r="C31" s="2129" t="str">
        <f>IF(B31="现房","成新及维护状况正常否",IF(B31="在建","工程状态是否正常",IF(B31="土地","是否闲置","-")))</f>
        <v>成新及维护状况正常否</v>
      </c>
      <c r="D31" s="2130"/>
      <c r="E31" s="2131"/>
      <c r="F31" s="2045"/>
      <c r="G31" s="2045"/>
      <c r="H31" s="2045"/>
      <c r="I31" s="2045"/>
      <c r="J31" s="2045"/>
      <c r="K31" s="2055"/>
      <c r="L31" s="2031"/>
      <c r="M31" s="2031"/>
      <c r="N31" s="2032"/>
      <c r="O31" s="2033"/>
      <c r="P31" s="2032"/>
      <c r="Q31" s="2032"/>
      <c r="R31" s="2032"/>
      <c r="S31" s="2032"/>
      <c r="T31" s="2032"/>
      <c r="U31" s="2032"/>
      <c r="V31" s="2032"/>
    </row>
    <row r="32" spans="1:22" ht="18" customHeight="1">
      <c r="A32" s="3029"/>
      <c r="B32" s="2128"/>
      <c r="C32" s="2129" t="str">
        <f>IF(B32="现房","成新及维护状况是否正常",IF(B32="在建","工程状态是否正常",IF(B32="土地","是否闲置","-")))</f>
        <v>-</v>
      </c>
      <c r="D32" s="2130"/>
      <c r="E32" s="2131"/>
      <c r="F32" s="2045"/>
      <c r="G32" s="2045"/>
      <c r="H32" s="2045"/>
      <c r="I32" s="2045"/>
      <c r="J32" s="2045"/>
      <c r="K32" s="2057"/>
      <c r="L32" s="2031"/>
      <c r="M32" s="2031"/>
      <c r="N32" s="2032"/>
      <c r="O32" s="2033"/>
      <c r="P32" s="2032"/>
      <c r="Q32" s="2032"/>
      <c r="R32" s="2032"/>
      <c r="S32" s="2032"/>
      <c r="T32" s="2032"/>
      <c r="U32" s="2032"/>
      <c r="V32" s="2032"/>
    </row>
    <row r="33" spans="1:22" ht="18" customHeight="1">
      <c r="A33" s="3029"/>
      <c r="B33" s="2132"/>
      <c r="C33" s="2072" t="str">
        <f>IF(B33="现房","成新及维护状况是否正常",IF(B33="在建","工程状态是否正常",IF(B33="土地","是否闲置","-")))</f>
        <v>-</v>
      </c>
      <c r="D33" s="2133"/>
      <c r="E33" s="2134"/>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1828</v>
      </c>
      <c r="B34" s="2135" t="s">
        <v>3054</v>
      </c>
      <c r="C34" s="2135" t="s">
        <v>3055</v>
      </c>
      <c r="D34" s="2135" t="s">
        <v>3056</v>
      </c>
      <c r="E34" s="2135" t="s">
        <v>3057</v>
      </c>
      <c r="F34" s="2135" t="s">
        <v>3058</v>
      </c>
      <c r="G34" s="2135"/>
      <c r="H34" s="2135"/>
      <c r="I34" s="2045"/>
      <c r="J34" s="2045"/>
      <c r="K34" s="1798">
        <f>COUNTIF(B34:H34,"——")</f>
        <v>0</v>
      </c>
      <c r="L34" s="2076" t="s">
        <v>1829</v>
      </c>
      <c r="M34" s="2076" t="s">
        <v>1830</v>
      </c>
      <c r="N34" s="2076" t="s">
        <v>1831</v>
      </c>
      <c r="O34" s="2076" t="s">
        <v>1832</v>
      </c>
      <c r="P34" s="2076" t="s">
        <v>1833</v>
      </c>
      <c r="Q34" s="2076" t="s">
        <v>1834</v>
      </c>
      <c r="R34" s="2076" t="s">
        <v>1835</v>
      </c>
      <c r="S34" s="3023" t="s">
        <v>1836</v>
      </c>
      <c r="T34" s="2136" t="str">
        <f>NUMBERSTRING(7-K34,1)&amp;"通"</f>
        <v>七通</v>
      </c>
      <c r="U34" s="2032"/>
      <c r="V34" s="2032"/>
    </row>
    <row r="35" spans="1:22" ht="18" customHeight="1">
      <c r="A35" s="2137"/>
      <c r="B35" s="3030" t="s">
        <v>1837</v>
      </c>
      <c r="C35" s="3030"/>
      <c r="D35" s="3030"/>
      <c r="E35" s="3030"/>
      <c r="F35" s="2138" t="str">
        <f>C10</f>
        <v>上海市</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3"/>
      <c r="T35" s="48" t="str">
        <f>IF(T34="一通",L35,IF(T34="二通",M35,IF(T34="三通",N35,IF(T34="四通",O35,IF(T34="五通",P35,IF(T34="六通",Q35,R35))))))</f>
        <v>通路、通电、通讯、通上水、通下水、、</v>
      </c>
      <c r="U35" s="2032"/>
      <c r="V35" s="2032"/>
    </row>
    <row r="36" spans="1:22" ht="18" customHeight="1">
      <c r="A36" s="2139"/>
      <c r="B36" s="2138" t="s">
        <v>1838</v>
      </c>
      <c r="C36" s="2138" t="s">
        <v>1839</v>
      </c>
      <c r="D36" s="2138" t="s">
        <v>1840</v>
      </c>
      <c r="E36" s="2138" t="s">
        <v>1841</v>
      </c>
      <c r="F36" s="2140"/>
      <c r="G36" s="2045"/>
      <c r="H36" s="2045"/>
      <c r="I36" s="2045"/>
      <c r="J36" s="2045"/>
      <c r="K36" s="2057"/>
      <c r="L36" s="2031"/>
      <c r="M36" s="2031"/>
      <c r="N36" s="2032"/>
      <c r="O36" s="2033"/>
      <c r="P36" s="2032"/>
      <c r="Q36" s="2032"/>
      <c r="R36" s="2032"/>
      <c r="S36" s="2032"/>
      <c r="T36" s="2032"/>
      <c r="U36" s="2032"/>
      <c r="V36" s="2032"/>
    </row>
    <row r="37" spans="1:22" ht="18" customHeight="1">
      <c r="A37" s="2141" t="s">
        <v>1842</v>
      </c>
      <c r="B37" s="2142"/>
      <c r="C37" s="2142"/>
      <c r="D37" s="2142"/>
      <c r="E37" s="2142"/>
      <c r="F37" s="2140"/>
      <c r="G37" s="2045"/>
      <c r="H37" s="2045"/>
      <c r="I37" s="2045"/>
      <c r="J37" s="2045"/>
      <c r="K37" s="2057"/>
      <c r="L37" s="2031"/>
      <c r="M37" s="2031"/>
      <c r="N37" s="2032"/>
      <c r="O37" s="2033"/>
      <c r="P37" s="2032"/>
      <c r="Q37" s="2032"/>
      <c r="R37" s="2032"/>
      <c r="S37" s="2032"/>
      <c r="T37" s="2032"/>
      <c r="U37" s="2032"/>
      <c r="V37" s="2032"/>
    </row>
    <row r="38" spans="1:22" ht="18" customHeight="1" thickBot="1">
      <c r="A38" s="2143" t="s">
        <v>1843</v>
      </c>
      <c r="B38" s="2144"/>
      <c r="C38" s="2144"/>
      <c r="D38" s="2144"/>
      <c r="E38" s="2144"/>
      <c r="F38" s="2145"/>
      <c r="G38" s="2065"/>
      <c r="H38" s="2065"/>
      <c r="I38" s="2065"/>
      <c r="J38" s="2045"/>
      <c r="K38" s="2057"/>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35092</v>
      </c>
      <c r="B3" s="14">
        <f>IF(C3="否",G5-AT5,G5)</f>
        <v>17787.509999999998</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17787.509999999998</v>
      </c>
      <c r="H5" s="16">
        <f t="shared" ref="H5:AT5" si="0">SUM(H13:H656)</f>
        <v>17787.509999999998</v>
      </c>
      <c r="I5" s="16">
        <f t="shared" si="0"/>
        <v>17787.509999999998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17787.509999999998</v>
      </c>
      <c r="BA5" s="18">
        <f t="shared" si="1"/>
        <v>17787.509999999998</v>
      </c>
      <c r="BB5" s="18">
        <f t="shared" si="1"/>
        <v>17787.509999999998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35092</v>
      </c>
      <c r="F6" s="16" t="s">
        <v>1</v>
      </c>
      <c r="G6" s="16" t="s">
        <v>2</v>
      </c>
      <c r="H6" s="20">
        <f>SUMIF(I$12:AB$12,"总值",I6:AB6)</f>
        <v>35092</v>
      </c>
      <c r="I6" s="16">
        <f t="shared" ref="I6:AB6" si="2">ROUND($A$3*I5/$B$3,2)</f>
        <v>35092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35092</v>
      </c>
      <c r="AZ6" s="16" t="s">
        <v>3</v>
      </c>
      <c r="BA6" s="16">
        <f>ROUND($AY$6*BA5/$AZ$5,2)</f>
        <v>35092</v>
      </c>
      <c r="BB6" s="16">
        <f>ROUND($AY$6*BB5/$AZ$5,2)</f>
        <v>35092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3061</v>
      </c>
      <c r="J9" s="984"/>
      <c r="K9" s="2193"/>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3062</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2946" t="s">
        <v>3059</v>
      </c>
      <c r="D13" s="2215" t="s">
        <v>3060</v>
      </c>
      <c r="E13" s="16">
        <f>IF($C$3="是",ROUND($A$3*G13/$B$3,2),ROUND($A$3*(G13-AT13)/$B$3,2))</f>
        <v>35092</v>
      </c>
      <c r="F13" s="32"/>
      <c r="G13" s="33">
        <f>H13+AC13+AT13</f>
        <v>17787.509999999998</v>
      </c>
      <c r="H13" s="20">
        <f>SUMIF(I$12:AB$12,"总值",I13:AB13)</f>
        <v>17787.509999999998</v>
      </c>
      <c r="I13" s="2216">
        <v>17787.509999999998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工业厂房</v>
      </c>
      <c r="AY13" s="1809">
        <f>ROUND($AY$6*AZ13/$AZ$5,2)</f>
        <v>35092</v>
      </c>
      <c r="AZ13" s="16">
        <f>BA13+BL13</f>
        <v>17787.509999999998</v>
      </c>
      <c r="BA13" s="16">
        <f>SUM(BB13:BK13)</f>
        <v>17787.509999999998</v>
      </c>
      <c r="BB13" s="16">
        <f>IF($D13="是",I13-J13,0)</f>
        <v>17787.509999999998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42" t="s">
        <v>1933</v>
      </c>
      <c r="B2" s="3042"/>
      <c r="C2" s="3042"/>
      <c r="D2" s="970" t="s">
        <v>1909</v>
      </c>
      <c r="E2" s="2229" t="s">
        <v>1910</v>
      </c>
      <c r="F2" s="1395"/>
      <c r="G2" s="2230"/>
      <c r="H2" s="2231"/>
      <c r="I2" s="2232" t="s">
        <v>1934</v>
      </c>
      <c r="J2" s="1395"/>
      <c r="K2" s="1395"/>
      <c r="L2" s="1395"/>
      <c r="M2" s="1395"/>
      <c r="N2" s="1430"/>
      <c r="O2" s="1395"/>
      <c r="P2" s="1395"/>
    </row>
    <row r="3" spans="1:16" ht="15.75" thickBot="1">
      <c r="A3" s="3043" t="s">
        <v>1907</v>
      </c>
      <c r="B3" s="3043"/>
      <c r="C3" s="3043"/>
      <c r="D3" s="46">
        <f>'数据-基础表'!AY6</f>
        <v>35092</v>
      </c>
      <c r="E3" s="46">
        <f>'数据-基础表'!AZ5</f>
        <v>17787.509999999998</v>
      </c>
      <c r="F3" s="1395"/>
      <c r="G3" s="1402"/>
      <c r="H3" s="1250" t="s">
        <v>1908</v>
      </c>
      <c r="I3" s="55">
        <f>ROUND('数据-基础表'!B3/'数据-基础表'!A3,2)</f>
        <v>0.51</v>
      </c>
      <c r="J3" s="1395"/>
      <c r="K3" s="1395"/>
      <c r="L3" s="1395"/>
      <c r="M3" s="1395"/>
      <c r="N3" s="1430"/>
      <c r="O3" s="1395"/>
      <c r="P3" s="1395"/>
    </row>
    <row r="4" spans="1:16" ht="15">
      <c r="A4" s="3044"/>
      <c r="B4" s="3045"/>
      <c r="C4" s="3046"/>
      <c r="D4" s="2233" t="s">
        <v>1909</v>
      </c>
      <c r="E4" s="2234" t="s">
        <v>1910</v>
      </c>
      <c r="F4" s="1395"/>
      <c r="G4" s="2235" t="s">
        <v>1935</v>
      </c>
      <c r="H4" s="1250" t="s">
        <v>1915</v>
      </c>
      <c r="I4" s="55">
        <f>ROUND(SUMIF('数据-基础表'!I9:AS9,"地上",'数据-基础表'!I5:AS5)/'数据-基础表'!A3,2)</f>
        <v>0.51</v>
      </c>
      <c r="J4" s="1395"/>
      <c r="K4" s="1395"/>
      <c r="L4" s="1395"/>
      <c r="M4" s="1395"/>
      <c r="N4" s="1430"/>
      <c r="O4" s="1395"/>
      <c r="P4" s="1395"/>
    </row>
    <row r="5" spans="1:16">
      <c r="A5" s="47" t="s">
        <v>1911</v>
      </c>
      <c r="B5" s="3047" t="s">
        <v>1912</v>
      </c>
      <c r="C5" s="3047"/>
      <c r="D5" s="48">
        <f>ROUND($D$3*E5/$E$3,2)</f>
        <v>0</v>
      </c>
      <c r="E5" s="49">
        <f>SUMIF('数据-基础表'!$11:$11,"住宅",'数据-基础表'!$5:$5)</f>
        <v>0</v>
      </c>
      <c r="F5" s="1395"/>
      <c r="G5" s="1402"/>
      <c r="H5" s="1250" t="s">
        <v>1908</v>
      </c>
      <c r="I5" s="55">
        <f>ROUND(E31/D31,2)</f>
        <v>0.51</v>
      </c>
      <c r="J5" s="1395"/>
      <c r="K5" s="1395"/>
      <c r="L5" s="1395"/>
      <c r="M5" s="1395"/>
      <c r="N5" s="1395"/>
      <c r="O5" s="1395"/>
      <c r="P5" s="1395"/>
    </row>
    <row r="6" spans="1:16" ht="15" thickBot="1">
      <c r="A6" s="2236"/>
      <c r="B6" s="3047" t="s">
        <v>1913</v>
      </c>
      <c r="C6" s="3047"/>
      <c r="D6" s="48">
        <f>ROUND($D$3*E6/$E$3,2)</f>
        <v>35092</v>
      </c>
      <c r="E6" s="49">
        <f>E3-E5</f>
        <v>17787.509999999998</v>
      </c>
      <c r="F6" s="1395"/>
      <c r="G6" s="2237" t="s">
        <v>1914</v>
      </c>
      <c r="H6" s="1402" t="s">
        <v>1915</v>
      </c>
      <c r="I6" s="942">
        <f>ROUND(F31/D31,2)</f>
        <v>0.51</v>
      </c>
      <c r="J6" s="1395"/>
      <c r="K6" s="1395"/>
      <c r="L6" s="1395"/>
      <c r="M6" s="1395"/>
      <c r="N6" s="1395"/>
      <c r="O6" s="1395"/>
      <c r="P6" s="1395"/>
    </row>
    <row r="7" spans="1:16" ht="15">
      <c r="A7" s="3039"/>
      <c r="B7" s="3040"/>
      <c r="C7" s="3041"/>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35092</v>
      </c>
      <c r="E8" s="51">
        <f>SUMIF('数据-基础表'!BB10:BK10,"地上",'数据-基础表'!BB5:BK5)</f>
        <v>17787.509999999998</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35092</v>
      </c>
      <c r="E16" s="53">
        <f>SUM(E8:E15)</f>
        <v>17787.509999999998</v>
      </c>
      <c r="F16" s="1395"/>
      <c r="G16" s="2239"/>
      <c r="H16" s="2242" t="s">
        <v>1937</v>
      </c>
      <c r="I16" s="2243"/>
      <c r="J16" s="1395"/>
      <c r="K16" s="3036" t="s">
        <v>1937</v>
      </c>
      <c r="L16" s="3037"/>
      <c r="M16" s="3037"/>
      <c r="N16" s="3037"/>
      <c r="O16" s="3037"/>
      <c r="P16" s="3038"/>
    </row>
    <row r="17" spans="1:19" ht="15">
      <c r="A17" s="2244" t="s">
        <v>1938</v>
      </c>
      <c r="B17" s="2245" t="s">
        <v>1939</v>
      </c>
      <c r="C17" s="2246" t="s">
        <v>1940</v>
      </c>
      <c r="D17" s="2247" t="s">
        <v>1928</v>
      </c>
      <c r="E17" s="2248" t="s">
        <v>1929</v>
      </c>
      <c r="F17" s="2249"/>
      <c r="G17" s="2250"/>
      <c r="H17" s="2251" t="s">
        <v>1941</v>
      </c>
      <c r="I17" s="2252" t="s">
        <v>1926</v>
      </c>
      <c r="J17" s="1395"/>
      <c r="K17" s="3033" t="s">
        <v>1942</v>
      </c>
      <c r="L17" s="3034"/>
      <c r="M17" s="3035"/>
      <c r="N17" s="3033" t="s">
        <v>1943</v>
      </c>
      <c r="O17" s="3034"/>
      <c r="P17" s="3035"/>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2947" t="s">
        <v>3064</v>
      </c>
      <c r="D19" s="48">
        <f>ROUND($D$3*E19/$E$3,2)</f>
        <v>35092</v>
      </c>
      <c r="E19" s="56">
        <f t="shared" ref="E19:E26" si="1">SUM(F19:G19)</f>
        <v>17787.509999999998</v>
      </c>
      <c r="F19" s="57">
        <f>'数据-基础表'!I13</f>
        <v>17787.509999999998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35092</v>
      </c>
      <c r="S19" s="1251">
        <f t="shared" si="5"/>
        <v>17787.509999999998</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35092</v>
      </c>
      <c r="E27" s="1397">
        <f>IF(SUM(E19:E26)='数据-基础表'!BA5,SUM(E19:E26),IF(F27="地上面积有误","面积有误","地下面积有误"))</f>
        <v>17787.509999999998</v>
      </c>
      <c r="F27" s="1396">
        <f>IF(SUM(F19:F26)=E8,SUM(F19:F26),"地上面积有误")</f>
        <v>17787.509999999998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35092</v>
      </c>
      <c r="S27" s="1250">
        <f>IF(SUM(S19:S26)=$E$3,SUM(S19:S26),SUM(S19:S26)&amp;"误差"&amp;ROUND(SUM(S19:S26)-E3,2))</f>
        <v>17787.509999999998</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35092</v>
      </c>
      <c r="E31" s="729">
        <f>E27+E30</f>
        <v>17787.509999999998</v>
      </c>
      <c r="F31" s="730">
        <f>F27+F30</f>
        <v>17787.509999999998</v>
      </c>
      <c r="G31" s="731">
        <f>G27+G30</f>
        <v>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43217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3065</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57222</v>
      </c>
      <c r="F6" s="72">
        <f>SUMIF(项目基本情况!D$12:I$12,C6,项目基本情况!D$15:I$15)</f>
        <v>38.36</v>
      </c>
      <c r="G6" s="73">
        <f>IF(ISERROR(ROUND(POWER(1+H6,D6-F6)*(POWER(1+H6,F6)-1)/(POWER(1+H6,D6)-1),3)),0,ROUND(POWER(1+H6,D6-F6)*(POWER(1+H6,F6)-1)/(POWER(1+H6,D6)-1),3))</f>
        <v>0.91700000000000004</v>
      </c>
      <c r="H6" s="802">
        <v>4.4999999999999998E-2</v>
      </c>
      <c r="I6" s="802">
        <v>0.05</v>
      </c>
      <c r="J6" s="74">
        <v>8.5000000000000006E-2</v>
      </c>
      <c r="K6" s="1254">
        <f>SUMIF('数据-汇总表'!C$19:C$33,A6,'数据-汇总表'!E$19:E$33)</f>
        <v>17787.509999999998</v>
      </c>
      <c r="L6" s="803">
        <v>2000</v>
      </c>
      <c r="M6" s="75">
        <f t="shared" ref="M6:M14" si="0">ROUND(K6*L6/10000,0)</f>
        <v>3558</v>
      </c>
      <c r="N6" s="801">
        <f>ROUND(1-(1-0%)*(2018-2007)/60,2)</f>
        <v>0.82</v>
      </c>
      <c r="O6" s="75" t="str">
        <f>IF($N$5="成新度","——",ROUND(M6*N6,0))</f>
        <v>——</v>
      </c>
      <c r="P6" s="76" t="str">
        <f>IF($N$5="成新度","——",M6-O6)</f>
        <v>——</v>
      </c>
      <c r="Q6" s="804">
        <v>0.1</v>
      </c>
      <c r="R6" s="77">
        <f ca="1">SUMIF('数据-汇总表'!C$19:C$33,A6,'数据-汇总表'!R$19:R$27)</f>
        <v>35092</v>
      </c>
      <c r="S6" s="54">
        <f>IF('数据-汇总表'!$I$17="按面积比例",SUMIF('数据-汇总表'!C$19:C$33,A6,'数据-汇总表'!K$19:K$33),SUMIF('数据-汇总表'!C$19:C$33,A6,'数据-汇总表'!N$19:N$33))</f>
        <v>0</v>
      </c>
      <c r="T6" s="1446">
        <f>ROUND($L$14*S6/10000,0)</f>
        <v>0</v>
      </c>
      <c r="U6" s="78">
        <v>1</v>
      </c>
      <c r="V6" s="79">
        <v>0.02</v>
      </c>
      <c r="W6" s="79">
        <v>0.1</v>
      </c>
      <c r="X6" s="1264"/>
      <c r="Y6" s="80">
        <f>N6</f>
        <v>0.82</v>
      </c>
      <c r="Z6" s="81"/>
      <c r="AA6" s="74"/>
      <c r="AB6" s="74"/>
      <c r="AC6" s="1264"/>
      <c r="AD6" s="82"/>
      <c r="AE6" s="1265">
        <f ca="1">IF(AN6="",0,SUMIF(INDIRECT("'"&amp;AN6&amp;"'"&amp;"!E:E"),$AE$5,INDIRECT("'"&amp;AN6&amp;"'"&amp;"!F:F")))</f>
        <v>38.36</v>
      </c>
      <c r="AF6" s="1807"/>
      <c r="AG6" s="147">
        <f>IF(AF6="",0,AE6-AF6)</f>
        <v>0</v>
      </c>
      <c r="AH6" s="83"/>
      <c r="AI6" s="85">
        <v>365</v>
      </c>
      <c r="AJ6" s="86"/>
      <c r="AK6" s="87">
        <v>1.4999999999999999E-2</v>
      </c>
      <c r="AL6" s="88">
        <v>1.5E-3</v>
      </c>
      <c r="AM6" s="89">
        <v>0.01</v>
      </c>
      <c r="AN6" s="2311" t="s">
        <v>3066</v>
      </c>
      <c r="AO6" s="55">
        <f ca="1">SUMIF(INDIRECT("'"&amp;AN6&amp;"'"&amp;"!A:A"),"总价",INDIRECT("'"&amp;AN6&amp;"'"&amp;"!B:B"))</f>
        <v>9216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0.91700000000000004</v>
      </c>
      <c r="H16" s="99">
        <f>ROUND(SUMPRODUCT(H6:H13,K6:K13)/SUMPRODUCT((H6:H13&gt;0)*(K6:K13)),3)</f>
        <v>4.4999999999999998E-2</v>
      </c>
      <c r="I16" s="100"/>
      <c r="J16" s="100"/>
      <c r="K16" s="101">
        <f>SUM(K6:K15)</f>
        <v>17787.509999999998</v>
      </c>
      <c r="L16" s="102">
        <f>ROUND(M16*10000/SUM(K6:K14),0)</f>
        <v>2000</v>
      </c>
      <c r="M16" s="102">
        <f>SUM(M6:M14)</f>
        <v>3558</v>
      </c>
      <c r="N16" s="103">
        <f>ROUND(SUMPRODUCT(M6:M14,N6:N14)/M16,3)</f>
        <v>0.82</v>
      </c>
      <c r="O16" s="102">
        <f>SUM(O6:O14)</f>
        <v>0</v>
      </c>
      <c r="P16" s="102">
        <f>SUM(P6:P14)</f>
        <v>0</v>
      </c>
      <c r="Q16" s="104">
        <f>ROUND(SUMPRODUCT(Q6:Q13,K6:K13)/SUMPRODUCT((Q6:Q13&gt;0)*(K6:K13)),2)</f>
        <v>0.1</v>
      </c>
      <c r="R16" s="1258">
        <f ca="1">SUM(R6:R13)</f>
        <v>35092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ROUND(B28*K16/10000,0)</f>
        <v>356</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0.02</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0.02</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7.0000000000000007E-2</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523</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8" t="s">
        <v>2078</v>
      </c>
      <c r="B1" s="3049"/>
      <c r="C1" s="3049"/>
      <c r="D1" s="3049"/>
      <c r="E1" s="3049"/>
      <c r="F1" s="3049"/>
      <c r="G1" s="304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27">
      <c r="A3" s="415" t="s">
        <v>2081</v>
      </c>
      <c r="B3" s="1271" t="s">
        <v>2082</v>
      </c>
      <c r="C3" s="2372"/>
      <c r="D3" s="2373"/>
      <c r="E3" s="431" t="s">
        <v>2081</v>
      </c>
      <c r="F3" s="2374" t="s">
        <v>2083</v>
      </c>
      <c r="G3" s="2948" t="s">
        <v>3068</v>
      </c>
      <c r="H3" s="2370"/>
      <c r="I3" s="2370"/>
      <c r="J3" s="2370"/>
      <c r="K3" s="2370"/>
      <c r="L3" s="2370"/>
      <c r="M3" s="2370"/>
      <c r="N3" s="2370"/>
      <c r="O3" s="2370"/>
      <c r="P3" s="2370"/>
      <c r="Q3" s="2370"/>
      <c r="R3" s="2370"/>
    </row>
    <row r="4" spans="1:29" ht="15">
      <c r="A4" s="431"/>
      <c r="B4" s="1798" t="s">
        <v>2084</v>
      </c>
      <c r="C4" s="2375"/>
      <c r="D4" s="2373"/>
      <c r="E4" s="2376"/>
      <c r="F4" s="42" t="s">
        <v>2085</v>
      </c>
      <c r="G4" s="2949" t="s">
        <v>3069</v>
      </c>
      <c r="H4" s="2370"/>
      <c r="I4" s="2370"/>
      <c r="J4" s="2370"/>
      <c r="K4" s="2370"/>
      <c r="L4" s="2370"/>
      <c r="M4" s="2370"/>
      <c r="N4" s="2370"/>
      <c r="O4" s="2370"/>
      <c r="P4" s="2370"/>
      <c r="Q4" s="2370"/>
      <c r="R4" s="2370"/>
    </row>
    <row r="5" spans="1:29" ht="15">
      <c r="A5" s="431"/>
      <c r="B5" s="1798" t="s">
        <v>2086</v>
      </c>
      <c r="C5" s="2375"/>
      <c r="D5" s="2373"/>
      <c r="E5" s="2376"/>
      <c r="F5" s="1798" t="s">
        <v>2087</v>
      </c>
      <c r="G5" s="2949" t="s">
        <v>3069</v>
      </c>
      <c r="H5" s="2370"/>
      <c r="I5" s="2370"/>
      <c r="J5" s="2370"/>
      <c r="K5" s="2370"/>
      <c r="L5" s="2370"/>
      <c r="M5" s="2370"/>
      <c r="N5" s="2370"/>
      <c r="O5" s="2370"/>
      <c r="P5" s="2370"/>
      <c r="Q5" s="2370"/>
      <c r="R5" s="2370"/>
    </row>
    <row r="6" spans="1:29" ht="15">
      <c r="A6" s="431"/>
      <c r="B6" s="1798" t="s">
        <v>2088</v>
      </c>
      <c r="C6" s="2377"/>
      <c r="D6" s="2373"/>
      <c r="E6" s="2376"/>
      <c r="F6" s="1798" t="s">
        <v>2089</v>
      </c>
      <c r="G6" s="2949" t="s">
        <v>3071</v>
      </c>
      <c r="H6" s="2370"/>
      <c r="I6" s="2370"/>
      <c r="J6" s="2370"/>
      <c r="K6" s="2370"/>
      <c r="L6" s="2370"/>
      <c r="M6" s="2370"/>
      <c r="N6" s="2370"/>
      <c r="O6" s="2370"/>
      <c r="P6" s="2370"/>
      <c r="Q6" s="2370"/>
      <c r="R6" s="2370"/>
    </row>
    <row r="7" spans="1:29" ht="15.75" thickBot="1">
      <c r="A7" s="431"/>
      <c r="B7" s="1798" t="s">
        <v>2087</v>
      </c>
      <c r="C7" s="2377"/>
      <c r="D7" s="2378"/>
      <c r="E7" s="2379"/>
      <c r="F7" s="2380" t="s">
        <v>2090</v>
      </c>
      <c r="G7" s="2950" t="s">
        <v>3069</v>
      </c>
      <c r="H7" s="2370"/>
      <c r="I7" s="2370"/>
      <c r="J7" s="2370"/>
      <c r="K7" s="2370"/>
      <c r="L7" s="2370"/>
      <c r="M7" s="2370"/>
      <c r="N7" s="2370"/>
      <c r="O7" s="2370"/>
      <c r="P7" s="2370"/>
      <c r="Q7" s="2370"/>
      <c r="R7" s="2370"/>
    </row>
    <row r="8" spans="1:29" ht="15">
      <c r="A8" s="431"/>
      <c r="B8" s="1798" t="s">
        <v>2089</v>
      </c>
      <c r="C8" s="2377"/>
      <c r="D8" s="2378"/>
      <c r="E8" s="2378"/>
      <c r="F8" s="1136"/>
      <c r="G8" s="1136"/>
      <c r="H8" s="2370"/>
      <c r="I8" s="2370"/>
      <c r="J8" s="2370"/>
      <c r="K8" s="2370"/>
      <c r="L8" s="2370"/>
      <c r="M8" s="2370"/>
      <c r="N8" s="2370"/>
      <c r="O8" s="2370"/>
      <c r="P8" s="2370"/>
      <c r="Q8" s="2370"/>
      <c r="R8" s="2370"/>
    </row>
    <row r="9" spans="1:29" ht="15">
      <c r="A9" s="431"/>
      <c r="B9" s="1798" t="s">
        <v>2091</v>
      </c>
      <c r="C9" s="2375"/>
      <c r="D9" s="2373"/>
      <c r="E9" s="2378"/>
      <c r="F9" s="1136"/>
      <c r="G9" s="1136"/>
      <c r="H9" s="2370"/>
      <c r="I9" s="2370"/>
      <c r="J9" s="2370"/>
      <c r="K9" s="2370"/>
      <c r="L9" s="2370"/>
      <c r="M9" s="2370"/>
      <c r="N9" s="2370"/>
      <c r="O9" s="2370"/>
      <c r="P9" s="2370"/>
      <c r="Q9" s="2370"/>
      <c r="R9" s="2370"/>
    </row>
    <row r="10" spans="1:29" s="117" customFormat="1" ht="15.75" thickBot="1">
      <c r="A10" s="2381"/>
      <c r="B10" s="2382" t="s">
        <v>2092</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2093</v>
      </c>
      <c r="B13" s="2388"/>
      <c r="C13" s="2388"/>
      <c r="D13" s="2395"/>
      <c r="E13" s="2388"/>
      <c r="F13" s="2388"/>
      <c r="G13" s="2388"/>
    </row>
    <row r="14" spans="1:29" ht="15.75" thickBot="1">
      <c r="A14" s="2399"/>
      <c r="B14" s="2400"/>
      <c r="C14" s="2401" t="s">
        <v>2094</v>
      </c>
      <c r="D14" s="2373"/>
      <c r="E14" s="2402"/>
      <c r="F14" s="2402"/>
      <c r="G14" s="2367" t="s">
        <v>2095</v>
      </c>
    </row>
    <row r="15" spans="1:29" ht="27">
      <c r="A15" s="68" t="s">
        <v>2096</v>
      </c>
      <c r="B15" s="1270" t="s">
        <v>2082</v>
      </c>
      <c r="C15" s="2403">
        <f>C3</f>
        <v>0</v>
      </c>
      <c r="D15" s="2373"/>
      <c r="E15" s="2404" t="s">
        <v>2097</v>
      </c>
      <c r="F15" s="1270" t="s">
        <v>2098</v>
      </c>
      <c r="G15" s="135" t="str">
        <f>G3</f>
        <v>较好</v>
      </c>
    </row>
    <row r="16" spans="1:29" ht="15">
      <c r="A16" s="645"/>
      <c r="B16" s="2405" t="s">
        <v>2084</v>
      </c>
      <c r="C16" s="2406">
        <f>C4</f>
        <v>0</v>
      </c>
      <c r="D16" s="2373"/>
      <c r="E16" s="2407"/>
      <c r="F16" s="2408" t="s">
        <v>2085</v>
      </c>
      <c r="G16" s="136" t="str">
        <f>G4</f>
        <v>较好</v>
      </c>
    </row>
    <row r="17" spans="1:18" ht="15">
      <c r="A17" s="645"/>
      <c r="B17" s="2405" t="s">
        <v>2086</v>
      </c>
      <c r="C17" s="2406">
        <f>C5</f>
        <v>0</v>
      </c>
      <c r="D17" s="2378"/>
      <c r="E17" s="2407"/>
      <c r="F17" s="2408" t="s">
        <v>2099</v>
      </c>
      <c r="G17" s="2951" t="s">
        <v>3072</v>
      </c>
    </row>
    <row r="18" spans="1:18" ht="15">
      <c r="A18" s="645"/>
      <c r="B18" s="2408" t="s">
        <v>2088</v>
      </c>
      <c r="C18" s="136">
        <f>C6</f>
        <v>0</v>
      </c>
      <c r="D18" s="2378"/>
      <c r="E18" s="2407"/>
      <c r="F18" s="2408" t="s">
        <v>2090</v>
      </c>
      <c r="G18" s="136" t="str">
        <f>G7</f>
        <v>较好</v>
      </c>
    </row>
    <row r="19" spans="1:18" ht="15">
      <c r="A19" s="645"/>
      <c r="B19" s="2408" t="s">
        <v>2100</v>
      </c>
      <c r="C19" s="1572"/>
      <c r="D19" s="2373"/>
      <c r="E19" s="2407"/>
      <c r="F19" s="1798" t="s">
        <v>2087</v>
      </c>
      <c r="G19" s="136" t="str">
        <f>G5</f>
        <v>较好</v>
      </c>
    </row>
    <row r="20" spans="1:18" ht="15">
      <c r="A20" s="645"/>
      <c r="B20" s="2408" t="s">
        <v>2101</v>
      </c>
      <c r="C20" s="2406">
        <f>C9</f>
        <v>0</v>
      </c>
      <c r="D20" s="2378"/>
      <c r="E20" s="2407"/>
      <c r="F20" s="1798" t="s">
        <v>2102</v>
      </c>
      <c r="G20" s="136" t="str">
        <f>G6</f>
        <v>六通</v>
      </c>
    </row>
    <row r="21" spans="1:18" ht="15">
      <c r="A21" s="645"/>
      <c r="B21" s="1798" t="s">
        <v>2087</v>
      </c>
      <c r="C21" s="136">
        <f>C7</f>
        <v>0</v>
      </c>
      <c r="D21" s="2373"/>
      <c r="E21" s="2407"/>
      <c r="F21" s="2408" t="s">
        <v>2103</v>
      </c>
      <c r="G21" s="2409"/>
    </row>
    <row r="22" spans="1:18" ht="13.5" customHeight="1">
      <c r="A22" s="645"/>
      <c r="B22" s="1798" t="s">
        <v>2089</v>
      </c>
      <c r="C22" s="136">
        <f>C8</f>
        <v>0</v>
      </c>
      <c r="D22" s="2373"/>
      <c r="E22" s="2407"/>
      <c r="F22" s="2408" t="s">
        <v>2092</v>
      </c>
      <c r="G22" s="1572"/>
    </row>
    <row r="23" spans="1:18" s="2370" customFormat="1" ht="15.75" thickBot="1">
      <c r="A23" s="645"/>
      <c r="B23" s="2408" t="s">
        <v>2103</v>
      </c>
      <c r="C23" s="2409"/>
      <c r="D23" s="2396"/>
      <c r="E23" s="2410"/>
      <c r="F23" s="2411" t="s">
        <v>2104</v>
      </c>
      <c r="G23" s="2412"/>
      <c r="H23" s="2396"/>
      <c r="I23" s="2397"/>
      <c r="J23" s="2396"/>
      <c r="K23" s="2396"/>
      <c r="L23" s="2397"/>
      <c r="M23" s="2396"/>
      <c r="N23" s="2396"/>
      <c r="O23" s="2397"/>
      <c r="P23" s="2396"/>
      <c r="Q23" s="2396"/>
      <c r="R23" s="2398"/>
    </row>
    <row r="24" spans="1:18" s="2370" customFormat="1" ht="15.75" thickBot="1">
      <c r="A24" s="2413"/>
      <c r="B24" s="2411" t="s">
        <v>2105</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17787.509999999998</v>
      </c>
      <c r="C1" s="1745"/>
      <c r="D1" s="1745"/>
      <c r="E1" s="1745"/>
      <c r="F1" s="1745"/>
      <c r="G1" s="1743"/>
    </row>
    <row r="2" spans="1:10" ht="16.5">
      <c r="A2" s="1746" t="s">
        <v>1353</v>
      </c>
      <c r="B2" s="1746">
        <f>SUM(C14:C23)</f>
        <v>35092</v>
      </c>
      <c r="C2" s="1745"/>
      <c r="D2" s="1745"/>
      <c r="E2" s="1745"/>
      <c r="F2" s="1745"/>
      <c r="G2" s="1743"/>
    </row>
    <row r="3" spans="1:10" ht="16.5">
      <c r="A3" s="1746" t="s">
        <v>1362</v>
      </c>
      <c r="B3" s="1747">
        <f>项目基本情况!D3</f>
        <v>43217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9378</v>
      </c>
      <c r="C5" s="1746">
        <f ca="1">ROUND(B5*10000/$B$1,0)</f>
        <v>5272</v>
      </c>
      <c r="D5" s="1746">
        <f ca="1">ROUND(B5*10000/$B$2,0)</f>
        <v>2672</v>
      </c>
      <c r="E5" s="1745"/>
      <c r="F5" s="1743"/>
      <c r="G5" s="1743"/>
    </row>
    <row r="6" spans="1:10" ht="16.5">
      <c r="A6" s="1746" t="s">
        <v>1356</v>
      </c>
      <c r="B6" s="1746">
        <f ca="1">SUM(G14:G23)</f>
        <v>9378</v>
      </c>
      <c r="C6" s="1746">
        <f ca="1">ROUND(B6*10000/$B$1,0)</f>
        <v>5272</v>
      </c>
      <c r="D6" s="1746">
        <f ca="1">ROUND(B6*10000/$B$2,0)</f>
        <v>2672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17787.509999999998</v>
      </c>
      <c r="C14" s="1744">
        <f>结果表!C118</f>
        <v>35092</v>
      </c>
      <c r="D14" s="1744">
        <f ca="1">结果表!H118</f>
        <v>9378</v>
      </c>
      <c r="E14" s="1744">
        <f ca="1">ROUND(D14*10000/B14,0)</f>
        <v>5272</v>
      </c>
      <c r="F14" s="1744">
        <f ca="1">ROUND(D14*10000/C14,0)</f>
        <v>2672</v>
      </c>
      <c r="G14" s="1744">
        <f ca="1">结果表!D122</f>
        <v>9378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2106</v>
      </c>
      <c r="B1" s="2419"/>
      <c r="C1" s="2420"/>
      <c r="D1" s="2419"/>
      <c r="E1" s="2419"/>
      <c r="F1" s="2421" t="s">
        <v>2107</v>
      </c>
      <c r="G1" s="2073" t="s">
        <v>3053</v>
      </c>
      <c r="H1" s="2422" t="str">
        <f>IF(G1="现房","——","估价对象范围")</f>
        <v>——</v>
      </c>
      <c r="I1" s="2423" t="s">
        <v>3232</v>
      </c>
    </row>
    <row r="2" spans="1:12" ht="21.75" customHeight="1" thickBot="1">
      <c r="A2" s="3122" t="str">
        <f>项目基本情况!S2</f>
        <v>上海市山阳镇阳乐路188号房地产</v>
      </c>
      <c r="B2" s="3123"/>
      <c r="C2" s="3123"/>
      <c r="D2" s="3123"/>
      <c r="E2" s="3123"/>
      <c r="F2" s="3123"/>
      <c r="G2" s="3123"/>
      <c r="H2" s="3123"/>
      <c r="I2" s="3124"/>
    </row>
    <row r="3" spans="1:12" ht="12.75">
      <c r="A3" s="3125" t="s">
        <v>2108</v>
      </c>
      <c r="B3" s="3126"/>
      <c r="C3" s="3126"/>
      <c r="D3" s="3126"/>
      <c r="E3" s="3126"/>
      <c r="F3" s="3126"/>
      <c r="G3" s="3126"/>
      <c r="H3" s="3126"/>
      <c r="I3" s="3126"/>
    </row>
    <row r="4" spans="1:12" ht="14.25">
      <c r="A4" s="2426" t="s">
        <v>2109</v>
      </c>
      <c r="B4" s="2427" t="s">
        <v>2110</v>
      </c>
      <c r="C4" s="2428" t="s">
        <v>3233</v>
      </c>
      <c r="D4" s="2428" t="s">
        <v>3066</v>
      </c>
      <c r="E4" s="3106" t="s">
        <v>2111</v>
      </c>
      <c r="F4" s="3119"/>
      <c r="G4" s="3119"/>
      <c r="H4" s="3119"/>
      <c r="I4" s="310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7" t="s">
        <v>2112</v>
      </c>
      <c r="B5" s="3023">
        <v>25</v>
      </c>
      <c r="C5" s="3127"/>
      <c r="D5" s="3115"/>
      <c r="E5" s="140" t="s">
        <v>2113</v>
      </c>
      <c r="F5" s="2430"/>
      <c r="G5" s="2430"/>
      <c r="H5" s="2430"/>
      <c r="I5" s="1834"/>
    </row>
    <row r="6" spans="1:12" ht="12.75">
      <c r="A6" s="3097"/>
      <c r="B6" s="3023"/>
      <c r="C6" s="3129"/>
      <c r="D6" s="3115"/>
      <c r="E6" s="140" t="s">
        <v>2114</v>
      </c>
      <c r="F6" s="2430"/>
      <c r="G6" s="2430"/>
      <c r="H6" s="2430"/>
      <c r="I6" s="1834"/>
    </row>
    <row r="7" spans="1:12" ht="12.75">
      <c r="A7" s="3097"/>
      <c r="B7" s="3023"/>
      <c r="C7" s="3128"/>
      <c r="D7" s="3115"/>
      <c r="E7" s="140" t="s">
        <v>2115</v>
      </c>
      <c r="F7" s="2430"/>
      <c r="G7" s="2430"/>
      <c r="H7" s="2430"/>
      <c r="I7" s="1834"/>
    </row>
    <row r="8" spans="1:12" ht="12.75">
      <c r="A8" s="3097" t="s">
        <v>2116</v>
      </c>
      <c r="B8" s="3023">
        <v>15</v>
      </c>
      <c r="C8" s="3127"/>
      <c r="D8" s="3115"/>
      <c r="E8" s="140" t="s">
        <v>2117</v>
      </c>
      <c r="F8" s="2430"/>
      <c r="G8" s="2430"/>
      <c r="H8" s="2430"/>
      <c r="I8" s="1834"/>
    </row>
    <row r="9" spans="1:12" ht="12.75">
      <c r="A9" s="3097"/>
      <c r="B9" s="3023"/>
      <c r="C9" s="3128"/>
      <c r="D9" s="3115"/>
      <c r="E9" s="140" t="s">
        <v>2118</v>
      </c>
      <c r="F9" s="2430"/>
      <c r="G9" s="2430"/>
      <c r="H9" s="2430"/>
      <c r="I9" s="1834"/>
    </row>
    <row r="10" spans="1:12" ht="12.75">
      <c r="A10" s="3097" t="s">
        <v>2119</v>
      </c>
      <c r="B10" s="3023">
        <v>15</v>
      </c>
      <c r="C10" s="3127"/>
      <c r="D10" s="3115"/>
      <c r="E10" s="140" t="s">
        <v>2120</v>
      </c>
      <c r="F10" s="2430"/>
      <c r="G10" s="2430"/>
      <c r="H10" s="2430"/>
      <c r="I10" s="1834"/>
    </row>
    <row r="11" spans="1:12" ht="12.75">
      <c r="A11" s="3097"/>
      <c r="B11" s="3023"/>
      <c r="C11" s="3128"/>
      <c r="D11" s="3115"/>
      <c r="E11" s="140" t="s">
        <v>2121</v>
      </c>
      <c r="F11" s="2430"/>
      <c r="G11" s="2430"/>
      <c r="H11" s="2430"/>
      <c r="I11" s="1834"/>
    </row>
    <row r="12" spans="1:12" ht="12.75">
      <c r="A12" s="3097" t="s">
        <v>2122</v>
      </c>
      <c r="B12" s="3023">
        <v>15</v>
      </c>
      <c r="C12" s="3127"/>
      <c r="D12" s="3115"/>
      <c r="E12" s="140" t="s">
        <v>2123</v>
      </c>
      <c r="F12" s="2430"/>
      <c r="G12" s="2430"/>
      <c r="H12" s="2430"/>
      <c r="I12" s="1834"/>
    </row>
    <row r="13" spans="1:12" ht="12.75">
      <c r="A13" s="3097"/>
      <c r="B13" s="3023"/>
      <c r="C13" s="3128"/>
      <c r="D13" s="3115"/>
      <c r="E13" s="140" t="s">
        <v>2124</v>
      </c>
      <c r="F13" s="2430"/>
      <c r="G13" s="2430"/>
      <c r="H13" s="2430"/>
      <c r="I13" s="1834"/>
    </row>
    <row r="14" spans="1:12" ht="12.75">
      <c r="A14" s="3097" t="s">
        <v>2125</v>
      </c>
      <c r="B14" s="3023">
        <v>30</v>
      </c>
      <c r="C14" s="3127">
        <v>5</v>
      </c>
      <c r="D14" s="3115">
        <v>5</v>
      </c>
      <c r="E14" s="140" t="s">
        <v>2126</v>
      </c>
      <c r="F14" s="2430"/>
      <c r="G14" s="2430"/>
      <c r="H14" s="2430"/>
      <c r="I14" s="1834"/>
    </row>
    <row r="15" spans="1:12" ht="12.75">
      <c r="A15" s="3097"/>
      <c r="B15" s="3023"/>
      <c r="C15" s="3129"/>
      <c r="D15" s="3115"/>
      <c r="E15" s="140" t="s">
        <v>2127</v>
      </c>
      <c r="F15" s="2430"/>
      <c r="G15" s="2430"/>
      <c r="H15" s="2430"/>
      <c r="I15" s="1834"/>
    </row>
    <row r="16" spans="1:12" ht="12.75">
      <c r="A16" s="3097"/>
      <c r="B16" s="3023"/>
      <c r="C16" s="3128"/>
      <c r="D16" s="3115"/>
      <c r="E16" s="140" t="s">
        <v>2128</v>
      </c>
      <c r="F16" s="2430"/>
      <c r="G16" s="2430"/>
      <c r="H16" s="2430"/>
      <c r="I16" s="1834"/>
    </row>
    <row r="17" spans="1:35" ht="15">
      <c r="A17" s="2431" t="s">
        <v>2129</v>
      </c>
      <c r="B17" s="64"/>
      <c r="C17" s="141">
        <f>SUM(C5:C16)</f>
        <v>5</v>
      </c>
      <c r="D17" s="141">
        <f>SUM(D5:D16)</f>
        <v>5</v>
      </c>
      <c r="E17" s="138"/>
      <c r="F17" s="138"/>
      <c r="G17" s="138"/>
      <c r="H17" s="138"/>
      <c r="I17" s="138"/>
      <c r="K17" s="2429"/>
      <c r="L17" s="2432" t="s">
        <v>2130</v>
      </c>
      <c r="M17" s="2432" t="s">
        <v>2131</v>
      </c>
    </row>
    <row r="18" spans="1:35" ht="15.75" thickBot="1">
      <c r="A18" s="2433" t="s">
        <v>2132</v>
      </c>
      <c r="B18" s="2434"/>
      <c r="C18" s="142">
        <f>ROUND(C17/SUM(C17:D17),2)</f>
        <v>0.5</v>
      </c>
      <c r="D18" s="142">
        <f>1-C18</f>
        <v>0.5</v>
      </c>
      <c r="E18" s="138"/>
      <c r="F18" s="138"/>
      <c r="G18" s="138"/>
      <c r="H18" s="138"/>
      <c r="I18" s="138"/>
      <c r="K18" s="2429" t="s">
        <v>2133</v>
      </c>
      <c r="L18" s="2429">
        <f>IF(C1="",'数据-汇总表'!E3,SUMIF(项目类型,C1,'数据-汇总表'!E17:E26)+SUMIF(项目类型,C1,'数据-汇总表'!I17:I26))</f>
        <v>17787.509999999998</v>
      </c>
      <c r="M18" s="2429">
        <f>IF(C1="",'数据-汇总表'!E3,SUMIF(项目类型,C1,'数据-汇总表'!E17:E26))</f>
        <v>17787.509999999998</v>
      </c>
    </row>
    <row r="19" spans="1:35" ht="15">
      <c r="A19" s="2435" t="s">
        <v>2134</v>
      </c>
      <c r="B19" s="2436" t="s">
        <v>2135</v>
      </c>
      <c r="C19" s="143">
        <f ca="1">SUMIF(INDIRECT("'"&amp;C4&amp;"'"&amp;"!A:A"),结果表!B19,INDIRECT("'"&amp;C4&amp;"'"&amp;"!B:B"))</f>
        <v>9539</v>
      </c>
      <c r="D19" s="144">
        <f ca="1">SUMIF(INDIRECT("'"&amp;D4&amp;"'"&amp;"!A:A"),结果表!B19,INDIRECT("'"&amp;D4&amp;"'"&amp;"!B:B"))</f>
        <v>9216</v>
      </c>
      <c r="E19" s="2435" t="s">
        <v>2136</v>
      </c>
      <c r="F19" s="2436" t="s">
        <v>2135</v>
      </c>
      <c r="G19" s="145">
        <f ca="1">ROUND(C19*$C$18+D19*$D$18,0)</f>
        <v>9378</v>
      </c>
      <c r="H19" s="2437" t="s">
        <v>2137</v>
      </c>
      <c r="I19" s="138"/>
      <c r="K19" s="2429" t="s">
        <v>2138</v>
      </c>
      <c r="L19" s="2429">
        <f>IF(C1="",'数据-汇总表'!D3,SUMIF(项目类型,C1,'数据-汇总表'!D17:D26)+SUMIF(项目类型,C1,'数据-汇总表'!H17:H27))</f>
        <v>35092</v>
      </c>
      <c r="M19" s="2429">
        <f>IF(C1="",'数据-汇总表'!D3,SUMIF(项目类型,C1,'数据-汇总表'!D17:D26))</f>
        <v>35092</v>
      </c>
    </row>
    <row r="20" spans="1:35" ht="15">
      <c r="A20" s="2438"/>
      <c r="B20" s="1250" t="s">
        <v>2139</v>
      </c>
      <c r="C20" s="146">
        <f ca="1">SUMIF(INDIRECT("'"&amp;C4&amp;"'"&amp;"!A:A"),结果表!B20,INDIRECT("'"&amp;C4&amp;"'"&amp;"!B:B"))</f>
        <v>5363</v>
      </c>
      <c r="D20" s="147">
        <f ca="1">SUMIF(INDIRECT("'"&amp;D4&amp;"'"&amp;"!A:A"),结果表!B20,INDIRECT("'"&amp;D4&amp;"'"&amp;"!B:B"))</f>
        <v>5181</v>
      </c>
      <c r="E20" s="2438"/>
      <c r="F20" s="1250" t="s">
        <v>2139</v>
      </c>
      <c r="G20" s="148">
        <f ca="1">ROUND(C20*$C$18+D20*$D$18,0)</f>
        <v>5272</v>
      </c>
      <c r="H20" s="983" t="s">
        <v>2140</v>
      </c>
      <c r="I20" s="138"/>
    </row>
    <row r="21" spans="1:35" ht="15" customHeight="1" thickBot="1">
      <c r="A21" s="1003"/>
      <c r="B21" s="2439" t="s">
        <v>2141</v>
      </c>
      <c r="C21" s="789">
        <f ca="1">ROUND(C19*10000/L19,0)</f>
        <v>2718</v>
      </c>
      <c r="D21" s="790">
        <f ca="1">ROUND(D19*10000/L19,0)</f>
        <v>2626</v>
      </c>
      <c r="E21" s="1003"/>
      <c r="F21" s="2439" t="s">
        <v>2141</v>
      </c>
      <c r="G21" s="149">
        <f ca="1">ROUND(G19*10000/L19,0)</f>
        <v>2672</v>
      </c>
      <c r="H21" s="2440" t="s">
        <v>2140</v>
      </c>
      <c r="I21" s="138"/>
    </row>
    <row r="22" spans="1:35" ht="15" thickBot="1">
      <c r="A22" s="2283" t="s">
        <v>2142</v>
      </c>
      <c r="B22" s="2441"/>
      <c r="C22" s="2442"/>
      <c r="D22" s="791">
        <f ca="1">IF(C19&lt;D19,D19/C19-1,C19/D19-1)</f>
        <v>3.504774305555558E-2</v>
      </c>
      <c r="E22" s="138"/>
      <c r="F22" s="138"/>
      <c r="G22" s="138"/>
      <c r="H22" s="138"/>
      <c r="I22" s="138"/>
    </row>
    <row r="23" spans="1:35" ht="13.5" thickBot="1">
      <c r="A23" s="2419"/>
      <c r="B23" s="2419"/>
      <c r="C23" s="2419"/>
      <c r="D23" s="2419"/>
      <c r="E23" s="138"/>
      <c r="F23" s="138"/>
      <c r="G23" s="138"/>
      <c r="H23" s="138"/>
      <c r="I23" s="138"/>
    </row>
    <row r="24" spans="1:35" ht="14.25">
      <c r="A24" s="3136" t="s">
        <v>2143</v>
      </c>
      <c r="B24" s="2436" t="s">
        <v>2135</v>
      </c>
      <c r="C24" s="145">
        <f>IF(B30=0,0,D30)</f>
        <v>0</v>
      </c>
      <c r="D24" s="2443"/>
      <c r="E24" s="138"/>
      <c r="F24" s="138"/>
      <c r="G24" s="138"/>
      <c r="H24" s="138"/>
      <c r="I24" s="138"/>
    </row>
    <row r="25" spans="1:35" ht="14.25">
      <c r="A25" s="3137"/>
      <c r="B25" s="1250" t="s">
        <v>2139</v>
      </c>
      <c r="C25" s="150">
        <f>IF(B30=0,0,C30)</f>
        <v>0</v>
      </c>
      <c r="D25" s="2444"/>
      <c r="E25" s="138"/>
      <c r="F25" s="138"/>
      <c r="G25" s="138"/>
      <c r="H25" s="138"/>
      <c r="I25" s="138"/>
    </row>
    <row r="26" spans="1:35" ht="13.5" customHeight="1">
      <c r="A26" s="2445" t="s">
        <v>2144</v>
      </c>
      <c r="B26" s="151" t="s">
        <v>2145</v>
      </c>
      <c r="C26" s="151" t="s">
        <v>2146</v>
      </c>
      <c r="D26" s="152" t="s">
        <v>2147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2148</v>
      </c>
      <c r="B30" s="151"/>
      <c r="C30" s="151"/>
      <c r="D30" s="151"/>
      <c r="E30" s="2928" t="s">
        <v>3026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2149</v>
      </c>
      <c r="B32" s="2449"/>
      <c r="C32" s="153">
        <f ca="1">IF(D32="总价",G19-C24,G20-C25)</f>
        <v>9378</v>
      </c>
      <c r="D32" s="2450" t="s">
        <v>2150</v>
      </c>
      <c r="E32" s="138"/>
      <c r="F32" s="138"/>
      <c r="G32" s="138"/>
      <c r="H32" s="138"/>
      <c r="I32" s="138"/>
    </row>
    <row r="33" spans="1:15" ht="15">
      <c r="A33" s="960" t="s">
        <v>2151</v>
      </c>
      <c r="B33" s="2451"/>
      <c r="C33" s="2452" t="s">
        <v>3234</v>
      </c>
      <c r="D33" s="2453" t="s">
        <v>3233</v>
      </c>
      <c r="E33" s="2454" t="s">
        <v>2152</v>
      </c>
      <c r="F33" s="2455" t="str">
        <f>IF(D32="楼面单价","取值（单价）","取值（总价）")</f>
        <v>取值（总价）</v>
      </c>
      <c r="G33" s="138"/>
      <c r="H33" s="138"/>
      <c r="I33" s="138"/>
    </row>
    <row r="34" spans="1:15" ht="15">
      <c r="A34" s="2456"/>
      <c r="B34" s="2457" t="s">
        <v>2153</v>
      </c>
      <c r="C34" s="157">
        <f ca="1">IF(C33="自定义",F34,C32-C35)</f>
        <v>5308</v>
      </c>
      <c r="D34" s="1058">
        <f ca="1">IF(C33="自定义",ROUND(C34/C32,3),IF(C33="收益比率",SUMIF(INDIRECT("'"&amp;D33&amp;"'"&amp;"!b:b"),"土地收益比率",INDIRECT("'"&amp;D33&amp;"'"&amp;"!c:c")),SUMIF(INDIRECT("'"&amp;D33&amp;"'"&amp;"!b:b"),"土地成本比率",INDIRECT("'"&amp;D33&amp;"'"&amp;"!c:c"))))</f>
        <v>0.56600000000000006</v>
      </c>
      <c r="E34" s="2458" t="s">
        <v>2154</v>
      </c>
      <c r="F34" s="1739"/>
      <c r="G34" s="138"/>
      <c r="H34" s="138"/>
      <c r="I34" s="138"/>
    </row>
    <row r="35" spans="1:15" ht="15.75" thickBot="1">
      <c r="A35" s="2459"/>
      <c r="B35" s="2460" t="s">
        <v>2155</v>
      </c>
      <c r="C35" s="1444">
        <f ca="1">IF(C33="自定义",F35,ROUND(C32*D35,0))</f>
        <v>4070</v>
      </c>
      <c r="D35" s="1445">
        <f ca="1">IF(C33="自定义",ROUND(C35/C32,3),IF(C33="收益比率",SUMIF(INDIRECT("'"&amp;D33&amp;"'"&amp;"!b:b"),"建筑物收益比率",INDIRECT("'"&amp;D33&amp;"'"&amp;"!c:c")),SUMIF(INDIRECT("'"&amp;D33&amp;"'"&amp;"!b:b"),"建筑物成本比率",INDIRECT("'"&amp;D33&amp;"'"&amp;"!c:c"))))</f>
        <v>0.434</v>
      </c>
      <c r="E35" s="2461" t="s">
        <v>2156</v>
      </c>
      <c r="F35" s="163"/>
      <c r="G35" s="138"/>
      <c r="H35" s="138"/>
      <c r="I35" s="138"/>
    </row>
    <row r="36" spans="1:15" ht="15.75" thickBot="1">
      <c r="A36" s="3116" t="s">
        <v>2157</v>
      </c>
      <c r="B36" s="2462" t="s">
        <v>2158</v>
      </c>
      <c r="C36" s="154"/>
      <c r="D36" s="2463"/>
      <c r="E36" s="2464"/>
      <c r="F36" s="2465"/>
      <c r="G36" s="138"/>
      <c r="H36" s="138"/>
      <c r="I36" s="138"/>
    </row>
    <row r="37" spans="1:15" ht="15.75" thickBot="1">
      <c r="A37" s="3117"/>
      <c r="B37" s="2269" t="s">
        <v>2159</v>
      </c>
      <c r="C37" s="156"/>
      <c r="D37" s="1395"/>
      <c r="E37" s="1395"/>
      <c r="F37" s="2465"/>
      <c r="G37" s="138"/>
      <c r="H37" s="138"/>
      <c r="I37" s="138"/>
    </row>
    <row r="38" spans="1:15" ht="15.75" thickBot="1">
      <c r="A38" s="3118"/>
      <c r="B38" s="2466" t="s">
        <v>2160</v>
      </c>
      <c r="C38" s="727"/>
      <c r="D38" s="2467" t="s">
        <v>2161</v>
      </c>
      <c r="E38" s="1395"/>
      <c r="F38" s="2465"/>
      <c r="G38" s="138"/>
      <c r="H38" s="138"/>
      <c r="I38" s="138"/>
    </row>
    <row r="39" spans="1:15" ht="15">
      <c r="A39" s="2438" t="s">
        <v>2162</v>
      </c>
      <c r="B39" s="2468" t="s">
        <v>2163</v>
      </c>
      <c r="C39" s="2469" t="s">
        <v>2164</v>
      </c>
      <c r="D39" s="2469" t="s">
        <v>2165</v>
      </c>
      <c r="E39" s="2470" t="s">
        <v>2166</v>
      </c>
      <c r="F39" s="2465"/>
      <c r="G39" s="138"/>
      <c r="H39" s="138"/>
      <c r="I39" s="138"/>
    </row>
    <row r="40" spans="1:15" ht="14.25">
      <c r="A40" s="2471" t="s">
        <v>2167</v>
      </c>
      <c r="B40" s="158"/>
      <c r="C40" s="159"/>
      <c r="D40" s="159"/>
      <c r="E40" s="160"/>
      <c r="F40" s="2465"/>
      <c r="G40" s="138"/>
      <c r="H40" s="138"/>
      <c r="I40" s="138"/>
    </row>
    <row r="41" spans="1:15" ht="14.25">
      <c r="A41" s="2471" t="s">
        <v>2168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2169</v>
      </c>
      <c r="B44" s="2476"/>
      <c r="C44" s="2476"/>
      <c r="D44" s="2477"/>
      <c r="E44" s="2477"/>
      <c r="F44" s="2478"/>
      <c r="G44" s="2478"/>
      <c r="H44" s="2478"/>
      <c r="I44" s="2478"/>
      <c r="J44" s="2479" t="s">
        <v>2170</v>
      </c>
      <c r="K44" s="2480"/>
      <c r="L44" s="2480"/>
      <c r="M44" s="2480"/>
      <c r="N44" s="2480"/>
      <c r="O44" s="2480"/>
    </row>
    <row r="45" spans="1:15" ht="14.25" customHeight="1" thickBot="1">
      <c r="A45" s="3133" t="s">
        <v>2171</v>
      </c>
      <c r="B45" s="3134"/>
      <c r="C45" s="3135"/>
      <c r="D45" s="164">
        <f ca="1">ROUND(H101*F45,0)</f>
        <v>9378</v>
      </c>
      <c r="E45" s="165" t="s">
        <v>2172</v>
      </c>
      <c r="F45" s="166">
        <v>1</v>
      </c>
      <c r="G45" s="167" t="s">
        <v>2173</v>
      </c>
      <c r="H45" s="138"/>
      <c r="I45" s="138"/>
      <c r="J45" s="3052" t="s">
        <v>2174</v>
      </c>
      <c r="K45" s="3052"/>
      <c r="L45" s="3052"/>
      <c r="M45" s="3052"/>
      <c r="N45" s="3052"/>
      <c r="O45" s="3052"/>
    </row>
    <row r="46" spans="1:15" ht="14.25" customHeight="1">
      <c r="A46" s="3130" t="s">
        <v>2175</v>
      </c>
      <c r="B46" s="3131"/>
      <c r="C46" s="3131"/>
      <c r="D46" s="3131"/>
      <c r="E46" s="3131"/>
      <c r="F46" s="3131"/>
      <c r="G46" s="3132"/>
      <c r="H46" s="2481"/>
      <c r="I46" s="168"/>
      <c r="J46" s="1812">
        <v>1</v>
      </c>
      <c r="K46" s="3052" t="s">
        <v>2176</v>
      </c>
      <c r="L46" s="3052"/>
      <c r="M46" s="3053"/>
      <c r="N46" s="3053"/>
      <c r="O46" s="3053"/>
    </row>
    <row r="47" spans="1:15" ht="12" customHeight="1">
      <c r="A47" s="169" t="s">
        <v>2177</v>
      </c>
      <c r="B47" s="170"/>
      <c r="C47" s="171"/>
      <c r="D47" s="172" t="s">
        <v>2178</v>
      </c>
      <c r="E47" s="24" t="s">
        <v>2179</v>
      </c>
      <c r="F47" s="173" t="s">
        <v>2180</v>
      </c>
      <c r="G47" s="174" t="s">
        <v>2181</v>
      </c>
      <c r="H47" s="2481"/>
      <c r="I47" s="168"/>
      <c r="J47" s="1812">
        <v>2</v>
      </c>
      <c r="K47" s="3052" t="s">
        <v>2182</v>
      </c>
      <c r="L47" s="3052"/>
      <c r="M47" s="3054">
        <f>'数据-取费表'!B2</f>
        <v>43217</v>
      </c>
      <c r="N47" s="3054"/>
      <c r="O47" s="3054"/>
    </row>
    <row r="48" spans="1:15" ht="25.5">
      <c r="A48" s="3120" t="s">
        <v>2183</v>
      </c>
      <c r="B48" s="3121"/>
      <c r="C48" s="3121"/>
      <c r="D48" s="140">
        <f>IF(H48="情况1",0,IF(H48="情况2",D52,IF(H48="情况3",D53,IF(H48="情况4",D54))))</f>
        <v>0</v>
      </c>
      <c r="E48" s="1801" t="str">
        <f>IF(H48="情况4","(销售额-原购置价)×税（费）率","销售额×税（费）率")</f>
        <v>销售额×税（费）率</v>
      </c>
      <c r="F48" s="175" t="str">
        <f>IF(H48="情况1","免征",'数据-取费表'!B41)</f>
        <v>免征</v>
      </c>
      <c r="G48" s="2482" t="s">
        <v>2184</v>
      </c>
      <c r="H48" s="2483" t="s">
        <v>2185</v>
      </c>
      <c r="I48" s="2481"/>
      <c r="J48" s="1812">
        <v>3</v>
      </c>
      <c r="K48" s="3052" t="s">
        <v>2186</v>
      </c>
      <c r="L48" s="3052"/>
      <c r="M48" s="3055">
        <f ca="1">H101</f>
        <v>9378</v>
      </c>
      <c r="N48" s="3055"/>
      <c r="O48" s="3055"/>
    </row>
    <row r="49" spans="1:35" ht="25.5" customHeight="1">
      <c r="A49" s="176" t="s">
        <v>2187</v>
      </c>
      <c r="B49" s="3100" t="s">
        <v>2188</v>
      </c>
      <c r="C49" s="3100"/>
      <c r="D49" s="177">
        <v>0</v>
      </c>
      <c r="E49" s="23" t="s">
        <v>2189</v>
      </c>
      <c r="F49" s="28" t="s">
        <v>34</v>
      </c>
      <c r="G49" s="3081"/>
      <c r="H49" s="138"/>
      <c r="I49" s="2484"/>
      <c r="J49" s="1812">
        <v>4</v>
      </c>
      <c r="K49" s="3052" t="str">
        <f>IF(项目基本情况!E8="房地产抵押价值","房地产抵押价值","抵押担保权已注销时的房地产抵押价值")</f>
        <v>房地产抵押价值</v>
      </c>
      <c r="L49" s="3052"/>
      <c r="M49" s="3055">
        <f ca="1">IF(项目基本情况!E8="房地产抵押价值",H107,H109)</f>
        <v>9378</v>
      </c>
      <c r="N49" s="3055"/>
      <c r="O49" s="3055"/>
    </row>
    <row r="50" spans="1:35" ht="25.5" customHeight="1">
      <c r="A50" s="178"/>
      <c r="B50" s="3100" t="s">
        <v>2190</v>
      </c>
      <c r="C50" s="3100"/>
      <c r="D50" s="179"/>
      <c r="E50" s="31"/>
      <c r="F50" s="180"/>
      <c r="G50" s="3082"/>
      <c r="H50" s="138"/>
      <c r="I50" s="2484"/>
      <c r="J50" s="3052" t="s">
        <v>2191</v>
      </c>
      <c r="K50" s="3052"/>
      <c r="L50" s="3052"/>
      <c r="M50" s="3052"/>
      <c r="N50" s="3052"/>
      <c r="O50" s="3052"/>
    </row>
    <row r="51" spans="1:35" ht="12" customHeight="1">
      <c r="A51" s="181"/>
      <c r="B51" s="3100" t="s">
        <v>2192</v>
      </c>
      <c r="C51" s="3100"/>
      <c r="D51" s="182"/>
      <c r="E51" s="30"/>
      <c r="F51" s="180"/>
      <c r="G51" s="3083"/>
      <c r="H51" s="138"/>
      <c r="I51" s="2484"/>
      <c r="J51" s="2485" t="s">
        <v>2193</v>
      </c>
      <c r="K51" s="3052" t="s">
        <v>2194</v>
      </c>
      <c r="L51" s="3052"/>
      <c r="M51" s="2485" t="s">
        <v>2195</v>
      </c>
      <c r="N51" s="2485" t="s">
        <v>2196</v>
      </c>
      <c r="O51" s="2485" t="s">
        <v>2197</v>
      </c>
    </row>
    <row r="52" spans="1:35" ht="24" customHeight="1">
      <c r="A52" s="183" t="s">
        <v>2198</v>
      </c>
      <c r="B52" s="3100" t="s">
        <v>2199</v>
      </c>
      <c r="C52" s="3100"/>
      <c r="D52" s="182">
        <f ca="1">ROUND(D45*'数据-取费表'!B41/(1+'数据-取费表'!C42),0)</f>
        <v>500</v>
      </c>
      <c r="E52" s="11" t="s">
        <v>2200</v>
      </c>
      <c r="F52" s="184">
        <f>'数据-取费表'!B41</f>
        <v>5.6000000000000001E-2</v>
      </c>
      <c r="G52" s="2486"/>
      <c r="H52" s="138"/>
      <c r="I52" s="2484"/>
      <c r="J52" s="1812">
        <v>1</v>
      </c>
      <c r="K52" s="3075" t="s">
        <v>2201</v>
      </c>
      <c r="L52" s="3075"/>
      <c r="M52" s="1754">
        <f>D48</f>
        <v>0</v>
      </c>
      <c r="N52" s="1812" t="str">
        <f>E48</f>
        <v>销售额×税（费）率</v>
      </c>
      <c r="O52" s="1755" t="str">
        <f>F48</f>
        <v>免征</v>
      </c>
    </row>
    <row r="53" spans="1:35" ht="12" customHeight="1">
      <c r="A53" s="183" t="s">
        <v>2202</v>
      </c>
      <c r="B53" s="3101" t="s">
        <v>2203</v>
      </c>
      <c r="C53" s="3102"/>
      <c r="D53" s="182">
        <f ca="1">ROUND(D45*'数据-取费表'!B41/(1+'数据-取费表'!C42),0)</f>
        <v>500</v>
      </c>
      <c r="E53" s="11" t="s">
        <v>2200</v>
      </c>
      <c r="F53" s="184">
        <f>'数据-取费表'!B41</f>
        <v>5.6000000000000001E-2</v>
      </c>
      <c r="G53" s="2486"/>
      <c r="H53" s="138"/>
      <c r="I53" s="2484"/>
      <c r="J53" s="1812">
        <v>2</v>
      </c>
      <c r="K53" s="3075" t="s">
        <v>2204</v>
      </c>
      <c r="L53" s="3075"/>
      <c r="M53" s="1754">
        <f t="shared" ref="M53:O54" ca="1" si="0">D55</f>
        <v>5</v>
      </c>
      <c r="N53" s="1812" t="str">
        <f t="shared" si="0"/>
        <v>销售额×税（费）率</v>
      </c>
      <c r="O53" s="1755">
        <f t="shared" si="0"/>
        <v>5.0000000000000001E-4</v>
      </c>
    </row>
    <row r="54" spans="1:35" ht="12" customHeight="1">
      <c r="A54" s="183" t="s">
        <v>2205</v>
      </c>
      <c r="B54" s="3101" t="s">
        <v>2206</v>
      </c>
      <c r="C54" s="3102"/>
      <c r="D54" s="182">
        <f ca="1">C68</f>
        <v>500</v>
      </c>
      <c r="E54" s="30" t="s">
        <v>2207</v>
      </c>
      <c r="F54" s="184">
        <f>'数据-取费表'!B41</f>
        <v>5.6000000000000001E-2</v>
      </c>
      <c r="G54" s="2486"/>
      <c r="H54" s="2487"/>
      <c r="I54" s="2484"/>
      <c r="J54" s="1812">
        <v>3</v>
      </c>
      <c r="K54" s="3075" t="s">
        <v>2208</v>
      </c>
      <c r="L54" s="3075"/>
      <c r="M54" s="1754">
        <f t="shared" ca="1" si="0"/>
        <v>5307</v>
      </c>
      <c r="N54" s="1812" t="str">
        <f t="shared" si="0"/>
        <v>增值额×税（费）率</v>
      </c>
      <c r="O54" s="1756" t="str">
        <f t="shared" si="0"/>
        <v>——</v>
      </c>
    </row>
    <row r="55" spans="1:35" ht="24" customHeight="1">
      <c r="A55" s="3139" t="s">
        <v>2209</v>
      </c>
      <c r="B55" s="3121"/>
      <c r="C55" s="3121"/>
      <c r="D55" s="185">
        <f ca="1">IF(H55="个人住宅",0,ROUND(D45*I55,0))</f>
        <v>5</v>
      </c>
      <c r="E55" s="11" t="s">
        <v>2210</v>
      </c>
      <c r="F55" s="184">
        <f>IF(H55="正常",I55,"免征")</f>
        <v>5.0000000000000001E-4</v>
      </c>
      <c r="G55" s="2486"/>
      <c r="H55" s="2483" t="s">
        <v>2211</v>
      </c>
      <c r="I55" s="186">
        <f>'数据-取费表'!B49</f>
        <v>5.0000000000000001E-4</v>
      </c>
      <c r="J55" s="1812" t="str">
        <f>IF(H59="非个人房产","",4)</f>
        <v/>
      </c>
      <c r="K55" s="3075" t="str">
        <f>IF(H59="非个人房产","——","个人所得税")</f>
        <v>——</v>
      </c>
      <c r="L55" s="3075"/>
      <c r="M55" s="1757" t="str">
        <f>D59</f>
        <v>——</v>
      </c>
      <c r="N55" s="1810" t="str">
        <f>E59</f>
        <v>——</v>
      </c>
      <c r="O55" s="1758" t="str">
        <f>F59</f>
        <v>——</v>
      </c>
    </row>
    <row r="56" spans="1:35" ht="24.75">
      <c r="A56" s="3139" t="s">
        <v>2212</v>
      </c>
      <c r="B56" s="3121"/>
      <c r="C56" s="3121"/>
      <c r="D56" s="185">
        <f ca="1">IF(H56="个人住宅",D57,D58)</f>
        <v>5307</v>
      </c>
      <c r="E56" s="11" t="s">
        <v>2213</v>
      </c>
      <c r="F56" s="184" t="str">
        <f>IF(H56="正常",F58,"免征")</f>
        <v>——</v>
      </c>
      <c r="G56" s="2488" t="s">
        <v>2214</v>
      </c>
      <c r="H56" s="2489" t="s">
        <v>2211</v>
      </c>
      <c r="I56" s="2490"/>
      <c r="J56" s="1812" t="str">
        <f>IF(项目基本情况!K6="上海银行",IF(J55="",4,J55+1),"")</f>
        <v/>
      </c>
      <c r="K56" s="3058" t="str">
        <f>IF(项目基本情况!K6="上海银行","其他处置费用","")</f>
        <v/>
      </c>
      <c r="L56" s="3059"/>
      <c r="M56" s="1754" t="str">
        <f>IF(项目基本情况!K6="上海银行",M69,"")</f>
        <v/>
      </c>
      <c r="N56" s="3061" t="str">
        <f>IF(项目基本情况!K6="上海银行","包含处置中涉及的律师、诉讼、拍卖、评估等费用","")</f>
        <v/>
      </c>
      <c r="O56" s="3062"/>
    </row>
    <row r="57" spans="1:35" ht="12.75">
      <c r="A57" s="183" t="s">
        <v>2187</v>
      </c>
      <c r="B57" s="3106" t="s">
        <v>2215</v>
      </c>
      <c r="C57" s="3107"/>
      <c r="D57" s="187">
        <v>0</v>
      </c>
      <c r="E57" s="23" t="s">
        <v>2189</v>
      </c>
      <c r="F57" s="155"/>
      <c r="G57" s="2486"/>
      <c r="H57" s="2490"/>
      <c r="I57" s="2490"/>
      <c r="J57" s="3075">
        <f>IF(AND(J55="",J56=""),4,IF(项目基本情况!K6="上海银行",结果表!J56+1,结果表!J55+1))</f>
        <v>4</v>
      </c>
      <c r="K57" s="3075" t="s">
        <v>2216</v>
      </c>
      <c r="L57" s="2491" t="s">
        <v>2217</v>
      </c>
      <c r="M57" s="1759"/>
      <c r="N57" s="1760">
        <f ca="1">SUMIF(M52:M56,"&lt;9e307")</f>
        <v>5312</v>
      </c>
      <c r="O57" s="2492"/>
      <c r="P57" s="1753">
        <f ca="1">N57/M49</f>
        <v>0.56643207506931115</v>
      </c>
    </row>
    <row r="58" spans="1:35" ht="24.75">
      <c r="A58" s="183" t="s">
        <v>2198</v>
      </c>
      <c r="B58" s="3106" t="s">
        <v>2218</v>
      </c>
      <c r="C58" s="3119"/>
      <c r="D58" s="185">
        <f ca="1">IF(H58="转让取得",C81,C97)</f>
        <v>5307</v>
      </c>
      <c r="E58" s="11" t="s">
        <v>2213</v>
      </c>
      <c r="F58" s="24" t="s">
        <v>34</v>
      </c>
      <c r="G58" s="2486"/>
      <c r="H58" s="2489" t="s">
        <v>2219</v>
      </c>
      <c r="I58" s="2490"/>
      <c r="J58" s="3075"/>
      <c r="K58" s="3075"/>
      <c r="L58" s="2491" t="s">
        <v>2220</v>
      </c>
      <c r="M58" s="1761"/>
      <c r="N58" s="2493" t="str">
        <f ca="1">NUMBERSTRING(INT(N57*10000),2)&amp;"元整"</f>
        <v>伍仟叁佰壹拾贰万元整</v>
      </c>
      <c r="O58" s="2494"/>
    </row>
    <row r="59" spans="1:35" ht="24.75" thickBot="1">
      <c r="A59" s="3079" t="s">
        <v>2221</v>
      </c>
      <c r="B59" s="3080"/>
      <c r="C59" s="3080"/>
      <c r="D59" s="188" t="str">
        <f>IF(H59="非个人房产","——",IF(H59="个人住宅",0,ROUND(D45*I59,0)))</f>
        <v>——</v>
      </c>
      <c r="E59" s="189" t="str">
        <f>IF(H59="非个人房产","——","销售额×税（费）率")</f>
        <v>——</v>
      </c>
      <c r="F59" s="190" t="str">
        <f>IF(H59="非个人房产","——",IF(H59="个人住宅","免征",I59))</f>
        <v>——</v>
      </c>
      <c r="G59" s="2495" t="s">
        <v>2214</v>
      </c>
      <c r="H59" s="2489" t="s">
        <v>2222</v>
      </c>
      <c r="I59" s="191">
        <v>0.01</v>
      </c>
      <c r="J59" s="3077">
        <f>J57+1</f>
        <v>5</v>
      </c>
      <c r="K59" s="3075" t="s">
        <v>2223</v>
      </c>
      <c r="L59" s="1812" t="s">
        <v>2217</v>
      </c>
      <c r="M59" s="1762"/>
      <c r="N59" s="1763">
        <f ca="1">M49-N57</f>
        <v>4066</v>
      </c>
      <c r="O59" s="2496"/>
    </row>
    <row r="60" spans="1:35" ht="12" customHeight="1">
      <c r="A60" s="2497"/>
      <c r="B60" s="2419"/>
      <c r="C60" s="2419"/>
      <c r="D60" s="2419"/>
      <c r="E60" s="2168"/>
      <c r="F60" s="2490"/>
      <c r="G60" s="2490"/>
      <c r="H60" s="2498"/>
      <c r="I60" s="138"/>
      <c r="J60" s="3078"/>
      <c r="K60" s="3075"/>
      <c r="L60" s="2491" t="s">
        <v>2220</v>
      </c>
      <c r="M60" s="1761"/>
      <c r="N60" s="2493" t="str">
        <f ca="1">NUMBERSTRING(INT(N59*10000),2)&amp;"元整"</f>
        <v>肆仟零陆拾陆万元整</v>
      </c>
      <c r="O60" s="2494"/>
    </row>
    <row r="61" spans="1:35" ht="13.5" thickBot="1">
      <c r="A61" s="3138" t="s">
        <v>2224</v>
      </c>
      <c r="B61" s="3138"/>
      <c r="C61" s="3138"/>
      <c r="D61" s="3138"/>
      <c r="E61" s="3138"/>
      <c r="F61" s="2490"/>
      <c r="G61" s="2490"/>
      <c r="H61" s="2498"/>
      <c r="I61" s="138"/>
      <c r="J61" s="1812">
        <f>J59+1</f>
        <v>6</v>
      </c>
      <c r="K61" s="3075" t="s">
        <v>2225</v>
      </c>
      <c r="L61" s="3075"/>
      <c r="M61" s="1764"/>
      <c r="N61" s="1765">
        <f ca="1">ROUND(N59*10000/'数据-汇总表'!E3,0)</f>
        <v>2286</v>
      </c>
      <c r="O61" s="2499"/>
    </row>
    <row r="62" spans="1:35" ht="12.75">
      <c r="A62" s="3095" t="s">
        <v>2226</v>
      </c>
      <c r="B62" s="3096"/>
      <c r="C62" s="1804"/>
      <c r="D62" s="1804" t="s">
        <v>2227</v>
      </c>
      <c r="E62" s="192" t="s">
        <v>2228</v>
      </c>
      <c r="F62" s="2490"/>
      <c r="G62" s="2490"/>
      <c r="H62" s="2498"/>
      <c r="I62" s="138"/>
    </row>
    <row r="63" spans="1:35" ht="12.75">
      <c r="A63" s="203" t="s">
        <v>775</v>
      </c>
      <c r="B63" s="193" t="s">
        <v>2229</v>
      </c>
      <c r="C63" s="194">
        <f ca="1">ROUND((C64+C65)/(1+'数据-取费表'!C42),0)</f>
        <v>8931</v>
      </c>
      <c r="D63" s="195"/>
      <c r="E63" s="196"/>
      <c r="F63" s="2490"/>
      <c r="G63" s="2490"/>
      <c r="H63" s="2498"/>
      <c r="I63" s="138"/>
      <c r="J63" s="3060" t="s">
        <v>2230</v>
      </c>
      <c r="K63" s="2500" t="s">
        <v>2231</v>
      </c>
      <c r="L63" s="1752">
        <f ca="1">IF(M49&gt;10000,M49*0.5%,IF(AND(M49&gt;1000,M49&lt;=10000),M49*1%,IF(AND(M49&gt;100,M49&lt;=1000),M49*3%,IF(AND(M49&gt;10,M49&lt;=100),M49*5%,M49*8%))))</f>
        <v>93.78</v>
      </c>
      <c r="M63" s="24">
        <f ca="1">ROUND(L63,1)</f>
        <v>93.8</v>
      </c>
      <c r="Z63" s="2424"/>
      <c r="AI63" s="2425"/>
    </row>
    <row r="64" spans="1:35" ht="14.25" customHeight="1">
      <c r="A64" s="197" t="s">
        <v>770</v>
      </c>
      <c r="B64" s="198" t="s">
        <v>2232</v>
      </c>
      <c r="C64" s="199">
        <f ca="1">D45</f>
        <v>9378</v>
      </c>
      <c r="D64" s="200" t="s">
        <v>32</v>
      </c>
      <c r="E64" s="201"/>
      <c r="F64" s="2490"/>
      <c r="G64" s="2490"/>
      <c r="H64" s="2498"/>
      <c r="I64" s="138"/>
      <c r="J64" s="3060"/>
      <c r="K64" s="2500" t="s">
        <v>2233</v>
      </c>
      <c r="L64" s="1752">
        <f ca="1">IF(M49&gt;2000,M49*0.5%,IF(AND(M49&gt;1000,M49&lt;=2000),M49*0.6%,IF(AND(M49&gt;500,M49&lt;=1000),M49*0.7%,IF(AND(M49&gt;200,M49&lt;=500),M49*0.8%,IF(AND(M49&gt;100,M49&lt;=200),M49*0.9%,IF(AND(M49&gt;50,M49&lt;=100),M49*1%,IF(AND(M49&gt;20,M49&lt;=50),M49*1.5%,IF(AND(M49&gt;10,M49&lt;=20),M49*2%,IF(AND(M49&gt;1,M49&lt;=10),M49*2.5%)))))))))</f>
        <v>46.89</v>
      </c>
      <c r="M64" s="24">
        <f t="shared" ref="M64:M65" ca="1" si="1">ROUND(L64,1)</f>
        <v>46.9</v>
      </c>
      <c r="N64" s="138" t="s">
        <v>2234</v>
      </c>
      <c r="Z64" s="2424"/>
      <c r="AI64" s="2425"/>
    </row>
    <row r="65" spans="1:35" ht="14.25" customHeight="1">
      <c r="A65" s="197" t="s">
        <v>771</v>
      </c>
      <c r="B65" s="198" t="s">
        <v>2235</v>
      </c>
      <c r="C65" s="202"/>
      <c r="D65" s="200"/>
      <c r="E65" s="201"/>
      <c r="F65" s="2490"/>
      <c r="G65" s="2490"/>
      <c r="H65" s="2498"/>
      <c r="I65" s="138"/>
      <c r="J65" s="3060"/>
      <c r="K65" s="2500" t="s">
        <v>2236</v>
      </c>
      <c r="L65" s="1752">
        <f ca="1">IF(M49&gt;1000,M49*0.1%,IF(AND(M49&gt;500,M49&lt;=1000),M49*0.5%,IF(AND(M49&gt;50,M49&lt;=500),M49*1%,IF(AND(M49&gt;1,M49&lt;=50),M49*1.5%))))</f>
        <v>9.3780000000000001</v>
      </c>
      <c r="M65" s="24">
        <f t="shared" ca="1" si="1"/>
        <v>9.4</v>
      </c>
      <c r="N65" s="138" t="s">
        <v>2234</v>
      </c>
      <c r="Z65" s="2424"/>
      <c r="AI65" s="2425"/>
    </row>
    <row r="66" spans="1:35" ht="14.25" customHeight="1">
      <c r="A66" s="203" t="s">
        <v>772</v>
      </c>
      <c r="B66" s="204" t="s">
        <v>2237</v>
      </c>
      <c r="C66" s="205"/>
      <c r="D66" s="206" t="s">
        <v>32</v>
      </c>
      <c r="E66" s="1776" t="s">
        <v>1371</v>
      </c>
      <c r="F66" s="2490"/>
      <c r="G66" s="2490"/>
      <c r="H66" s="2498"/>
      <c r="I66" s="138"/>
      <c r="J66" s="3060"/>
      <c r="K66" s="2500" t="s">
        <v>2238</v>
      </c>
      <c r="L66" s="1752">
        <f ca="1">M49*0.5%</f>
        <v>46.89</v>
      </c>
      <c r="M66" s="24">
        <f ca="1">IF(L66&gt;0.5,0.5,ROUND(L66,0))</f>
        <v>0.5</v>
      </c>
      <c r="N66" s="138" t="s">
        <v>2239</v>
      </c>
      <c r="Z66" s="2424"/>
      <c r="AI66" s="2425"/>
    </row>
    <row r="67" spans="1:35" ht="14.25" customHeight="1">
      <c r="A67" s="203" t="s">
        <v>773</v>
      </c>
      <c r="B67" s="204" t="s">
        <v>2240</v>
      </c>
      <c r="C67" s="207">
        <f ca="1">C63-C66</f>
        <v>8931</v>
      </c>
      <c r="D67" s="200" t="s">
        <v>32</v>
      </c>
      <c r="E67" s="201"/>
      <c r="F67" s="2490"/>
      <c r="G67" s="2490"/>
      <c r="H67" s="2498"/>
      <c r="I67" s="138"/>
      <c r="J67" s="3060"/>
      <c r="K67" s="2500" t="s">
        <v>2241</v>
      </c>
      <c r="L67" s="1752">
        <f ca="1">IF(M49&gt;=10000,(8.25+(M49-10000)*0.01%),IF(AND(M49&gt;=8000,M49&lt;10000),(7.85+(M49-8000)*0.02%),IF(AND(M49&gt;=5000,M49&lt;8000),(6.65+(M49-5000)*0.04%),IF(AND(M49&gt;=2000,M49&lt;5000),(4.25+(PM49-2000)*0.08%),IF(AND(M49&gt;=1000,M49&lt;2000),(2.75+(M49-1000)*0.15%),IF(AND(M49&gt;=100,M49&lt;1000),(0.5+(M49-100)*0.25%),IF(AND(M49&gt;0,M49&lt;100),M49*0.5%)))))))</f>
        <v>8.1256000000000004</v>
      </c>
      <c r="M67" s="24">
        <f ca="1">ROUND(L67*0.9,1)</f>
        <v>7.3</v>
      </c>
      <c r="Z67" s="2424"/>
      <c r="AI67" s="2425"/>
    </row>
    <row r="68" spans="1:35" ht="14.25" customHeight="1" thickBot="1">
      <c r="A68" s="208" t="s">
        <v>774</v>
      </c>
      <c r="B68" s="209" t="s">
        <v>2242</v>
      </c>
      <c r="C68" s="210">
        <f ca="1">IF(C67&lt;=0,0,ROUND(C67*D68,0))</f>
        <v>500</v>
      </c>
      <c r="D68" s="211">
        <f>'数据-取费表'!B41</f>
        <v>5.6000000000000001E-2</v>
      </c>
      <c r="E68" s="212"/>
      <c r="F68" s="2490"/>
      <c r="G68" s="2490"/>
      <c r="H68" s="2498"/>
      <c r="I68" s="138"/>
      <c r="J68" s="3060"/>
      <c r="K68" s="2500" t="s">
        <v>2243</v>
      </c>
      <c r="L68" s="1752">
        <f ca="1">IF(M49&gt;10000,M49*0.5%,IF(AND(M49&gt;5000,M49&lt;=10000),M49*1%,IF(AND(M49&gt;1000,M49&lt;=5000),M49*2%,IF(AND(M49&gt;200,M49&lt;=1000),M49*3%,M49*5%))))</f>
        <v>93.78</v>
      </c>
      <c r="M68" s="24">
        <f ca="1">ROUND(L68,1)</f>
        <v>93.8</v>
      </c>
      <c r="Z68" s="2424"/>
      <c r="AI68" s="2425"/>
    </row>
    <row r="69" spans="1:35" s="2447" customFormat="1" ht="16.5" customHeight="1">
      <c r="A69" s="2501"/>
      <c r="B69" s="2502"/>
      <c r="C69" s="2503"/>
      <c r="D69" s="2504"/>
      <c r="E69" s="2505"/>
      <c r="F69" s="2168"/>
      <c r="G69" s="2168"/>
      <c r="H69" s="2167"/>
      <c r="I69" s="2419"/>
      <c r="J69" s="3060"/>
      <c r="K69" s="2500" t="s">
        <v>2244</v>
      </c>
      <c r="L69" s="2506"/>
      <c r="M69" s="24">
        <f ca="1">ROUND(SUM(M63:M68),0)</f>
        <v>252</v>
      </c>
      <c r="N69" s="1753">
        <f ca="1">M69/M49</f>
        <v>2.6871401151631478E-2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4" t="s">
        <v>2245</v>
      </c>
      <c r="B70" s="3105"/>
      <c r="C70" s="3105"/>
      <c r="D70" s="3105"/>
      <c r="E70" s="3105"/>
      <c r="F70" s="3105"/>
      <c r="G70" s="3105"/>
      <c r="H70" s="310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2226</v>
      </c>
      <c r="B71" s="3096"/>
      <c r="C71" s="1804"/>
      <c r="D71" s="1804" t="s">
        <v>2227</v>
      </c>
      <c r="E71" s="213" t="s">
        <v>2228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2246</v>
      </c>
      <c r="C72" s="207">
        <f ca="1">ROUND(D45/(1+'数据-取费表'!C42),0)</f>
        <v>8931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2247</v>
      </c>
      <c r="C73" s="207">
        <f ca="1">C74+C78</f>
        <v>54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2249</v>
      </c>
      <c r="C75" s="218"/>
      <c r="D75" s="200" t="s">
        <v>32</v>
      </c>
      <c r="E75" s="219" t="s">
        <v>2250</v>
      </c>
      <c r="F75" s="2512" t="s">
        <v>2251</v>
      </c>
      <c r="G75" s="219" t="s">
        <v>2252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2253</v>
      </c>
      <c r="C76" s="200">
        <f>IF(F75="购房发票",ROUND(C75*H75*D76,0),0)</f>
        <v>0</v>
      </c>
      <c r="D76" s="222">
        <v>0.05</v>
      </c>
      <c r="E76" s="3101" t="s">
        <v>2254</v>
      </c>
      <c r="F76" s="3100"/>
      <c r="G76" s="3100"/>
      <c r="H76" s="310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4" t="s">
        <v>2257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2258</v>
      </c>
      <c r="C78" s="225">
        <f ca="1">ROUND(D45*D78/(1+'数据-取费表'!C42),0)</f>
        <v>54</v>
      </c>
      <c r="D78" s="226">
        <f>'数据-取费表'!B43</f>
        <v>6.000000000000001E-3</v>
      </c>
      <c r="E78" s="3092" t="s">
        <v>2259</v>
      </c>
      <c r="F78" s="3093"/>
      <c r="G78" s="3093"/>
      <c r="H78" s="309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2260</v>
      </c>
      <c r="C79" s="207">
        <f ca="1">C72-C73</f>
        <v>8877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2261</v>
      </c>
      <c r="C80" s="227">
        <f ca="1">IF(C79&lt;=0,0,C79/C73)</f>
        <v>164.38888888888889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2262</v>
      </c>
      <c r="C81" s="228">
        <f ca="1">ROUND(IF(C79&lt;=0,0,IF(C80&gt;=200%,C79*60%-C73*35%,IF(C80&gt;=100%,C79*50%-C73*15%,IF(C80&gt;=50%,C79*40%-C73*5%,IF(C80&lt;50%,C79*30%,0))))),0)</f>
        <v>5307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4" t="s">
        <v>2263</v>
      </c>
      <c r="B83" s="3105"/>
      <c r="C83" s="3105"/>
      <c r="D83" s="3105"/>
      <c r="E83" s="3105"/>
      <c r="F83" s="3105"/>
      <c r="G83" s="3105"/>
      <c r="H83" s="310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2226</v>
      </c>
      <c r="B84" s="3096"/>
      <c r="C84" s="1804"/>
      <c r="D84" s="1804" t="s">
        <v>2227</v>
      </c>
      <c r="E84" s="213" t="s">
        <v>2228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2246</v>
      </c>
      <c r="C85" s="207">
        <f ca="1">ROUND(D45/(1+'数据-取费表'!C42),0)</f>
        <v>8931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2247</v>
      </c>
      <c r="C86" s="207">
        <f ca="1">IF(H88="仅含出让金",C87+C90+C91+C92+C93+C94,C87+C91+C92+C93+C94)</f>
        <v>54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2265</v>
      </c>
      <c r="C88" s="236"/>
      <c r="D88" s="226"/>
      <c r="E88" s="237" t="s">
        <v>2266</v>
      </c>
      <c r="F88" s="1800"/>
      <c r="G88" s="238" t="s">
        <v>2267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2255</v>
      </c>
      <c r="C89" s="225">
        <f>ROUND(C88*D89,0)</f>
        <v>0</v>
      </c>
      <c r="D89" s="226">
        <f>'数据-取费表'!B48+'数据-取费表'!B49</f>
        <v>3.0499999999999999E-2</v>
      </c>
      <c r="E89" s="237" t="s">
        <v>2268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2269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2270</v>
      </c>
      <c r="B91" s="198" t="s">
        <v>2271</v>
      </c>
      <c r="C91" s="225">
        <f>IF(H91="——",成本法!C33,I91)</f>
        <v>0</v>
      </c>
      <c r="D91" s="226"/>
      <c r="E91" s="3092" t="s">
        <v>2272</v>
      </c>
      <c r="F91" s="3093"/>
      <c r="G91" s="3093"/>
      <c r="H91" s="2519" t="s">
        <v>2273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2274</v>
      </c>
      <c r="B92" s="198" t="s">
        <v>2275</v>
      </c>
      <c r="C92" s="225">
        <f>ROUND((C87+C90+C91)*D92,0)</f>
        <v>0</v>
      </c>
      <c r="D92" s="226">
        <v>0.1</v>
      </c>
      <c r="E92" s="3092" t="s">
        <v>2276</v>
      </c>
      <c r="F92" s="3093"/>
      <c r="G92" s="3093"/>
      <c r="H92" s="309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2277</v>
      </c>
      <c r="B93" s="198" t="s">
        <v>2258</v>
      </c>
      <c r="C93" s="225">
        <f ca="1">ROUND(D45*D93/(1+'数据-取费表'!C42),0)</f>
        <v>54</v>
      </c>
      <c r="D93" s="226">
        <f>'数据-取费表'!B43</f>
        <v>6.000000000000001E-3</v>
      </c>
      <c r="E93" s="3092" t="s">
        <v>2259</v>
      </c>
      <c r="F93" s="3093"/>
      <c r="G93" s="3093"/>
      <c r="H93" s="309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2278</v>
      </c>
      <c r="B94" s="198" t="s">
        <v>2279</v>
      </c>
      <c r="C94" s="236">
        <f>ROUND((C87+C90+C91)*D94,0)</f>
        <v>0</v>
      </c>
      <c r="D94" s="226">
        <v>0.2</v>
      </c>
      <c r="E94" s="3140" t="s">
        <v>2280</v>
      </c>
      <c r="F94" s="3141"/>
      <c r="G94" s="3141"/>
      <c r="H94" s="314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2260</v>
      </c>
      <c r="C95" s="207">
        <f ca="1">ROUND(C85-C86,0)</f>
        <v>8877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2261</v>
      </c>
      <c r="C96" s="227">
        <f ca="1">IF(C95&lt;=0,0,C95/C86)</f>
        <v>164.38888888888889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2262</v>
      </c>
      <c r="C97" s="228">
        <f ca="1">ROUND(IF(C95&lt;=0,0,IF(C96&gt;=200%,C95*60%-C86*35%,IF(C96&gt;=100%,C95*50%-C86*15%,IF(C96&gt;=50%,C95*40%-C86*5%,IF(C96&lt;50%,C95*30%,0))))),0)</f>
        <v>5307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2281</v>
      </c>
      <c r="B99" s="2419"/>
      <c r="C99" s="2419"/>
      <c r="D99" s="2419"/>
      <c r="E99" s="2168"/>
      <c r="F99" s="2168"/>
      <c r="G99" s="2168"/>
      <c r="H99" s="2167"/>
      <c r="I99" s="138"/>
    </row>
    <row r="100" spans="1:35" ht="18.75" customHeight="1">
      <c r="A100" s="3044" t="s">
        <v>2282</v>
      </c>
      <c r="B100" s="3045"/>
      <c r="C100" s="3045"/>
      <c r="D100" s="3076"/>
      <c r="E100" s="3045" t="s">
        <v>2283</v>
      </c>
      <c r="F100" s="3045"/>
      <c r="G100" s="3045"/>
      <c r="H100" s="3076"/>
      <c r="I100" s="138"/>
    </row>
    <row r="101" spans="1:35" ht="18.75" customHeight="1">
      <c r="A101" s="3084" t="s">
        <v>2284</v>
      </c>
      <c r="B101" s="3085"/>
      <c r="C101" s="736" t="str">
        <f>C4</f>
        <v>成本法</v>
      </c>
      <c r="D101" s="737" t="str">
        <f>D4</f>
        <v>收益法</v>
      </c>
      <c r="E101" s="3056" t="s">
        <v>2285</v>
      </c>
      <c r="F101" s="3057"/>
      <c r="G101" s="2521" t="s">
        <v>2286</v>
      </c>
      <c r="H101" s="1048">
        <f ca="1">H118</f>
        <v>9378</v>
      </c>
      <c r="I101" s="138"/>
    </row>
    <row r="102" spans="1:35" ht="18.75" customHeight="1">
      <c r="A102" s="3086" t="s">
        <v>2287</v>
      </c>
      <c r="B102" s="2521" t="s">
        <v>2286</v>
      </c>
      <c r="C102" s="736">
        <f ca="1">C19</f>
        <v>9539</v>
      </c>
      <c r="D102" s="737">
        <f ca="1">D19</f>
        <v>9216</v>
      </c>
      <c r="E102" s="3056"/>
      <c r="F102" s="3057"/>
      <c r="G102" s="2521" t="s">
        <v>2288</v>
      </c>
      <c r="H102" s="371">
        <f ca="1">I118</f>
        <v>5272</v>
      </c>
      <c r="I102" s="138"/>
    </row>
    <row r="103" spans="1:35" ht="42.75" customHeight="1">
      <c r="A103" s="3086"/>
      <c r="B103" s="2521" t="s">
        <v>2288</v>
      </c>
      <c r="C103" s="738">
        <f ca="1">C20</f>
        <v>5363</v>
      </c>
      <c r="D103" s="739">
        <f ca="1">D20</f>
        <v>5181</v>
      </c>
      <c r="E103" s="3050" t="s">
        <v>2289</v>
      </c>
      <c r="F103" s="3051"/>
      <c r="G103" s="2522" t="s">
        <v>2290</v>
      </c>
      <c r="H103" s="1048">
        <f>IF(D36="正常操作",H104+H105+H106,H105+H106)</f>
        <v>0</v>
      </c>
      <c r="I103" s="138"/>
    </row>
    <row r="104" spans="1:35" ht="18.75" customHeight="1">
      <c r="A104" s="3086" t="s">
        <v>2291</v>
      </c>
      <c r="B104" s="2523" t="s">
        <v>2286</v>
      </c>
      <c r="C104" s="740">
        <f ca="1">H118</f>
        <v>9378</v>
      </c>
      <c r="D104" s="741"/>
      <c r="E104" s="2269" t="s">
        <v>2292</v>
      </c>
      <c r="F104" s="2260"/>
      <c r="G104" s="2522" t="s">
        <v>2290</v>
      </c>
      <c r="H104" s="1049">
        <f>IF(D36="同一抵押权人同一抵押物续贷",C36&amp;"（未扣减，详见特别提示）",C36)</f>
        <v>0</v>
      </c>
      <c r="I104" s="138"/>
    </row>
    <row r="105" spans="1:35" ht="18.75" customHeight="1" thickBot="1">
      <c r="A105" s="3098"/>
      <c r="B105" s="2524" t="s">
        <v>2288</v>
      </c>
      <c r="C105" s="742">
        <f ca="1">I118</f>
        <v>5272</v>
      </c>
      <c r="D105" s="743"/>
      <c r="E105" s="2269" t="s">
        <v>2293</v>
      </c>
      <c r="F105" s="2260"/>
      <c r="G105" s="2522" t="s">
        <v>2290</v>
      </c>
      <c r="H105" s="1049">
        <f>C37</f>
        <v>0</v>
      </c>
      <c r="I105" s="138"/>
    </row>
    <row r="106" spans="1:35" ht="18.75" customHeight="1">
      <c r="A106" s="2419" t="s">
        <v>2294</v>
      </c>
      <c r="B106" s="2419"/>
      <c r="C106" s="2419"/>
      <c r="D106" s="2419"/>
      <c r="E106" s="2525" t="s">
        <v>2295</v>
      </c>
      <c r="F106" s="2260"/>
      <c r="G106" s="2522" t="s">
        <v>2290</v>
      </c>
      <c r="H106" s="1049">
        <f>C38</f>
        <v>0</v>
      </c>
      <c r="I106" s="138"/>
    </row>
    <row r="107" spans="1:35" ht="18.75" customHeight="1">
      <c r="A107" s="138"/>
      <c r="B107" s="138"/>
      <c r="C107" s="138"/>
      <c r="D107" s="138"/>
      <c r="E107" s="3087" t="str">
        <f>IF(项目基本情况!E8="已注销","——","3.房地产抵押价值")</f>
        <v>3.房地产抵押价值</v>
      </c>
      <c r="F107" s="3057"/>
      <c r="G107" s="2521" t="s">
        <v>2286</v>
      </c>
      <c r="H107" s="1048">
        <f ca="1">IF(E107="——","——",H101-H103)</f>
        <v>9378</v>
      </c>
      <c r="I107" s="138"/>
    </row>
    <row r="108" spans="1:35" ht="18.75" customHeight="1">
      <c r="A108" s="138"/>
      <c r="B108" s="138"/>
      <c r="C108" s="138"/>
      <c r="D108" s="138"/>
      <c r="E108" s="3087"/>
      <c r="F108" s="3057"/>
      <c r="G108" s="2521" t="s">
        <v>2288</v>
      </c>
      <c r="H108" s="371">
        <f ca="1">ROUND(H107*10000/'数据-汇总表'!E3,0)</f>
        <v>5272</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1" t="s">
        <v>2286</v>
      </c>
      <c r="H109" s="348" t="str">
        <f>IF(E109="——","——",H101-H105-H106)</f>
        <v>——</v>
      </c>
      <c r="I109" s="138"/>
    </row>
    <row r="110" spans="1:35" ht="18.75" customHeight="1">
      <c r="A110" s="138"/>
      <c r="B110" s="138"/>
      <c r="C110" s="138"/>
      <c r="D110" s="138"/>
      <c r="E110" s="3087"/>
      <c r="F110" s="3057"/>
      <c r="G110" s="2521" t="s">
        <v>2288</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1" t="s">
        <v>2286</v>
      </c>
      <c r="H111" s="1048" t="str">
        <f>IF(E111="——","——",N59)</f>
        <v>——</v>
      </c>
      <c r="I111" s="138"/>
    </row>
    <row r="112" spans="1:35" ht="18.75" customHeight="1" thickBot="1">
      <c r="A112" s="138"/>
      <c r="B112" s="138"/>
      <c r="C112" s="138"/>
      <c r="D112" s="138"/>
      <c r="E112" s="3090"/>
      <c r="F112" s="3091"/>
      <c r="G112" s="2526" t="s">
        <v>2288</v>
      </c>
      <c r="H112" s="790" t="str">
        <f>IF(E111="——","——",N61)</f>
        <v>——</v>
      </c>
      <c r="I112" s="138"/>
    </row>
    <row r="113" spans="1:11" ht="18.75" customHeight="1">
      <c r="A113" s="138"/>
      <c r="B113" s="138"/>
      <c r="C113" s="138"/>
      <c r="D113" s="138"/>
      <c r="E113" s="3099" t="s">
        <v>2294</v>
      </c>
      <c r="F113" s="3099"/>
      <c r="G113" s="3099"/>
      <c r="H113" s="3099"/>
      <c r="I113" s="138"/>
    </row>
    <row r="114" spans="1:11" ht="3.75" customHeight="1">
      <c r="A114" s="2419"/>
      <c r="B114" s="2419"/>
      <c r="C114" s="2419"/>
      <c r="D114" s="2419"/>
      <c r="E114" s="2497"/>
      <c r="F114" s="2497"/>
      <c r="G114" s="2497"/>
      <c r="H114" s="2497"/>
      <c r="I114" s="2419"/>
    </row>
    <row r="115" spans="1:11" ht="18.75" customHeight="1">
      <c r="A115" s="3112" t="s">
        <v>2296</v>
      </c>
      <c r="B115" s="3113"/>
      <c r="C115" s="3113"/>
      <c r="D115" s="3113"/>
      <c r="E115" s="3113"/>
      <c r="F115" s="3113"/>
      <c r="G115" s="3113"/>
      <c r="H115" s="3113"/>
      <c r="I115" s="3114"/>
    </row>
    <row r="116" spans="1:11" ht="27" customHeight="1">
      <c r="A116" s="3023" t="s">
        <v>2297</v>
      </c>
      <c r="B116" s="3066" t="s">
        <v>2298</v>
      </c>
      <c r="C116" s="3066" t="s">
        <v>2299</v>
      </c>
      <c r="D116" s="3072" t="s">
        <v>2300</v>
      </c>
      <c r="E116" s="3073"/>
      <c r="F116" s="3108" t="s">
        <v>2301</v>
      </c>
      <c r="G116" s="3108"/>
      <c r="H116" s="3023" t="s">
        <v>2302</v>
      </c>
      <c r="I116" s="3023"/>
    </row>
    <row r="117" spans="1:11" ht="18.75" customHeight="1">
      <c r="A117" s="3023"/>
      <c r="B117" s="3067"/>
      <c r="C117" s="3067"/>
      <c r="D117" s="1798" t="s">
        <v>2303</v>
      </c>
      <c r="E117" s="1798" t="s">
        <v>2304</v>
      </c>
      <c r="F117" s="1798" t="s">
        <v>2303</v>
      </c>
      <c r="G117" s="1798" t="s">
        <v>2305</v>
      </c>
      <c r="H117" s="1798" t="s">
        <v>2303</v>
      </c>
      <c r="I117" s="1798" t="s">
        <v>2305</v>
      </c>
    </row>
    <row r="118" spans="1:11" ht="24.75" customHeight="1">
      <c r="A118" s="2527" t="str">
        <f>项目基本情况!S2</f>
        <v>上海市山阳镇阳乐路188号房地产</v>
      </c>
      <c r="B118" s="1798">
        <f>M18</f>
        <v>17787.509999999998</v>
      </c>
      <c r="C118" s="1798">
        <f>M19</f>
        <v>35092</v>
      </c>
      <c r="D118" s="1798">
        <f ca="1">ROUND(IF(D32="总价",C34,E118*B118/10000),0)</f>
        <v>5308</v>
      </c>
      <c r="E118" s="1798">
        <f ca="1">ROUND(IF(C33="自定义",IF(D32="楼面单价",C34,D118*10000/B118),I118-G118),0)</f>
        <v>2984</v>
      </c>
      <c r="F118" s="1798">
        <f ca="1">ROUND(IF(D32="总价",C35,G118*B118/10000),0)</f>
        <v>4070</v>
      </c>
      <c r="G118" s="1798">
        <f ca="1">ROUND(IF(D32="楼面单价",C35,F118*10000/B118),0)</f>
        <v>2288</v>
      </c>
      <c r="H118" s="1798">
        <f ca="1">ROUND(IF(D32="总价",C32,I118*B118/10000),0)</f>
        <v>9378</v>
      </c>
      <c r="I118" s="1798">
        <f ca="1">ROUND(IF(D32="楼面单价",C32,H118*10000/B118),0)</f>
        <v>5272</v>
      </c>
    </row>
    <row r="119" spans="1:11" ht="18.75" customHeight="1">
      <c r="A119" s="3023" t="s">
        <v>2306</v>
      </c>
      <c r="B119" s="3023"/>
      <c r="C119" s="3023"/>
      <c r="D119" s="3068" t="str">
        <f ca="1">NUMBERSTRING(INT(D118*10000),2)&amp;"元整"</f>
        <v>伍仟叁佰零捌万元整</v>
      </c>
      <c r="E119" s="3069"/>
      <c r="F119" s="3068" t="str">
        <f ca="1">NUMBERSTRING(INT(F118*10000),2)&amp;"元整"</f>
        <v>肆仟零柒拾万元整</v>
      </c>
      <c r="G119" s="3069"/>
      <c r="H119" s="3068" t="str">
        <f ca="1">NUMBERSTRING(INT(H118*10000),2)&amp;"元整"</f>
        <v>玖仟叁佰柒拾捌万元整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4" t="str">
        <f>IF(D120=0,"故，本次评估不存在"&amp;A120,"故，本次评估"&amp;A120&amp;"为人民币"&amp;D120&amp;"万元整。")</f>
        <v>故，本次评估不存在估价师知悉的法定优先受偿款</v>
      </c>
    </row>
    <row r="121" spans="1:11" ht="18.75" customHeight="1">
      <c r="A121" s="3109" t="s">
        <v>2306</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9378</v>
      </c>
      <c r="E122" s="3064"/>
      <c r="F122" s="3064"/>
      <c r="G122" s="3064"/>
      <c r="H122" s="3064"/>
      <c r="I122" s="3065"/>
    </row>
    <row r="123" spans="1:11" ht="18.75" customHeight="1">
      <c r="A123" s="3023" t="s">
        <v>2306</v>
      </c>
      <c r="B123" s="3023"/>
      <c r="C123" s="3023"/>
      <c r="D123" s="3068" t="str">
        <f ca="1">NUMBERSTRING(INT(D122*10000),2)&amp;"元整"</f>
        <v>玖仟叁佰柒拾捌万元整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2306</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2306</v>
      </c>
      <c r="B127" s="3023"/>
      <c r="C127" s="3023"/>
      <c r="D127" s="3068" t="e">
        <f>NUMBERSTRING(INT(D126*10000),2)&amp;"元整"</f>
        <v>#VALUE!</v>
      </c>
      <c r="E127" s="3070"/>
      <c r="F127" s="3070"/>
      <c r="G127" s="3070"/>
      <c r="H127" s="3070"/>
      <c r="I127" s="3069"/>
    </row>
    <row r="128" spans="1:11" ht="21.75" customHeight="1">
      <c r="A128" s="3071" t="s">
        <v>2307</v>
      </c>
      <c r="B128" s="3071"/>
      <c r="C128" s="3071"/>
      <c r="D128" s="3071"/>
      <c r="E128" s="3071"/>
      <c r="F128" s="3071"/>
      <c r="G128" s="3071"/>
      <c r="H128" s="3071"/>
      <c r="I128" s="3071"/>
    </row>
    <row r="129" spans="1:35" ht="21.75" customHeight="1">
      <c r="A129" s="2528" t="s">
        <v>2308</v>
      </c>
      <c r="B129" s="2529"/>
      <c r="C129" s="2530" t="s">
        <v>2309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2310</v>
      </c>
      <c r="G135" s="2545"/>
      <c r="H135" s="2545"/>
      <c r="I135" s="2546" t="s">
        <v>2311</v>
      </c>
    </row>
    <row r="136" spans="1:35" ht="21.75" customHeight="1">
      <c r="A136" s="795"/>
      <c r="B136" s="2547"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2313</v>
      </c>
    </row>
    <row r="139" spans="1:35" ht="21.75" customHeight="1">
      <c r="A139" s="795"/>
      <c r="B139" s="2547" t="s">
        <v>2314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2313</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8" zoomScale="80" zoomScaleNormal="80" workbookViewId="0">
      <selection activeCell="K60" sqref="K6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f>F61</f>
        <v>3811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f>ROUND(IF(D3="",B2*10000/'数据-汇总表'!E3,B2*10000/D3),0)</f>
        <v>2143</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56" t="s">
        <v>2635</v>
      </c>
      <c r="D4" s="3157"/>
      <c r="E4" s="3158" t="s">
        <v>2636</v>
      </c>
      <c r="F4" s="3159"/>
      <c r="G4" s="3156" t="s">
        <v>2637</v>
      </c>
      <c r="H4" s="3157"/>
      <c r="I4" s="3156" t="s">
        <v>2638</v>
      </c>
      <c r="J4" s="3157"/>
      <c r="K4" s="610" t="s">
        <v>2639</v>
      </c>
      <c r="L4" s="1133"/>
      <c r="M4" s="1134"/>
      <c r="N4" s="1134"/>
      <c r="O4" s="1134"/>
      <c r="P4" s="3160" t="s">
        <v>2640</v>
      </c>
      <c r="Q4" s="3161"/>
      <c r="R4" s="3173" t="s">
        <v>2636</v>
      </c>
      <c r="S4" s="3174"/>
      <c r="T4" s="3173" t="s">
        <v>2637</v>
      </c>
      <c r="U4" s="3174"/>
      <c r="V4" s="3148" t="s">
        <v>2638</v>
      </c>
      <c r="W4" s="3148"/>
      <c r="X4" s="1816"/>
      <c r="Y4" s="3173" t="s">
        <v>2640</v>
      </c>
      <c r="Z4" s="3174"/>
      <c r="AA4" s="3153" t="s">
        <v>2636</v>
      </c>
      <c r="AB4" s="3154" t="s">
        <v>2637</v>
      </c>
      <c r="AC4" s="3153" t="s">
        <v>2638</v>
      </c>
    </row>
    <row r="5" spans="1:29" ht="15">
      <c r="A5" s="404"/>
      <c r="B5" s="405"/>
      <c r="C5" s="3177" t="s">
        <v>2531</v>
      </c>
      <c r="D5" s="3178"/>
      <c r="E5" s="3166" t="str">
        <f>土地案例!A1</f>
        <v>金山区金山工业区CB_200801027号地块</v>
      </c>
      <c r="F5" s="3167"/>
      <c r="G5" s="3177" t="str">
        <f>土地案例!A2</f>
        <v>金山区金山工业区TZ_201701001号地块</v>
      </c>
      <c r="H5" s="3178"/>
      <c r="I5" s="3177" t="str">
        <f>土地案例!A3</f>
        <v>金山区金山工业区TZ_201601002号地块</v>
      </c>
      <c r="J5" s="3178"/>
      <c r="K5" s="610"/>
      <c r="L5" s="1133"/>
      <c r="M5" s="1134"/>
      <c r="N5" s="1134"/>
      <c r="O5" s="1134"/>
      <c r="P5" s="3162"/>
      <c r="Q5" s="3163"/>
      <c r="R5" s="3175"/>
      <c r="S5" s="3176"/>
      <c r="T5" s="3175"/>
      <c r="U5" s="3176"/>
      <c r="V5" s="3148"/>
      <c r="W5" s="3148"/>
      <c r="X5" s="1816"/>
      <c r="Y5" s="3175"/>
      <c r="Z5" s="3176"/>
      <c r="AA5" s="3154"/>
      <c r="AB5" s="3154"/>
      <c r="AC5" s="3154"/>
    </row>
    <row r="6" spans="1:29" ht="15.75" thickBot="1">
      <c r="A6" s="406"/>
      <c r="B6" s="407"/>
      <c r="C6" s="3179" t="s">
        <v>2786</v>
      </c>
      <c r="D6" s="3180"/>
      <c r="E6" s="3182" t="s">
        <v>2786</v>
      </c>
      <c r="F6" s="3183"/>
      <c r="G6" s="3179" t="s">
        <v>2786</v>
      </c>
      <c r="H6" s="3180"/>
      <c r="I6" s="3179" t="s">
        <v>2786</v>
      </c>
      <c r="J6" s="3180"/>
      <c r="K6" s="610" t="s">
        <v>2536</v>
      </c>
      <c r="L6" s="1133"/>
      <c r="M6" s="1134"/>
      <c r="N6" s="1134"/>
      <c r="O6" s="1134"/>
      <c r="P6" s="3164"/>
      <c r="Q6" s="3165"/>
      <c r="R6" s="3175"/>
      <c r="S6" s="3176"/>
      <c r="T6" s="3184"/>
      <c r="U6" s="3185"/>
      <c r="V6" s="3148"/>
      <c r="W6" s="3148"/>
      <c r="X6" s="1816"/>
      <c r="Y6" s="3184"/>
      <c r="Z6" s="3185"/>
      <c r="AA6" s="3155"/>
      <c r="AB6" s="3155"/>
      <c r="AC6" s="3155"/>
    </row>
    <row r="7" spans="1:29" s="117" customFormat="1" ht="15.75" thickBot="1">
      <c r="A7" s="408" t="s">
        <v>2537</v>
      </c>
      <c r="B7" s="409"/>
      <c r="C7" s="410">
        <f>'数据-取费表'!B2</f>
        <v>43217</v>
      </c>
      <c r="D7" s="411">
        <v>100</v>
      </c>
      <c r="E7" s="412" t="str">
        <f>土地案例!AA1</f>
        <v>2017-09-21</v>
      </c>
      <c r="F7" s="413">
        <f>SUMIF(65:65,YEAR(E7)&amp;"-"&amp;INT((MONTH(E7)+2)/3),66:66)</f>
        <v>98.5</v>
      </c>
      <c r="G7" s="2699" t="str">
        <f>土地案例!AA2</f>
        <v>2017-09-13</v>
      </c>
      <c r="H7" s="411">
        <f>SUMIF(65:65,YEAR(G7)&amp;"-"&amp;INT((MONTH(G7)+2)/3),66:66)</f>
        <v>98.5</v>
      </c>
      <c r="I7" s="2699" t="str">
        <f>土地案例!AA3</f>
        <v>2016-09-27</v>
      </c>
      <c r="J7" s="411">
        <f>SUMIF(65:65,YEAR(I7)&amp;"-"&amp;INT((MONTH(I7)+2)/3),66:66)</f>
        <v>96.5</v>
      </c>
      <c r="K7" s="611"/>
      <c r="L7" s="1135"/>
      <c r="M7" s="1136"/>
      <c r="N7" s="1136"/>
      <c r="O7" s="1136"/>
      <c r="P7" s="3168" t="s">
        <v>2538</v>
      </c>
      <c r="Q7" s="3181"/>
      <c r="R7" s="770" t="s">
        <v>17</v>
      </c>
      <c r="S7" s="771">
        <f t="shared" ref="S7:S15" si="0">F7</f>
        <v>98.5</v>
      </c>
      <c r="T7" s="770" t="s">
        <v>17</v>
      </c>
      <c r="U7" s="771">
        <f t="shared" ref="U7:U15" si="1">H7</f>
        <v>98.5</v>
      </c>
      <c r="V7" s="770" t="s">
        <v>17</v>
      </c>
      <c r="W7" s="771">
        <f t="shared" ref="W7:W15" si="2">J7</f>
        <v>96.5</v>
      </c>
      <c r="X7" s="772"/>
      <c r="Y7" s="3168" t="s">
        <v>2538</v>
      </c>
      <c r="Z7" s="3169"/>
      <c r="AA7" s="773">
        <f>D7/F7</f>
        <v>1.015228426395939</v>
      </c>
      <c r="AB7" s="773">
        <f>D7/H7</f>
        <v>1.015228426395939</v>
      </c>
      <c r="AC7" s="773">
        <f>D7/J7</f>
        <v>1.0362694300518134</v>
      </c>
    </row>
    <row r="8" spans="1:29" s="117" customFormat="1" ht="15.75" thickBot="1">
      <c r="A8" s="408" t="s">
        <v>2539</v>
      </c>
      <c r="B8" s="409"/>
      <c r="C8" s="414" t="s">
        <v>2540</v>
      </c>
      <c r="D8" s="411">
        <v>100</v>
      </c>
      <c r="E8" s="414" t="s">
        <v>2540</v>
      </c>
      <c r="F8" s="413">
        <f>SUMIF(68:68,E8,69:69)-SUMIF(68:68,C8,69:69)+100</f>
        <v>100</v>
      </c>
      <c r="G8" s="414" t="s">
        <v>2540</v>
      </c>
      <c r="H8" s="411">
        <f>SUMIF(68:68,G8,69:69)-SUMIF(68:68,C8,69:69)+100</f>
        <v>100</v>
      </c>
      <c r="I8" s="414" t="s">
        <v>2540</v>
      </c>
      <c r="J8" s="411">
        <f>SUMIF(68:68,I8,69:69)-SUMIF(68:68,C8,69:69)+100</f>
        <v>100</v>
      </c>
      <c r="K8" s="611"/>
      <c r="L8" s="1135"/>
      <c r="M8" s="1136"/>
      <c r="N8" s="1136"/>
      <c r="O8" s="1136"/>
      <c r="P8" s="3168" t="s">
        <v>2541</v>
      </c>
      <c r="Q8" s="3169"/>
      <c r="R8" s="770" t="s">
        <v>17</v>
      </c>
      <c r="S8" s="771">
        <f t="shared" si="0"/>
        <v>100</v>
      </c>
      <c r="T8" s="770" t="s">
        <v>17</v>
      </c>
      <c r="U8" s="771">
        <f t="shared" si="1"/>
        <v>100</v>
      </c>
      <c r="V8" s="770" t="s">
        <v>17</v>
      </c>
      <c r="W8" s="771">
        <f t="shared" si="2"/>
        <v>100</v>
      </c>
      <c r="X8" s="772"/>
      <c r="Y8" s="3168" t="s">
        <v>2541</v>
      </c>
      <c r="Z8" s="3169"/>
      <c r="AA8" s="773">
        <f t="shared" ref="AA8:AA40" si="3">D8/F8</f>
        <v>1</v>
      </c>
      <c r="AB8" s="773">
        <f t="shared" ref="AB8:AB40" si="4">D8/H8</f>
        <v>1</v>
      </c>
      <c r="AC8" s="773">
        <f t="shared" ref="AC8:AC40" si="5">D8/J8</f>
        <v>1</v>
      </c>
    </row>
    <row r="9" spans="1:29" s="117" customFormat="1">
      <c r="A9" s="415" t="s">
        <v>2542</v>
      </c>
      <c r="B9" s="71" t="s">
        <v>2543</v>
      </c>
      <c r="C9" s="2702" t="s">
        <v>6</v>
      </c>
      <c r="D9" s="135">
        <v>100</v>
      </c>
      <c r="E9" s="2702" t="s">
        <v>6</v>
      </c>
      <c r="F9" s="135">
        <f>SUMIF(70:70,E9,71:71)-SUMIF(70:70,C9,71:71)+100</f>
        <v>100</v>
      </c>
      <c r="G9" s="2702" t="s">
        <v>6</v>
      </c>
      <c r="H9" s="135">
        <f>SUMIF(70:70,G9,71:71)-SUMIF(70:70,C9,71:71)+100</f>
        <v>100</v>
      </c>
      <c r="I9" s="2702" t="s">
        <v>6</v>
      </c>
      <c r="J9" s="135">
        <f>SUMIF(70:70,I9,71:71)-SUMIF(70:70,C9,71:71)+100</f>
        <v>100</v>
      </c>
      <c r="K9" s="611"/>
      <c r="L9" s="1135"/>
      <c r="M9" s="1136"/>
      <c r="N9" s="1136"/>
      <c r="O9" s="1137"/>
      <c r="P9" s="3146" t="s">
        <v>2544</v>
      </c>
      <c r="Q9" s="1798" t="str">
        <f t="shared" ref="Q9:Q15" si="6">B9</f>
        <v>用途</v>
      </c>
      <c r="R9" s="770" t="s">
        <v>17</v>
      </c>
      <c r="S9" s="771">
        <f t="shared" si="0"/>
        <v>100</v>
      </c>
      <c r="T9" s="770" t="s">
        <v>17</v>
      </c>
      <c r="U9" s="771">
        <f t="shared" si="1"/>
        <v>100</v>
      </c>
      <c r="V9" s="770" t="s">
        <v>17</v>
      </c>
      <c r="W9" s="771">
        <f t="shared" si="2"/>
        <v>100</v>
      </c>
      <c r="X9" s="772"/>
      <c r="Y9" s="3023" t="s">
        <v>2545</v>
      </c>
      <c r="Z9" s="55" t="str">
        <f t="shared" ref="Z9:Z15" si="7">Q9</f>
        <v>用途</v>
      </c>
      <c r="AA9" s="773">
        <f t="shared" si="3"/>
        <v>1</v>
      </c>
      <c r="AB9" s="773">
        <f t="shared" si="4"/>
        <v>1</v>
      </c>
      <c r="AC9" s="773">
        <f t="shared" si="5"/>
        <v>1</v>
      </c>
    </row>
    <row r="10" spans="1:29" s="427" customFormat="1" ht="27">
      <c r="A10" s="421"/>
      <c r="B10" s="422" t="s">
        <v>2546</v>
      </c>
      <c r="C10" s="432">
        <f>'数据-取费表'!F6</f>
        <v>38.36</v>
      </c>
      <c r="D10" s="136">
        <v>100</v>
      </c>
      <c r="E10" s="432">
        <v>50</v>
      </c>
      <c r="F10" s="136">
        <f>ROUND(100/'数据-取费表'!G16,0)</f>
        <v>109</v>
      </c>
      <c r="G10" s="432">
        <v>50</v>
      </c>
      <c r="H10" s="136">
        <f>ROUND(100/'数据-取费表'!G16,0)</f>
        <v>109</v>
      </c>
      <c r="I10" s="432">
        <v>50</v>
      </c>
      <c r="J10" s="136">
        <f>ROUND(100/'数据-取费表'!G16,0)</f>
        <v>109</v>
      </c>
      <c r="K10" s="672"/>
      <c r="L10" s="1138"/>
      <c r="M10" s="1139"/>
      <c r="N10" s="1139"/>
      <c r="O10" s="1140"/>
      <c r="P10" s="3146"/>
      <c r="Q10" s="1798" t="str">
        <f t="shared" si="6"/>
        <v>土地使用年限（年）</v>
      </c>
      <c r="R10" s="770" t="s">
        <v>17</v>
      </c>
      <c r="S10" s="771">
        <f t="shared" si="0"/>
        <v>109</v>
      </c>
      <c r="T10" s="770" t="s">
        <v>17</v>
      </c>
      <c r="U10" s="771">
        <f t="shared" si="1"/>
        <v>109</v>
      </c>
      <c r="V10" s="770" t="s">
        <v>17</v>
      </c>
      <c r="W10" s="771">
        <f t="shared" si="2"/>
        <v>109</v>
      </c>
      <c r="X10" s="772"/>
      <c r="Y10" s="3023"/>
      <c r="Z10" s="55" t="str">
        <f t="shared" si="7"/>
        <v>土地使用年限（年）</v>
      </c>
      <c r="AA10" s="773">
        <f t="shared" si="3"/>
        <v>0.91743119266055051</v>
      </c>
      <c r="AB10" s="773">
        <f t="shared" si="4"/>
        <v>0.91743119266055051</v>
      </c>
      <c r="AC10" s="773">
        <f t="shared" si="5"/>
        <v>0.91743119266055051</v>
      </c>
    </row>
    <row r="11" spans="1:29" ht="15.75" thickBot="1">
      <c r="A11" s="428"/>
      <c r="B11" s="422" t="s">
        <v>2547</v>
      </c>
      <c r="C11" s="429">
        <f>'数据-汇总表'!I6</f>
        <v>0.51</v>
      </c>
      <c r="D11" s="136">
        <v>100</v>
      </c>
      <c r="E11" s="429">
        <f>土地案例!L1</f>
        <v>1.42</v>
      </c>
      <c r="F11" s="136">
        <f>LOOKUP(E11,75:75,76:76)-LOOKUP(C11,75:75,76:76)+100</f>
        <v>102</v>
      </c>
      <c r="G11" s="430">
        <f>土地案例!L2</f>
        <v>1.75</v>
      </c>
      <c r="H11" s="136">
        <f>LOOKUP(G11,75:75,76:76)-LOOKUP(C11,75:75,76:76)+100</f>
        <v>102</v>
      </c>
      <c r="I11" s="429">
        <f>土地案例!L3</f>
        <v>1.96</v>
      </c>
      <c r="J11" s="136">
        <f>LOOKUP(I11,75:75,76:76)-LOOKUP(C11,75:75,76:76)+100</f>
        <v>102</v>
      </c>
      <c r="K11" s="673">
        <v>2</v>
      </c>
      <c r="L11" s="1141"/>
      <c r="M11" s="1134"/>
      <c r="N11" s="1134"/>
      <c r="O11" s="1142"/>
      <c r="P11" s="3146"/>
      <c r="Q11" s="1798" t="str">
        <f t="shared" si="6"/>
        <v>容积率</v>
      </c>
      <c r="R11" s="770" t="s">
        <v>17</v>
      </c>
      <c r="S11" s="771">
        <f t="shared" si="0"/>
        <v>102</v>
      </c>
      <c r="T11" s="770" t="s">
        <v>17</v>
      </c>
      <c r="U11" s="771">
        <f t="shared" si="1"/>
        <v>102</v>
      </c>
      <c r="V11" s="770" t="s">
        <v>17</v>
      </c>
      <c r="W11" s="771">
        <f t="shared" si="2"/>
        <v>102</v>
      </c>
      <c r="X11" s="772"/>
      <c r="Y11" s="3023"/>
      <c r="Z11" s="55" t="str">
        <f t="shared" si="7"/>
        <v>容积率</v>
      </c>
      <c r="AA11" s="773">
        <f t="shared" si="3"/>
        <v>0.98039215686274506</v>
      </c>
      <c r="AB11" s="773">
        <f t="shared" si="4"/>
        <v>0.98039215686274506</v>
      </c>
      <c r="AC11" s="773">
        <f t="shared" si="5"/>
        <v>0.98039215686274506</v>
      </c>
    </row>
    <row r="12" spans="1:29" s="117" customFormat="1" ht="15" hidden="1">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46"/>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hidden="1">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46"/>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hidden="1"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46"/>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2548</v>
      </c>
      <c r="B15" s="629" t="s">
        <v>2787</v>
      </c>
      <c r="C15" s="2696"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49" t="s">
        <v>2549</v>
      </c>
      <c r="Q15" s="1813" t="str">
        <f t="shared" si="6"/>
        <v>产业集聚程度</v>
      </c>
      <c r="R15" s="774" t="s">
        <v>17</v>
      </c>
      <c r="S15" s="775">
        <f t="shared" si="0"/>
        <v>100</v>
      </c>
      <c r="T15" s="774" t="s">
        <v>17</v>
      </c>
      <c r="U15" s="775">
        <f t="shared" si="1"/>
        <v>100</v>
      </c>
      <c r="V15" s="774" t="s">
        <v>17</v>
      </c>
      <c r="W15" s="775">
        <f t="shared" si="2"/>
        <v>100</v>
      </c>
      <c r="X15" s="1816"/>
      <c r="Y15" s="3149" t="s">
        <v>2549</v>
      </c>
      <c r="Z15" s="1817" t="str">
        <f t="shared" si="7"/>
        <v>产业集聚程度</v>
      </c>
      <c r="AA15" s="1814">
        <f t="shared" si="3"/>
        <v>1</v>
      </c>
      <c r="AB15" s="1814">
        <f t="shared" si="4"/>
        <v>1</v>
      </c>
      <c r="AC15" s="1814">
        <f t="shared" si="5"/>
        <v>1</v>
      </c>
    </row>
    <row r="16" spans="1:29" ht="15">
      <c r="A16" s="428"/>
      <c r="B16" s="630"/>
      <c r="C16" s="447" t="s">
        <v>3067</v>
      </c>
      <c r="D16" s="448"/>
      <c r="E16" s="447" t="s">
        <v>3067</v>
      </c>
      <c r="F16" s="448"/>
      <c r="G16" s="447" t="s">
        <v>3067</v>
      </c>
      <c r="H16" s="450"/>
      <c r="I16" s="447" t="s">
        <v>3067</v>
      </c>
      <c r="J16" s="448"/>
      <c r="K16" s="672"/>
      <c r="L16" s="1143"/>
      <c r="M16" s="1134"/>
      <c r="N16" s="1134"/>
      <c r="O16" s="1142"/>
      <c r="P16" s="3150"/>
      <c r="Q16" s="1813"/>
      <c r="R16" s="774"/>
      <c r="S16" s="775"/>
      <c r="T16" s="774"/>
      <c r="U16" s="775"/>
      <c r="V16" s="774"/>
      <c r="W16" s="775"/>
      <c r="X16" s="1816"/>
      <c r="Y16" s="3150"/>
      <c r="Z16" s="1817"/>
      <c r="AA16" s="1814">
        <v>1</v>
      </c>
      <c r="AB16" s="1814">
        <v>1</v>
      </c>
      <c r="AC16" s="1814">
        <v>1</v>
      </c>
    </row>
    <row r="17" spans="1:29" ht="15">
      <c r="A17" s="428"/>
      <c r="B17" s="631" t="s">
        <v>2698</v>
      </c>
      <c r="C17" s="2610"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50"/>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1814">
        <f t="shared" si="5"/>
        <v>1</v>
      </c>
    </row>
    <row r="18" spans="1:29" ht="15">
      <c r="A18" s="428"/>
      <c r="B18" s="632"/>
      <c r="C18" s="447" t="s">
        <v>3067</v>
      </c>
      <c r="D18" s="448"/>
      <c r="E18" s="447" t="s">
        <v>3067</v>
      </c>
      <c r="F18" s="448"/>
      <c r="G18" s="447" t="s">
        <v>3067</v>
      </c>
      <c r="H18" s="448"/>
      <c r="I18" s="447" t="s">
        <v>3067</v>
      </c>
      <c r="J18" s="448"/>
      <c r="K18" s="672"/>
      <c r="L18" s="1143"/>
      <c r="M18" s="1134"/>
      <c r="N18" s="1134"/>
      <c r="O18" s="1142"/>
      <c r="P18" s="3150"/>
      <c r="Q18" s="1813"/>
      <c r="R18" s="774"/>
      <c r="S18" s="775"/>
      <c r="T18" s="774"/>
      <c r="U18" s="775"/>
      <c r="V18" s="774"/>
      <c r="W18" s="775"/>
      <c r="X18" s="1816"/>
      <c r="Y18" s="3150"/>
      <c r="Z18" s="1817"/>
      <c r="AA18" s="1814">
        <v>1</v>
      </c>
      <c r="AB18" s="1814">
        <v>1</v>
      </c>
      <c r="AC18" s="1814">
        <v>1</v>
      </c>
    </row>
    <row r="19" spans="1:29" ht="15">
      <c r="A19" s="428"/>
      <c r="B19" s="631" t="s">
        <v>2737</v>
      </c>
      <c r="C19" s="2610"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50"/>
      <c r="Q19" s="1813" t="str">
        <f t="shared" ref="Q19:Q33" si="8">B19</f>
        <v>区域土地利用方向</v>
      </c>
      <c r="R19" s="774" t="s">
        <v>17</v>
      </c>
      <c r="S19" s="775">
        <f>F19</f>
        <v>100</v>
      </c>
      <c r="T19" s="774" t="s">
        <v>17</v>
      </c>
      <c r="U19" s="775">
        <f>H19</f>
        <v>100</v>
      </c>
      <c r="V19" s="774" t="s">
        <v>17</v>
      </c>
      <c r="W19" s="775">
        <f>J19</f>
        <v>100</v>
      </c>
      <c r="X19" s="1816"/>
      <c r="Y19" s="3150"/>
      <c r="Z19" s="1817" t="str">
        <f>Q19</f>
        <v>区域土地利用方向</v>
      </c>
      <c r="AA19" s="1814">
        <f t="shared" si="3"/>
        <v>1</v>
      </c>
      <c r="AB19" s="1814">
        <f t="shared" si="4"/>
        <v>1</v>
      </c>
      <c r="AC19" s="1814">
        <f t="shared" si="5"/>
        <v>1</v>
      </c>
    </row>
    <row r="20" spans="1:29" ht="15">
      <c r="A20" s="404"/>
      <c r="B20" s="632"/>
      <c r="C20" s="447" t="s">
        <v>3067</v>
      </c>
      <c r="D20" s="448"/>
      <c r="E20" s="447" t="s">
        <v>3067</v>
      </c>
      <c r="F20" s="448"/>
      <c r="G20" s="447" t="s">
        <v>3067</v>
      </c>
      <c r="H20" s="448"/>
      <c r="I20" s="447" t="s">
        <v>3067</v>
      </c>
      <c r="J20" s="448"/>
      <c r="K20" s="812"/>
      <c r="L20" s="1143"/>
      <c r="M20" s="1134"/>
      <c r="N20" s="1134"/>
      <c r="O20" s="1142"/>
      <c r="P20" s="3150"/>
      <c r="Q20" s="1813"/>
      <c r="R20" s="774"/>
      <c r="S20" s="775"/>
      <c r="T20" s="774"/>
      <c r="U20" s="775"/>
      <c r="V20" s="774"/>
      <c r="W20" s="775"/>
      <c r="X20" s="1816"/>
      <c r="Y20" s="3150"/>
      <c r="Z20" s="1817"/>
      <c r="AA20" s="1814"/>
      <c r="AB20" s="1814"/>
      <c r="AC20" s="1814"/>
    </row>
    <row r="21" spans="1:29" ht="15">
      <c r="A21" s="404"/>
      <c r="B21" s="631" t="s">
        <v>2788</v>
      </c>
      <c r="C21" s="2610"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50"/>
      <c r="Q21" s="1813" t="str">
        <f t="shared" si="8"/>
        <v>环境状况</v>
      </c>
      <c r="R21" s="774" t="s">
        <v>17</v>
      </c>
      <c r="S21" s="775">
        <f>F21</f>
        <v>100</v>
      </c>
      <c r="T21" s="774" t="s">
        <v>17</v>
      </c>
      <c r="U21" s="775">
        <f>H21</f>
        <v>100</v>
      </c>
      <c r="V21" s="774" t="s">
        <v>17</v>
      </c>
      <c r="W21" s="775">
        <f>J21</f>
        <v>100</v>
      </c>
      <c r="X21" s="1816"/>
      <c r="Y21" s="3150"/>
      <c r="Z21" s="1817" t="str">
        <f>Q21</f>
        <v>环境状况</v>
      </c>
      <c r="AA21" s="1814">
        <f t="shared" si="3"/>
        <v>1</v>
      </c>
      <c r="AB21" s="1814">
        <f t="shared" si="4"/>
        <v>1</v>
      </c>
      <c r="AC21" s="1814">
        <f t="shared" si="5"/>
        <v>1</v>
      </c>
    </row>
    <row r="22" spans="1:29" ht="15">
      <c r="A22" s="404"/>
      <c r="B22" s="632"/>
      <c r="C22" s="447" t="s">
        <v>3067</v>
      </c>
      <c r="D22" s="448"/>
      <c r="E22" s="447" t="s">
        <v>3067</v>
      </c>
      <c r="F22" s="448"/>
      <c r="G22" s="447" t="s">
        <v>3067</v>
      </c>
      <c r="H22" s="448"/>
      <c r="I22" s="447" t="s">
        <v>3067</v>
      </c>
      <c r="J22" s="448"/>
      <c r="K22" s="672"/>
      <c r="L22" s="1143"/>
      <c r="M22" s="1134"/>
      <c r="N22" s="1134"/>
      <c r="O22" s="1142"/>
      <c r="P22" s="3150"/>
      <c r="Q22" s="1813"/>
      <c r="R22" s="774"/>
      <c r="S22" s="775"/>
      <c r="T22" s="774"/>
      <c r="U22" s="775"/>
      <c r="V22" s="774"/>
      <c r="W22" s="775"/>
      <c r="X22" s="1816"/>
      <c r="Y22" s="3150"/>
      <c r="Z22" s="1817"/>
      <c r="AA22" s="1814">
        <v>1</v>
      </c>
      <c r="AB22" s="1814">
        <v>1</v>
      </c>
      <c r="AC22" s="1814">
        <v>1</v>
      </c>
    </row>
    <row r="23" spans="1:29" s="117" customFormat="1" ht="15">
      <c r="A23" s="649"/>
      <c r="B23" s="633" t="s">
        <v>2643</v>
      </c>
      <c r="C23" s="2610" t="str">
        <f>估价对象房地状况!G19</f>
        <v>较好</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50"/>
      <c r="Q23" s="1798" t="str">
        <f t="shared" si="8"/>
        <v>公共配套设施</v>
      </c>
      <c r="R23" s="770" t="s">
        <v>17</v>
      </c>
      <c r="S23" s="771">
        <f>F23</f>
        <v>100</v>
      </c>
      <c r="T23" s="770" t="s">
        <v>17</v>
      </c>
      <c r="U23" s="771">
        <f>H23</f>
        <v>100</v>
      </c>
      <c r="V23" s="770" t="s">
        <v>17</v>
      </c>
      <c r="W23" s="771">
        <f>J23</f>
        <v>100</v>
      </c>
      <c r="X23" s="772"/>
      <c r="Y23" s="3150"/>
      <c r="Z23" s="55" t="str">
        <f>Q23</f>
        <v>公共配套设施</v>
      </c>
      <c r="AA23" s="1814">
        <f>D23/F23</f>
        <v>1</v>
      </c>
      <c r="AB23" s="1814">
        <f>D23/H23</f>
        <v>1</v>
      </c>
      <c r="AC23" s="1814">
        <f>D23/J23</f>
        <v>1</v>
      </c>
    </row>
    <row r="24" spans="1:29" s="117" customFormat="1" ht="15">
      <c r="A24" s="649"/>
      <c r="B24" s="632"/>
      <c r="C24" s="2703" t="s">
        <v>3067</v>
      </c>
      <c r="D24" s="448"/>
      <c r="E24" s="2703" t="s">
        <v>3067</v>
      </c>
      <c r="F24" s="448"/>
      <c r="G24" s="2703" t="s">
        <v>3067</v>
      </c>
      <c r="H24" s="448"/>
      <c r="I24" s="2703" t="s">
        <v>3067</v>
      </c>
      <c r="J24" s="448"/>
      <c r="K24" s="672"/>
      <c r="L24" s="1135"/>
      <c r="M24" s="1136"/>
      <c r="N24" s="1136"/>
      <c r="O24" s="1137"/>
      <c r="P24" s="3150"/>
      <c r="Q24" s="1798"/>
      <c r="R24" s="770"/>
      <c r="S24" s="771"/>
      <c r="T24" s="770"/>
      <c r="U24" s="771"/>
      <c r="V24" s="770"/>
      <c r="W24" s="771"/>
      <c r="X24" s="772"/>
      <c r="Y24" s="3150"/>
      <c r="Z24" s="55"/>
      <c r="AA24" s="773">
        <v>1</v>
      </c>
      <c r="AB24" s="773">
        <v>1</v>
      </c>
      <c r="AC24" s="773">
        <v>1</v>
      </c>
    </row>
    <row r="25" spans="1:29" s="117" customFormat="1" ht="15">
      <c r="A25" s="649"/>
      <c r="B25" s="633" t="s">
        <v>2644</v>
      </c>
      <c r="C25" s="2610"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50"/>
      <c r="Q25" s="1798" t="str">
        <f t="shared" ref="Q25" si="9">B25</f>
        <v>基础设施水平</v>
      </c>
      <c r="R25" s="770" t="s">
        <v>17</v>
      </c>
      <c r="S25" s="771">
        <f>F25</f>
        <v>100</v>
      </c>
      <c r="T25" s="770" t="s">
        <v>17</v>
      </c>
      <c r="U25" s="771">
        <f>H25</f>
        <v>100</v>
      </c>
      <c r="V25" s="770" t="s">
        <v>17</v>
      </c>
      <c r="W25" s="771">
        <f>J25</f>
        <v>100</v>
      </c>
      <c r="X25" s="772"/>
      <c r="Y25" s="3150"/>
      <c r="Z25" s="55" t="str">
        <f>Q25</f>
        <v>基础设施水平</v>
      </c>
      <c r="AA25" s="1814">
        <f>D25/F25</f>
        <v>1</v>
      </c>
      <c r="AB25" s="1814">
        <f>D25/H25</f>
        <v>1</v>
      </c>
      <c r="AC25" s="1814">
        <f>D25/J25</f>
        <v>1</v>
      </c>
    </row>
    <row r="26" spans="1:29" s="117" customFormat="1" ht="15">
      <c r="A26" s="649"/>
      <c r="B26" s="632"/>
      <c r="C26" s="2703" t="s">
        <v>3070</v>
      </c>
      <c r="D26" s="448"/>
      <c r="E26" s="2703" t="s">
        <v>3070</v>
      </c>
      <c r="F26" s="448"/>
      <c r="G26" s="2703" t="s">
        <v>3070</v>
      </c>
      <c r="H26" s="448"/>
      <c r="I26" s="2703" t="s">
        <v>3070</v>
      </c>
      <c r="J26" s="448"/>
      <c r="K26" s="672"/>
      <c r="L26" s="1135"/>
      <c r="M26" s="1136"/>
      <c r="N26" s="1136"/>
      <c r="O26" s="1137"/>
      <c r="P26" s="3150"/>
      <c r="Q26" s="1798"/>
      <c r="R26" s="770"/>
      <c r="S26" s="771"/>
      <c r="T26" s="770"/>
      <c r="U26" s="771"/>
      <c r="V26" s="770"/>
      <c r="W26" s="771"/>
      <c r="X26" s="772"/>
      <c r="Y26" s="3150"/>
      <c r="Z26" s="55"/>
      <c r="AA26" s="773">
        <v>1</v>
      </c>
      <c r="AB26" s="773">
        <v>1</v>
      </c>
      <c r="AC26" s="773">
        <v>1</v>
      </c>
    </row>
    <row r="27" spans="1:29" ht="15">
      <c r="A27" s="428"/>
      <c r="B27" s="632" t="s">
        <v>2645</v>
      </c>
      <c r="C27" s="616" t="s">
        <v>3224</v>
      </c>
      <c r="D27" s="435">
        <v>100</v>
      </c>
      <c r="E27" s="616" t="s">
        <v>3224</v>
      </c>
      <c r="F27" s="435">
        <f>SUMIF(95:95,E27,96:96)-SUMIF(95:95,C27,96:96)+100</f>
        <v>100</v>
      </c>
      <c r="G27" s="616" t="s">
        <v>3224</v>
      </c>
      <c r="H27" s="435">
        <f>SUMIF(95:95,G27,96:96)-SUMIF(95:95,C27,96:96)+100</f>
        <v>100</v>
      </c>
      <c r="I27" s="616" t="s">
        <v>3224</v>
      </c>
      <c r="J27" s="435">
        <f>SUMIF(95:95,I27,96:96)-SUMIF(95:95,C27,96:96)+100</f>
        <v>100</v>
      </c>
      <c r="K27" s="673">
        <v>2</v>
      </c>
      <c r="L27" s="1143"/>
      <c r="M27" s="1134"/>
      <c r="N27" s="1134"/>
      <c r="O27" s="1142"/>
      <c r="P27" s="315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0"/>
      <c r="Z27" s="1817" t="str">
        <f t="shared" ref="Z27:Z40" si="13">Q27</f>
        <v>临街状况</v>
      </c>
      <c r="AA27" s="1814">
        <f t="shared" si="3"/>
        <v>1</v>
      </c>
      <c r="AB27" s="1814">
        <f t="shared" si="4"/>
        <v>1</v>
      </c>
      <c r="AC27" s="1814">
        <f t="shared" si="5"/>
        <v>1</v>
      </c>
    </row>
    <row r="28" spans="1:29" ht="27">
      <c r="A28" s="428"/>
      <c r="B28" s="633" t="s">
        <v>2680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50"/>
      <c r="Q28" s="1813" t="str">
        <f t="shared" si="8"/>
        <v>毗邻道路的类型与等级</v>
      </c>
      <c r="R28" s="774" t="s">
        <v>17</v>
      </c>
      <c r="S28" s="775">
        <f t="shared" si="10"/>
        <v>100</v>
      </c>
      <c r="T28" s="774" t="s">
        <v>17</v>
      </c>
      <c r="U28" s="775">
        <f t="shared" si="11"/>
        <v>100</v>
      </c>
      <c r="V28" s="774" t="s">
        <v>17</v>
      </c>
      <c r="W28" s="775">
        <f t="shared" si="12"/>
        <v>100</v>
      </c>
      <c r="X28" s="1816"/>
      <c r="Y28" s="3150"/>
      <c r="Z28" s="1817" t="str">
        <f t="shared" si="13"/>
        <v>毗邻道路的类型与等级</v>
      </c>
      <c r="AA28" s="1814">
        <f t="shared" si="3"/>
        <v>1</v>
      </c>
      <c r="AB28" s="1814">
        <f t="shared" si="4"/>
        <v>1</v>
      </c>
      <c r="AC28" s="1814">
        <f t="shared" si="5"/>
        <v>1</v>
      </c>
    </row>
    <row r="29" spans="1:29" ht="15.75" thickBot="1">
      <c r="A29" s="428"/>
      <c r="B29" s="632"/>
      <c r="C29" s="447" t="s">
        <v>3209</v>
      </c>
      <c r="D29" s="448"/>
      <c r="E29" s="447" t="s">
        <v>3209</v>
      </c>
      <c r="F29" s="448"/>
      <c r="G29" s="447" t="s">
        <v>3209</v>
      </c>
      <c r="H29" s="448"/>
      <c r="I29" s="447" t="s">
        <v>3209</v>
      </c>
      <c r="J29" s="448"/>
      <c r="K29" s="613"/>
      <c r="L29" s="1143"/>
      <c r="M29" s="1134"/>
      <c r="N29" s="1134"/>
      <c r="O29" s="1142"/>
      <c r="P29" s="3150"/>
      <c r="Q29" s="1813"/>
      <c r="R29" s="774"/>
      <c r="S29" s="775"/>
      <c r="T29" s="774"/>
      <c r="U29" s="775"/>
      <c r="V29" s="774"/>
      <c r="W29" s="775"/>
      <c r="X29" s="1816"/>
      <c r="Y29" s="3150"/>
      <c r="Z29" s="1817"/>
      <c r="AA29" s="1814">
        <v>1</v>
      </c>
      <c r="AB29" s="1814">
        <v>1</v>
      </c>
      <c r="AC29" s="1814">
        <v>1</v>
      </c>
    </row>
    <row r="30" spans="1:29" ht="15" hidden="1">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0"/>
      <c r="Q30" s="1813" t="str">
        <f t="shared" si="8"/>
        <v>土地级别</v>
      </c>
      <c r="R30" s="774" t="s">
        <v>17</v>
      </c>
      <c r="S30" s="775">
        <f t="shared" si="10"/>
        <v>100</v>
      </c>
      <c r="T30" s="774" t="s">
        <v>17</v>
      </c>
      <c r="U30" s="775">
        <f t="shared" si="11"/>
        <v>100</v>
      </c>
      <c r="V30" s="774" t="s">
        <v>17</v>
      </c>
      <c r="W30" s="775">
        <f t="shared" si="12"/>
        <v>100</v>
      </c>
      <c r="X30" s="1816"/>
      <c r="Y30" s="3150"/>
      <c r="Z30" s="1817" t="str">
        <f t="shared" si="13"/>
        <v>土地级别</v>
      </c>
      <c r="AA30" s="1814">
        <f t="shared" si="3"/>
        <v>1</v>
      </c>
      <c r="AB30" s="1814">
        <f t="shared" si="4"/>
        <v>1</v>
      </c>
      <c r="AC30" s="1814">
        <f t="shared" si="5"/>
        <v>1</v>
      </c>
    </row>
    <row r="31" spans="1:29" ht="15" hidden="1">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0"/>
      <c r="Q31" s="1813">
        <f t="shared" si="8"/>
        <v>111</v>
      </c>
      <c r="R31" s="774" t="s">
        <v>17</v>
      </c>
      <c r="S31" s="775">
        <f t="shared" si="10"/>
        <v>100</v>
      </c>
      <c r="T31" s="774" t="s">
        <v>17</v>
      </c>
      <c r="U31" s="775">
        <f t="shared" si="11"/>
        <v>100</v>
      </c>
      <c r="V31" s="774" t="s">
        <v>17</v>
      </c>
      <c r="W31" s="775">
        <f t="shared" si="12"/>
        <v>100</v>
      </c>
      <c r="X31" s="1816"/>
      <c r="Y31" s="3150"/>
      <c r="Z31" s="1817">
        <f t="shared" si="13"/>
        <v>111</v>
      </c>
      <c r="AA31" s="1814">
        <f t="shared" si="3"/>
        <v>1</v>
      </c>
      <c r="AB31" s="1814">
        <f t="shared" si="4"/>
        <v>1</v>
      </c>
      <c r="AC31" s="1814">
        <f t="shared" si="5"/>
        <v>1</v>
      </c>
    </row>
    <row r="32" spans="1:29" ht="15" hidden="1">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1" t="s">
        <v>2554</v>
      </c>
      <c r="Q32" s="1813">
        <f t="shared" si="8"/>
        <v>111</v>
      </c>
      <c r="R32" s="774" t="s">
        <v>17</v>
      </c>
      <c r="S32" s="775">
        <f t="shared" si="10"/>
        <v>100</v>
      </c>
      <c r="T32" s="774" t="s">
        <v>17</v>
      </c>
      <c r="U32" s="775">
        <f t="shared" si="11"/>
        <v>100</v>
      </c>
      <c r="V32" s="774" t="s">
        <v>17</v>
      </c>
      <c r="W32" s="775">
        <f t="shared" si="12"/>
        <v>100</v>
      </c>
      <c r="X32" s="1816"/>
      <c r="Y32" s="3152" t="s">
        <v>2554</v>
      </c>
      <c r="Z32" s="1817">
        <f t="shared" si="13"/>
        <v>111</v>
      </c>
      <c r="AA32" s="1814">
        <f t="shared" si="3"/>
        <v>1</v>
      </c>
      <c r="AB32" s="1814">
        <f t="shared" si="4"/>
        <v>1</v>
      </c>
      <c r="AC32" s="1814">
        <f t="shared" si="5"/>
        <v>1</v>
      </c>
    </row>
    <row r="33" spans="1:29" s="471" customFormat="1" ht="15.75" hidden="1"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2"/>
      <c r="Q33" s="1813">
        <f t="shared" si="8"/>
        <v>111</v>
      </c>
      <c r="R33" s="777" t="s">
        <v>17</v>
      </c>
      <c r="S33" s="778">
        <f t="shared" si="10"/>
        <v>100</v>
      </c>
      <c r="T33" s="777" t="s">
        <v>17</v>
      </c>
      <c r="U33" s="778">
        <f t="shared" si="11"/>
        <v>100</v>
      </c>
      <c r="V33" s="777" t="s">
        <v>17</v>
      </c>
      <c r="W33" s="778">
        <f t="shared" si="12"/>
        <v>100</v>
      </c>
      <c r="X33" s="779"/>
      <c r="Y33" s="3152"/>
      <c r="Z33" s="780">
        <f t="shared" si="13"/>
        <v>111</v>
      </c>
      <c r="AA33" s="1814">
        <f t="shared" si="3"/>
        <v>1</v>
      </c>
      <c r="AB33" s="1814">
        <f t="shared" si="4"/>
        <v>1</v>
      </c>
      <c r="AC33" s="1814">
        <f t="shared" si="5"/>
        <v>1</v>
      </c>
    </row>
    <row r="34" spans="1:29" ht="15">
      <c r="A34" s="440" t="s">
        <v>2552</v>
      </c>
      <c r="B34" s="456" t="s">
        <v>2740</v>
      </c>
      <c r="C34" s="679">
        <f>'数据-汇总表'!D3</f>
        <v>35092</v>
      </c>
      <c r="D34" s="467">
        <v>100</v>
      </c>
      <c r="E34" s="679">
        <f>土地案例!J1</f>
        <v>69726.100000000006</v>
      </c>
      <c r="F34" s="467">
        <f>LOOKUP(E34,108:108,109:109)-LOOKUP(C34,108:108,109:109)+100</f>
        <v>101</v>
      </c>
      <c r="G34" s="679">
        <f>土地案例!J2</f>
        <v>48248.4</v>
      </c>
      <c r="H34" s="467">
        <f>LOOKUP(G34,108:108,109:109)-LOOKUP(C34,108:108,109:109)+100</f>
        <v>100</v>
      </c>
      <c r="I34" s="530">
        <f>土地案例!J3</f>
        <v>384367.5</v>
      </c>
      <c r="J34" s="467">
        <f>LOOKUP(I34,108:108,109:109)-LOOKUP(C34,108:108,109:109)+100</f>
        <v>103</v>
      </c>
      <c r="K34" s="613"/>
      <c r="L34" s="1143"/>
      <c r="M34" s="1134"/>
      <c r="N34" s="1134"/>
      <c r="O34" s="1142"/>
      <c r="P34" s="3152"/>
      <c r="Q34" s="1813" t="str">
        <f>B34</f>
        <v>宗地面积</v>
      </c>
      <c r="R34" s="774" t="s">
        <v>17</v>
      </c>
      <c r="S34" s="775">
        <f t="shared" si="10"/>
        <v>101</v>
      </c>
      <c r="T34" s="774" t="s">
        <v>17</v>
      </c>
      <c r="U34" s="775">
        <f t="shared" si="11"/>
        <v>100</v>
      </c>
      <c r="V34" s="774" t="s">
        <v>17</v>
      </c>
      <c r="W34" s="775">
        <f t="shared" si="12"/>
        <v>103</v>
      </c>
      <c r="X34" s="1816"/>
      <c r="Y34" s="3152"/>
      <c r="Z34" s="1817" t="str">
        <f t="shared" si="13"/>
        <v>宗地面积</v>
      </c>
      <c r="AA34" s="1814">
        <f t="shared" si="3"/>
        <v>0.99009900990099009</v>
      </c>
      <c r="AB34" s="1814">
        <f t="shared" si="4"/>
        <v>1</v>
      </c>
      <c r="AC34" s="1814">
        <f t="shared" si="5"/>
        <v>0.970873786407767</v>
      </c>
    </row>
    <row r="35" spans="1:29" ht="15">
      <c r="A35" s="472"/>
      <c r="B35" s="422" t="s">
        <v>2741</v>
      </c>
      <c r="C35" s="2616" t="s">
        <v>3212</v>
      </c>
      <c r="D35" s="435">
        <v>100</v>
      </c>
      <c r="E35" s="2616" t="s">
        <v>3212</v>
      </c>
      <c r="F35" s="435">
        <f>SUMIF(110:110,E35,111:111)-SUMIF(110:110,C35,111:111)+100</f>
        <v>100</v>
      </c>
      <c r="G35" s="2616" t="s">
        <v>3212</v>
      </c>
      <c r="H35" s="435">
        <f>SUMIF(110:110,G35,111:111)-SUMIF(110:110,C35,111:111)+100</f>
        <v>100</v>
      </c>
      <c r="I35" s="2616" t="s">
        <v>3212</v>
      </c>
      <c r="J35" s="435">
        <f>SUMIF(110:110,I35,111:111)-SUMIF(110:110,C35,111:111)+100</f>
        <v>100</v>
      </c>
      <c r="K35" s="612">
        <v>2</v>
      </c>
      <c r="L35" s="1143"/>
      <c r="M35" s="1134"/>
      <c r="N35" s="1134"/>
      <c r="O35" s="1142"/>
      <c r="P35" s="3152"/>
      <c r="Q35" s="1813" t="str">
        <f t="shared" ref="Q35:Q40" si="14">B35</f>
        <v>宗地形状</v>
      </c>
      <c r="R35" s="774" t="s">
        <v>17</v>
      </c>
      <c r="S35" s="775">
        <f t="shared" si="10"/>
        <v>100</v>
      </c>
      <c r="T35" s="774" t="s">
        <v>17</v>
      </c>
      <c r="U35" s="775">
        <f t="shared" si="11"/>
        <v>100</v>
      </c>
      <c r="V35" s="774" t="s">
        <v>17</v>
      </c>
      <c r="W35" s="775">
        <f t="shared" si="12"/>
        <v>100</v>
      </c>
      <c r="X35" s="1816"/>
      <c r="Y35" s="3152"/>
      <c r="Z35" s="1817" t="str">
        <f t="shared" si="13"/>
        <v>宗地形状</v>
      </c>
      <c r="AA35" s="1814">
        <f t="shared" si="3"/>
        <v>1</v>
      </c>
      <c r="AB35" s="1814">
        <f t="shared" si="4"/>
        <v>1</v>
      </c>
      <c r="AC35" s="1814">
        <f t="shared" si="5"/>
        <v>1</v>
      </c>
    </row>
    <row r="36" spans="1:29" s="117" customFormat="1" ht="15">
      <c r="A36" s="473"/>
      <c r="B36" s="422" t="s">
        <v>2743</v>
      </c>
      <c r="C36" s="2705" t="s">
        <v>3217</v>
      </c>
      <c r="D36" s="136">
        <v>100</v>
      </c>
      <c r="E36" s="2705" t="s">
        <v>3217</v>
      </c>
      <c r="F36" s="435">
        <f>SUMIF(112:112,E36,113:113)-SUMIF(112:112,C36,113:113)+100</f>
        <v>100</v>
      </c>
      <c r="G36" s="2705" t="s">
        <v>3217</v>
      </c>
      <c r="H36" s="435">
        <f>SUMIF(112:112,G36,113:113)-SUMIF(112:112,C36,113:113)+100</f>
        <v>100</v>
      </c>
      <c r="I36" s="2705" t="s">
        <v>3217</v>
      </c>
      <c r="J36" s="435">
        <f>SUMIF(112:112,I36,113:113)-SUMIF(112:112,C36,113:113)+100</f>
        <v>100</v>
      </c>
      <c r="K36" s="612">
        <v>1</v>
      </c>
      <c r="L36" s="1135"/>
      <c r="M36" s="1136"/>
      <c r="N36" s="1136"/>
      <c r="O36" s="1137"/>
      <c r="P36" s="3152"/>
      <c r="Q36" s="1813" t="str">
        <f t="shared" si="14"/>
        <v>宗地开发程度</v>
      </c>
      <c r="R36" s="770" t="s">
        <v>17</v>
      </c>
      <c r="S36" s="771">
        <f t="shared" si="10"/>
        <v>100</v>
      </c>
      <c r="T36" s="770" t="s">
        <v>17</v>
      </c>
      <c r="U36" s="771">
        <f t="shared" si="11"/>
        <v>100</v>
      </c>
      <c r="V36" s="770" t="s">
        <v>17</v>
      </c>
      <c r="W36" s="771">
        <f t="shared" si="12"/>
        <v>100</v>
      </c>
      <c r="X36" s="772"/>
      <c r="Y36" s="3152"/>
      <c r="Z36" s="55" t="str">
        <f t="shared" si="13"/>
        <v>宗地开发程度</v>
      </c>
      <c r="AA36" s="773">
        <f t="shared" si="3"/>
        <v>1</v>
      </c>
      <c r="AB36" s="773">
        <f t="shared" si="4"/>
        <v>1</v>
      </c>
      <c r="AC36" s="773">
        <f t="shared" si="5"/>
        <v>1</v>
      </c>
    </row>
    <row r="37" spans="1:29" ht="15.75" thickBot="1">
      <c r="A37" s="472"/>
      <c r="B37" s="422" t="s">
        <v>2744</v>
      </c>
      <c r="C37" s="2616" t="s">
        <v>3067</v>
      </c>
      <c r="D37" s="435">
        <v>100</v>
      </c>
      <c r="E37" s="2616" t="s">
        <v>3067</v>
      </c>
      <c r="F37" s="435">
        <f>SUMIF(114:114,E37,115:115)-SUMIF(114:114,C37,115:115)+100</f>
        <v>100</v>
      </c>
      <c r="G37" s="2616" t="s">
        <v>3067</v>
      </c>
      <c r="H37" s="435">
        <f>SUMIF(114:114,G37,115:115)-SUMIF(114:114,C37,115:115)+100</f>
        <v>100</v>
      </c>
      <c r="I37" s="2616" t="s">
        <v>3067</v>
      </c>
      <c r="J37" s="435">
        <f>SUMIF(114:114,I37,115:115)-SUMIF(114:114,C37,115:115)+100</f>
        <v>100</v>
      </c>
      <c r="K37" s="612">
        <v>2</v>
      </c>
      <c r="L37" s="1143"/>
      <c r="M37" s="1134"/>
      <c r="N37" s="1134"/>
      <c r="O37" s="1142"/>
      <c r="P37" s="3152" t="s">
        <v>2554</v>
      </c>
      <c r="Q37" s="1813" t="str">
        <f t="shared" si="14"/>
        <v>工程地质条件</v>
      </c>
      <c r="R37" s="774" t="s">
        <v>17</v>
      </c>
      <c r="S37" s="775">
        <f t="shared" si="10"/>
        <v>100</v>
      </c>
      <c r="T37" s="774" t="s">
        <v>17</v>
      </c>
      <c r="U37" s="775">
        <f t="shared" si="11"/>
        <v>100</v>
      </c>
      <c r="V37" s="774" t="s">
        <v>17</v>
      </c>
      <c r="W37" s="775">
        <f t="shared" si="12"/>
        <v>100</v>
      </c>
      <c r="X37" s="1816"/>
      <c r="Y37" s="3152" t="s">
        <v>2554</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2"/>
      <c r="Q38" s="1813">
        <f t="shared" si="14"/>
        <v>111</v>
      </c>
      <c r="R38" s="774" t="s">
        <v>17</v>
      </c>
      <c r="S38" s="775">
        <f t="shared" si="10"/>
        <v>100</v>
      </c>
      <c r="T38" s="774" t="s">
        <v>17</v>
      </c>
      <c r="U38" s="775">
        <f t="shared" si="11"/>
        <v>100</v>
      </c>
      <c r="V38" s="774" t="s">
        <v>17</v>
      </c>
      <c r="W38" s="775">
        <f t="shared" si="12"/>
        <v>100</v>
      </c>
      <c r="X38" s="1816"/>
      <c r="Y38" s="3152"/>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2"/>
      <c r="Q39" s="1813">
        <f t="shared" si="14"/>
        <v>111</v>
      </c>
      <c r="R39" s="774" t="s">
        <v>17</v>
      </c>
      <c r="S39" s="775">
        <f t="shared" si="10"/>
        <v>100</v>
      </c>
      <c r="T39" s="774" t="s">
        <v>17</v>
      </c>
      <c r="U39" s="775">
        <f t="shared" si="11"/>
        <v>100</v>
      </c>
      <c r="V39" s="774" t="s">
        <v>17</v>
      </c>
      <c r="W39" s="775">
        <f t="shared" si="12"/>
        <v>100</v>
      </c>
      <c r="X39" s="1816"/>
      <c r="Y39" s="3152"/>
      <c r="Z39" s="1817">
        <f t="shared" si="13"/>
        <v>111</v>
      </c>
      <c r="AA39" s="1814">
        <f t="shared" si="3"/>
        <v>1</v>
      </c>
      <c r="AB39" s="1814">
        <f t="shared" si="4"/>
        <v>1</v>
      </c>
      <c r="AC39" s="1814">
        <f t="shared" si="5"/>
        <v>1</v>
      </c>
    </row>
    <row r="40" spans="1:29" s="471" customFormat="1" ht="15.75" hidden="1"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2"/>
      <c r="Q40" s="1813">
        <f t="shared" si="14"/>
        <v>111</v>
      </c>
      <c r="R40" s="777" t="s">
        <v>17</v>
      </c>
      <c r="S40" s="778">
        <f t="shared" si="10"/>
        <v>100</v>
      </c>
      <c r="T40" s="777" t="s">
        <v>17</v>
      </c>
      <c r="U40" s="778">
        <f t="shared" si="11"/>
        <v>100</v>
      </c>
      <c r="V40" s="777" t="s">
        <v>17</v>
      </c>
      <c r="W40" s="778">
        <f t="shared" si="12"/>
        <v>100</v>
      </c>
      <c r="X40" s="779"/>
      <c r="Y40" s="3152"/>
      <c r="Z40" s="780">
        <f t="shared" si="13"/>
        <v>111</v>
      </c>
      <c r="AA40" s="1814">
        <f t="shared" si="3"/>
        <v>1</v>
      </c>
      <c r="AB40" s="1814">
        <f t="shared" si="4"/>
        <v>1</v>
      </c>
      <c r="AC40" s="1814">
        <f t="shared" si="5"/>
        <v>1</v>
      </c>
    </row>
    <row r="41" spans="1:29" ht="15">
      <c r="A41" s="479" t="s">
        <v>2709</v>
      </c>
      <c r="B41" s="2707" t="s">
        <v>3225</v>
      </c>
      <c r="C41" s="682" t="s">
        <v>1</v>
      </c>
      <c r="D41" s="481"/>
      <c r="E41" s="482">
        <f>土地案例!AL1</f>
        <v>1190</v>
      </c>
      <c r="F41" s="483"/>
      <c r="G41" s="484">
        <f>土地案例!AL2</f>
        <v>1199</v>
      </c>
      <c r="H41" s="485"/>
      <c r="I41" s="482">
        <f>土地案例!AL3</f>
        <v>1201</v>
      </c>
      <c r="J41" s="485"/>
      <c r="K41" s="783"/>
      <c r="L41" s="1146"/>
      <c r="M41" s="1134"/>
      <c r="N41" s="1134"/>
      <c r="O41" s="1147"/>
      <c r="P41" s="3146" t="str">
        <f>A41</f>
        <v>成交单价</v>
      </c>
      <c r="Q41" s="3146"/>
      <c r="R41" s="3148">
        <f>E41</f>
        <v>1190</v>
      </c>
      <c r="S41" s="3148"/>
      <c r="T41" s="3148">
        <f>G41</f>
        <v>1199</v>
      </c>
      <c r="U41" s="3148"/>
      <c r="V41" s="3148">
        <f>I41</f>
        <v>1201</v>
      </c>
      <c r="W41" s="3148"/>
      <c r="X41" s="759"/>
      <c r="Y41" s="781"/>
      <c r="Z41" s="759"/>
      <c r="AA41" s="759"/>
      <c r="AB41" s="759"/>
      <c r="AC41" s="759"/>
    </row>
    <row r="42" spans="1:29" ht="15.75" thickBot="1">
      <c r="A42" s="486" t="s">
        <v>2658</v>
      </c>
      <c r="B42" s="683"/>
      <c r="C42" s="490">
        <f>R43</f>
        <v>1086</v>
      </c>
      <c r="D42" s="489"/>
      <c r="E42" s="490">
        <f>R42</f>
        <v>1076</v>
      </c>
      <c r="F42" s="491"/>
      <c r="G42" s="488">
        <f>T42</f>
        <v>1095</v>
      </c>
      <c r="H42" s="489"/>
      <c r="I42" s="490">
        <f>V42</f>
        <v>1087</v>
      </c>
      <c r="J42" s="489"/>
      <c r="K42" s="784"/>
      <c r="L42" s="1146"/>
      <c r="M42" s="1134"/>
      <c r="N42" s="1134"/>
      <c r="O42" s="1147"/>
      <c r="P42" s="3146" t="str">
        <f>A42</f>
        <v>比较价值（元/平方米）</v>
      </c>
      <c r="Q42" s="3146"/>
      <c r="R42" s="3147">
        <f>ROUND(PRODUCT(R41,AA7:AA40),0)</f>
        <v>1076</v>
      </c>
      <c r="S42" s="3147"/>
      <c r="T42" s="3147">
        <f>ROUND(PRODUCT(T41,AB7:AB40),0)</f>
        <v>1095</v>
      </c>
      <c r="U42" s="3147"/>
      <c r="V42" s="3147">
        <f>ROUND(PRODUCT(V41,AC7:AC40),0)</f>
        <v>1087</v>
      </c>
      <c r="W42" s="3147"/>
      <c r="X42" s="759"/>
      <c r="Y42" s="759"/>
      <c r="Z42" s="759"/>
      <c r="AA42" s="759"/>
      <c r="AB42" s="759"/>
      <c r="AC42" s="759"/>
    </row>
    <row r="43" spans="1:29" ht="15.75" thickBot="1">
      <c r="A43" s="492" t="s">
        <v>2659</v>
      </c>
      <c r="B43" s="493"/>
      <c r="C43" s="494">
        <f>R43</f>
        <v>1086</v>
      </c>
      <c r="D43" s="494"/>
      <c r="E43" s="494"/>
      <c r="F43" s="494"/>
      <c r="G43" s="494"/>
      <c r="H43" s="494"/>
      <c r="I43" s="494"/>
      <c r="J43" s="494"/>
      <c r="K43" s="785"/>
      <c r="L43" s="1146"/>
      <c r="M43" s="1134"/>
      <c r="N43" s="1134"/>
      <c r="O43" s="1147"/>
      <c r="P43" s="3143" t="str">
        <f>A43</f>
        <v>估价对象XX用房的比较价值（楼面单价，元/平方米）</v>
      </c>
      <c r="Q43" s="3144"/>
      <c r="R43" s="3145">
        <f>ROUND(AVERAGE(R42:V42),0)</f>
        <v>1086</v>
      </c>
      <c r="S43" s="3145"/>
      <c r="T43" s="3145"/>
      <c r="U43" s="3145"/>
      <c r="V43" s="3145"/>
      <c r="W43" s="314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f>IF(E41&lt;E42,E42/E41-1,E41/E42-1)</f>
        <v>0.10594795539033464</v>
      </c>
      <c r="F46" s="500" t="str">
        <f>IF(OR(E46&gt;=0.3,E46&lt;=-0.3),"超过30%","")</f>
        <v/>
      </c>
      <c r="G46" s="499">
        <f>IF(G41&lt;G42,G42/G41-1,G41/G42-1)</f>
        <v>9.4977168949771595E-2</v>
      </c>
      <c r="H46" s="500" t="str">
        <f>IF(OR(G46&gt;=0.3,G46&lt;=-0.3),"超过30%","")</f>
        <v/>
      </c>
      <c r="I46" s="499">
        <f>IF(I41&lt;I42,I42/I41-1,I41/I42-1)</f>
        <v>0.10487580496780136</v>
      </c>
      <c r="J46" s="500" t="str">
        <f>IF(OR(I46&gt;=0.3,I46&lt;=-0.3),"超过30%","")</f>
        <v/>
      </c>
      <c r="K46" s="1108"/>
      <c r="L46" s="1109"/>
      <c r="M46" s="1134"/>
      <c r="N46" s="1134"/>
      <c r="O46" s="1147"/>
    </row>
    <row r="47" spans="1:29" ht="13.5" customHeight="1">
      <c r="A47" s="1147"/>
      <c r="B47" s="1147"/>
      <c r="C47" s="497" t="s">
        <v>2661</v>
      </c>
      <c r="D47" s="501"/>
      <c r="E47" s="499">
        <f>IF(E42&lt;G42,G42/E42-1,E42/G42-1)</f>
        <v>1.7657992565055736E-2</v>
      </c>
      <c r="F47" s="500" t="str">
        <f>IF(OR(E47&gt;=0.2,E47&lt;=-0.2),"超过20%","")</f>
        <v/>
      </c>
      <c r="G47" s="499">
        <f>IF(G42&lt;I42,I42/G42-1,G42/I42-1)</f>
        <v>7.3597056117755688E-3</v>
      </c>
      <c r="H47" s="500" t="str">
        <f>IF(OR(G47&gt;=0.2,G47&lt;=-0.2),"超过20%","")</f>
        <v/>
      </c>
      <c r="I47" s="499">
        <f>IF(I42&lt;E42,E42/I42-1,I42/E42-1)</f>
        <v>1.0223048327137496E-2</v>
      </c>
      <c r="J47" s="500" t="str">
        <f>IF(OR(I47&gt;=0.2,I47&lt;=-0.2),"超过20%","")</f>
        <v/>
      </c>
      <c r="K47" s="1108"/>
      <c r="L47" s="1109"/>
      <c r="M47" s="1147"/>
      <c r="N47" s="1147"/>
      <c r="O47" s="1147"/>
    </row>
    <row r="48" spans="1:29" s="502" customFormat="1" ht="13.5" customHeight="1">
      <c r="A48" s="1148"/>
      <c r="B48" s="1148"/>
      <c r="C48" s="497" t="s">
        <v>2662</v>
      </c>
      <c r="D48" s="501"/>
      <c r="E48" s="499">
        <f>IF(E41&lt;G41,G41/E41-1,E41/G41-1)</f>
        <v>7.5630252100840067E-3</v>
      </c>
      <c r="F48" s="500" t="str">
        <f>IF(OR(E48&gt;=0.3,E48&lt;=-0.3),"超过30%","")</f>
        <v/>
      </c>
      <c r="G48" s="499">
        <f>IF(G41&lt;I41,I41/G41-1,G41/I41-1)</f>
        <v>1.6680567139282232E-3</v>
      </c>
      <c r="H48" s="500" t="str">
        <f>IF(OR(G48&gt;=0.3,G48&lt;=-0.3),"超过30%","")</f>
        <v/>
      </c>
      <c r="I48" s="499">
        <f>IF(I41&lt;E41,E41/I41-1,I41/E41-1)</f>
        <v>9.2436974789915638E-3</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8" t="s">
        <v>2749</v>
      </c>
      <c r="D50" s="2709" t="s">
        <v>2750</v>
      </c>
      <c r="E50" s="686" t="s">
        <v>2751</v>
      </c>
      <c r="F50" s="687" t="s">
        <v>2752</v>
      </c>
      <c r="G50" s="3156" t="s">
        <v>2753</v>
      </c>
      <c r="H50" s="3170"/>
      <c r="I50" s="1817" t="s">
        <v>2789</v>
      </c>
      <c r="J50" s="1817" t="str">
        <f>项目基本情况!F35</f>
        <v>上海市</v>
      </c>
      <c r="K50" s="2711" t="s">
        <v>2755</v>
      </c>
      <c r="L50" s="1109"/>
      <c r="M50" s="1147"/>
      <c r="N50" s="1147"/>
      <c r="O50" s="1147"/>
    </row>
    <row r="51" spans="1:17" s="692" customFormat="1">
      <c r="A51" s="688" t="s">
        <v>2756</v>
      </c>
      <c r="B51" s="689">
        <f>C43</f>
        <v>1086</v>
      </c>
      <c r="C51" s="690">
        <v>1</v>
      </c>
      <c r="D51" s="1166">
        <v>1</v>
      </c>
      <c r="E51" s="690">
        <f>'数据-汇总表'!E8+'数据-汇总表'!E9</f>
        <v>17787.509999999998</v>
      </c>
      <c r="F51" s="691">
        <f t="shared" ref="F51:F60" si="15">ROUND(B51*E51/10000,0)</f>
        <v>1932</v>
      </c>
      <c r="G51" s="3171"/>
      <c r="H51" s="3146"/>
      <c r="I51" s="945">
        <v>1</v>
      </c>
      <c r="J51" s="945">
        <v>1</v>
      </c>
      <c r="K51" s="1148"/>
      <c r="L51" s="944"/>
      <c r="M51" s="944"/>
      <c r="N51" s="944"/>
      <c r="O51" s="944"/>
    </row>
    <row r="52" spans="1:17" s="692" customFormat="1">
      <c r="A52" s="693" t="s">
        <v>2757</v>
      </c>
      <c r="B52" s="262">
        <f>ROUND($C$43*C52*D52,0)</f>
        <v>0</v>
      </c>
      <c r="C52" s="200">
        <f t="shared" ref="C52:C60" si="16">IF($C$50="北京市系数",I52,J52)</f>
        <v>0</v>
      </c>
      <c r="D52" s="1167">
        <v>0.25</v>
      </c>
      <c r="E52" s="694"/>
      <c r="F52" s="691">
        <f t="shared" si="15"/>
        <v>0</v>
      </c>
      <c r="G52" s="3172" t="s">
        <v>2758</v>
      </c>
      <c r="H52" s="1107">
        <f>项目基本情况!B37</f>
        <v>0</v>
      </c>
      <c r="I52" s="945">
        <f>SUMIF(修正!A45:A56,H52,修正!B45:B56)</f>
        <v>0</v>
      </c>
      <c r="J52" s="946"/>
      <c r="K52" s="1147"/>
      <c r="L52" s="944"/>
      <c r="M52" s="944"/>
      <c r="N52" s="944"/>
      <c r="O52" s="944"/>
    </row>
    <row r="53" spans="1:17" s="692" customFormat="1">
      <c r="A53" s="693" t="s">
        <v>2759</v>
      </c>
      <c r="B53" s="262">
        <f t="shared" ref="B53:B60" si="17">ROUND($C$43*C53*D53,0)</f>
        <v>0</v>
      </c>
      <c r="C53" s="200">
        <f t="shared" si="16"/>
        <v>0</v>
      </c>
      <c r="D53" s="1167">
        <v>0.25</v>
      </c>
      <c r="E53" s="694"/>
      <c r="F53" s="691">
        <f t="shared" si="15"/>
        <v>0</v>
      </c>
      <c r="G53" s="3172"/>
      <c r="H53" s="1107">
        <f>项目基本情况!B37</f>
        <v>0</v>
      </c>
      <c r="I53" s="945">
        <f>SUMIF(修正!A45:A56,H53,修正!C45:C56)</f>
        <v>0</v>
      </c>
      <c r="J53" s="946"/>
      <c r="K53" s="1148"/>
      <c r="L53" s="944"/>
      <c r="M53" s="944"/>
      <c r="N53" s="944"/>
      <c r="O53" s="944"/>
    </row>
    <row r="54" spans="1:17" s="692" customFormat="1">
      <c r="A54" s="693" t="s">
        <v>2760</v>
      </c>
      <c r="B54" s="262">
        <f t="shared" si="17"/>
        <v>0</v>
      </c>
      <c r="C54" s="200">
        <f t="shared" si="16"/>
        <v>0</v>
      </c>
      <c r="D54" s="1167">
        <v>0.25</v>
      </c>
      <c r="E54" s="694"/>
      <c r="F54" s="691">
        <f t="shared" si="15"/>
        <v>0</v>
      </c>
      <c r="G54" s="3172"/>
      <c r="H54" s="1107">
        <f>项目基本情况!B37</f>
        <v>0</v>
      </c>
      <c r="I54" s="945">
        <f>SUMIF(修正!A45:A56,H54,修正!D45:D56)</f>
        <v>0</v>
      </c>
      <c r="J54" s="946"/>
      <c r="K54" s="1147"/>
      <c r="L54" s="944"/>
      <c r="M54" s="944"/>
      <c r="N54" s="944"/>
      <c r="O54" s="944"/>
    </row>
    <row r="55" spans="1:17" s="692" customFormat="1">
      <c r="A55" s="693" t="s">
        <v>2761</v>
      </c>
      <c r="B55" s="262">
        <f t="shared" si="17"/>
        <v>0</v>
      </c>
      <c r="C55" s="200">
        <f t="shared" si="16"/>
        <v>0</v>
      </c>
      <c r="D55" s="1167">
        <v>0.25</v>
      </c>
      <c r="E55" s="694"/>
      <c r="F55" s="691">
        <f t="shared" si="15"/>
        <v>0</v>
      </c>
      <c r="G55" s="3172"/>
      <c r="H55" s="1107">
        <f>项目基本情况!B37</f>
        <v>0</v>
      </c>
      <c r="I55" s="945">
        <f>SUMIF(修正!A45:A56,H55,修正!E45:E56)</f>
        <v>0</v>
      </c>
      <c r="J55" s="946"/>
      <c r="K55" s="1148"/>
      <c r="L55" s="944"/>
      <c r="M55" s="944"/>
      <c r="N55" s="944"/>
      <c r="O55" s="944"/>
    </row>
    <row r="56" spans="1:17" s="692" customFormat="1">
      <c r="A56" s="693" t="s">
        <v>2762</v>
      </c>
      <c r="B56" s="262">
        <f t="shared" si="17"/>
        <v>0</v>
      </c>
      <c r="C56" s="200">
        <f t="shared" si="16"/>
        <v>0</v>
      </c>
      <c r="D56" s="1167">
        <v>0.25</v>
      </c>
      <c r="E56" s="261">
        <f>'数据-汇总表'!E11</f>
        <v>0</v>
      </c>
      <c r="F56" s="691">
        <f t="shared" si="15"/>
        <v>0</v>
      </c>
      <c r="G56" s="2712" t="s">
        <v>2763</v>
      </c>
      <c r="H56" s="1107">
        <f>项目基本情况!C37</f>
        <v>0</v>
      </c>
      <c r="I56" s="945">
        <f>SUMIF(修正!A45:A56,H56,修正!F45:F56)</f>
        <v>0</v>
      </c>
      <c r="J56" s="946"/>
      <c r="K56" s="1147"/>
      <c r="L56" s="944"/>
      <c r="M56" s="944"/>
      <c r="N56" s="944"/>
      <c r="O56" s="944"/>
    </row>
    <row r="57" spans="1:17" s="692" customFormat="1">
      <c r="A57" s="693" t="s">
        <v>2764</v>
      </c>
      <c r="B57" s="262">
        <f t="shared" si="17"/>
        <v>0</v>
      </c>
      <c r="C57" s="200">
        <f t="shared" si="16"/>
        <v>0</v>
      </c>
      <c r="D57" s="1167">
        <v>0.25</v>
      </c>
      <c r="E57" s="261">
        <f>'数据-汇总表'!E12</f>
        <v>0</v>
      </c>
      <c r="F57" s="691">
        <f t="shared" si="15"/>
        <v>0</v>
      </c>
      <c r="G57" s="1112" t="s">
        <v>2765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2766</v>
      </c>
      <c r="B58" s="262">
        <f t="shared" si="17"/>
        <v>0</v>
      </c>
      <c r="C58" s="200">
        <f t="shared" si="16"/>
        <v>0</v>
      </c>
      <c r="D58" s="1167">
        <v>0.25</v>
      </c>
      <c r="E58" s="261">
        <f>'数据-汇总表'!E13</f>
        <v>0</v>
      </c>
      <c r="F58" s="691">
        <f t="shared" si="15"/>
        <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f t="shared" si="17"/>
        <v>0</v>
      </c>
      <c r="C59" s="200">
        <f t="shared" si="16"/>
        <v>0</v>
      </c>
      <c r="D59" s="1167">
        <v>0.25</v>
      </c>
      <c r="E59" s="261">
        <f>'数据-汇总表'!E14</f>
        <v>0</v>
      </c>
      <c r="F59" s="691">
        <f t="shared" si="15"/>
        <v>0</v>
      </c>
      <c r="G59" s="2712" t="s">
        <v>2758</v>
      </c>
      <c r="H59" s="1107">
        <f>项目基本情况!B37</f>
        <v>0</v>
      </c>
      <c r="I59" s="945">
        <f>SUMIF(修正!A45:A56,H59,修正!H45:H56)</f>
        <v>0</v>
      </c>
      <c r="J59" s="946"/>
      <c r="K59" s="1148"/>
      <c r="L59" s="944"/>
      <c r="M59" s="944"/>
      <c r="N59" s="944"/>
      <c r="O59" s="944"/>
    </row>
    <row r="60" spans="1:17" s="692" customFormat="1" ht="15" thickBot="1">
      <c r="A60" s="693" t="s">
        <v>2769</v>
      </c>
      <c r="B60" s="262">
        <f t="shared" si="17"/>
        <v>0</v>
      </c>
      <c r="C60" s="200">
        <f t="shared" si="16"/>
        <v>0</v>
      </c>
      <c r="D60" s="1167">
        <v>0.25</v>
      </c>
      <c r="E60" s="261">
        <f>'数据-汇总表'!E15</f>
        <v>0</v>
      </c>
      <c r="F60" s="691">
        <f t="shared" si="15"/>
        <v>0</v>
      </c>
      <c r="G60" s="2713" t="s">
        <v>2763</v>
      </c>
      <c r="H60" s="1117">
        <f>项目基本情况!C37</f>
        <v>0</v>
      </c>
      <c r="I60" s="945">
        <f>SUMIF(修正!A45:A56,H60,修正!H45:H56)</f>
        <v>0</v>
      </c>
      <c r="J60" s="946"/>
      <c r="K60" s="1147"/>
      <c r="L60" s="944"/>
      <c r="M60" s="944"/>
      <c r="N60" s="944"/>
      <c r="O60" s="944"/>
    </row>
    <row r="61" spans="1:17" s="692" customFormat="1" ht="15" thickBot="1">
      <c r="A61" s="695" t="s">
        <v>2770</v>
      </c>
      <c r="B61" s="696" t="s">
        <v>28</v>
      </c>
      <c r="C61" s="696" t="s">
        <v>29</v>
      </c>
      <c r="D61" s="696" t="s">
        <v>1029</v>
      </c>
      <c r="E61" s="696">
        <f>IF(B41="楼面地价",SUM(E51:E60),'数据-汇总表'!D3)</f>
        <v>35092</v>
      </c>
      <c r="F61" s="697">
        <f>IF(B41="楼面地价",SUM(F51:F60),ROUND(C43*E61/10000,0))</f>
        <v>3811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4" t="s">
        <v>2771</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2790</v>
      </c>
      <c r="B66" s="332" t="str">
        <f>"北京市平均增长率"&amp;TEXT(基准地价修正!P24,"0.00%")</f>
        <v>北京市平均增长率1.35%</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2956" t="s">
        <v>3204</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6（含）-7</v>
      </c>
      <c r="J74" s="547" t="str">
        <f t="shared" si="21"/>
        <v>7（含）-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v>6</v>
      </c>
      <c r="J75" s="549">
        <v>7</v>
      </c>
      <c r="K75" s="550"/>
      <c r="L75" s="551"/>
      <c r="M75" s="552"/>
      <c r="N75" s="1155"/>
      <c r="O75" s="1155"/>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2791</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2680</v>
      </c>
      <c r="C97" s="2957" t="s">
        <v>3205</v>
      </c>
      <c r="D97" s="2957" t="s">
        <v>3206</v>
      </c>
      <c r="E97" s="2957" t="s">
        <v>3207</v>
      </c>
      <c r="F97" s="2957" t="s">
        <v>3208</v>
      </c>
      <c r="G97" s="2957" t="s">
        <v>3210</v>
      </c>
      <c r="H97" s="583"/>
      <c r="I97" s="583"/>
      <c r="J97" s="583"/>
      <c r="K97" s="584"/>
      <c r="L97" s="585"/>
      <c r="M97" s="586"/>
      <c r="N97" s="1155"/>
      <c r="O97" s="1155"/>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2552</v>
      </c>
      <c r="B107" s="528" t="s">
        <v>2780</v>
      </c>
      <c r="C107" s="529" t="str">
        <f t="shared" ref="C107:L107" si="26">C108&amp;"(含)"&amp;"-"&amp;D108</f>
        <v>0(含)-10000</v>
      </c>
      <c r="D107" s="529" t="str">
        <f t="shared" si="26"/>
        <v>10000(含)-20000</v>
      </c>
      <c r="E107" s="529" t="str">
        <f t="shared" si="26"/>
        <v>20000(含)-50000</v>
      </c>
      <c r="F107" s="529" t="str">
        <f t="shared" si="26"/>
        <v>50000(含)-100000</v>
      </c>
      <c r="G107" s="529" t="str">
        <f t="shared" si="26"/>
        <v>100000(含)-200000</v>
      </c>
      <c r="H107" s="529" t="str">
        <f t="shared" si="26"/>
        <v>200000(含)-500000</v>
      </c>
      <c r="I107" s="529" t="str">
        <f t="shared" si="26"/>
        <v>500000(含)-1000000</v>
      </c>
      <c r="J107" s="529" t="str">
        <f t="shared" si="26"/>
        <v>1000000(含)-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v>500000</v>
      </c>
      <c r="J108" s="596">
        <v>1000000</v>
      </c>
      <c r="K108" s="596"/>
      <c r="L108" s="597"/>
      <c r="M108" s="598"/>
      <c r="N108" s="1155"/>
      <c r="O108" s="1155"/>
      <c r="P108" s="45"/>
      <c r="Q108" s="504"/>
    </row>
    <row r="109" spans="1:17" ht="15.75" thickBot="1">
      <c r="A109" s="534"/>
      <c r="B109" s="543"/>
      <c r="C109" s="570">
        <v>100</v>
      </c>
      <c r="D109" s="591">
        <f>C109+1</f>
        <v>101</v>
      </c>
      <c r="E109" s="591">
        <f t="shared" ref="E109:J109" si="27">D109+1</f>
        <v>102</v>
      </c>
      <c r="F109" s="591">
        <f t="shared" si="27"/>
        <v>103</v>
      </c>
      <c r="G109" s="591">
        <f t="shared" si="27"/>
        <v>104</v>
      </c>
      <c r="H109" s="591">
        <f t="shared" si="27"/>
        <v>105</v>
      </c>
      <c r="I109" s="591">
        <f t="shared" si="27"/>
        <v>106</v>
      </c>
      <c r="J109" s="591">
        <f t="shared" si="27"/>
        <v>107</v>
      </c>
      <c r="K109" s="591"/>
      <c r="L109" s="591"/>
      <c r="M109" s="592"/>
      <c r="N109" s="1156"/>
      <c r="O109" s="1156"/>
      <c r="P109" s="45"/>
      <c r="Q109" s="504"/>
    </row>
    <row r="110" spans="1:17" ht="15" thickTop="1">
      <c r="A110" s="599"/>
      <c r="B110" s="538" t="s">
        <v>2781</v>
      </c>
      <c r="C110" s="2958" t="s">
        <v>3211</v>
      </c>
      <c r="D110" s="2958" t="s">
        <v>3213</v>
      </c>
      <c r="E110" s="2958" t="s">
        <v>3214</v>
      </c>
      <c r="F110" s="2958" t="s">
        <v>3215</v>
      </c>
      <c r="G110" s="583"/>
      <c r="H110" s="583"/>
      <c r="I110" s="583"/>
      <c r="J110" s="583"/>
      <c r="K110" s="584"/>
      <c r="L110" s="585"/>
      <c r="M110" s="586"/>
      <c r="N110" s="1155"/>
      <c r="O110" s="1155"/>
      <c r="P110" s="45"/>
      <c r="Q110" s="504"/>
    </row>
    <row r="111" spans="1:17" ht="15.75" thickBot="1">
      <c r="A111" s="534"/>
      <c r="B111" s="543"/>
      <c r="C111" s="544">
        <v>100</v>
      </c>
      <c r="D111" s="544">
        <f t="shared" ref="D111:M111" si="28">C111-$K35</f>
        <v>98</v>
      </c>
      <c r="E111" s="544">
        <f t="shared" si="28"/>
        <v>96</v>
      </c>
      <c r="F111" s="544">
        <f t="shared" si="28"/>
        <v>94</v>
      </c>
      <c r="G111" s="544">
        <f t="shared" si="28"/>
        <v>92</v>
      </c>
      <c r="H111" s="544">
        <f t="shared" si="28"/>
        <v>90</v>
      </c>
      <c r="I111" s="544">
        <f t="shared" si="28"/>
        <v>88</v>
      </c>
      <c r="J111" s="544">
        <f t="shared" si="28"/>
        <v>86</v>
      </c>
      <c r="K111" s="544">
        <f t="shared" si="28"/>
        <v>84</v>
      </c>
      <c r="L111" s="544">
        <f t="shared" si="28"/>
        <v>82</v>
      </c>
      <c r="M111" s="545">
        <f t="shared" si="28"/>
        <v>80</v>
      </c>
      <c r="N111" s="1156"/>
      <c r="O111" s="1156"/>
      <c r="P111" s="45"/>
      <c r="Q111" s="504"/>
    </row>
    <row r="112" spans="1:17" s="471" customFormat="1" ht="15" thickTop="1">
      <c r="A112" s="593"/>
      <c r="B112" s="538" t="s">
        <v>2783</v>
      </c>
      <c r="C112" s="554" t="s">
        <v>3216</v>
      </c>
      <c r="D112" s="554" t="s">
        <v>3070</v>
      </c>
      <c r="E112" s="554" t="s">
        <v>3217</v>
      </c>
      <c r="F112" s="554" t="s">
        <v>3218</v>
      </c>
      <c r="G112" s="554" t="s">
        <v>3219</v>
      </c>
      <c r="H112" s="583"/>
      <c r="I112" s="583"/>
      <c r="J112" s="583"/>
      <c r="K112" s="584"/>
      <c r="L112" s="585"/>
      <c r="M112" s="586"/>
      <c r="N112" s="1157"/>
      <c r="O112" s="1157"/>
      <c r="P112" s="558"/>
      <c r="Q112" s="559"/>
    </row>
    <row r="113" spans="1:17" s="471" customFormat="1" ht="15.75" thickBot="1">
      <c r="A113" s="553"/>
      <c r="B113" s="543"/>
      <c r="C113" s="544">
        <v>100</v>
      </c>
      <c r="D113" s="544">
        <f t="shared" ref="D113:M113" si="29">C113-$K36</f>
        <v>99</v>
      </c>
      <c r="E113" s="544">
        <f t="shared" si="29"/>
        <v>98</v>
      </c>
      <c r="F113" s="544">
        <f t="shared" si="29"/>
        <v>97</v>
      </c>
      <c r="G113" s="544">
        <f t="shared" si="29"/>
        <v>96</v>
      </c>
      <c r="H113" s="544">
        <f t="shared" si="29"/>
        <v>95</v>
      </c>
      <c r="I113" s="544">
        <f t="shared" si="29"/>
        <v>94</v>
      </c>
      <c r="J113" s="544">
        <f t="shared" si="29"/>
        <v>93</v>
      </c>
      <c r="K113" s="544">
        <f t="shared" si="29"/>
        <v>92</v>
      </c>
      <c r="L113" s="544">
        <f t="shared" si="29"/>
        <v>91</v>
      </c>
      <c r="M113" s="545">
        <f t="shared" si="29"/>
        <v>90</v>
      </c>
      <c r="N113" s="1157"/>
      <c r="O113" s="1157"/>
      <c r="P113" s="558"/>
      <c r="Q113" s="559"/>
    </row>
    <row r="114" spans="1:17" ht="15" thickTop="1">
      <c r="A114" s="599"/>
      <c r="B114" s="538" t="s">
        <v>2784</v>
      </c>
      <c r="C114" s="554" t="s">
        <v>3220</v>
      </c>
      <c r="D114" s="554" t="s">
        <v>3067</v>
      </c>
      <c r="E114" s="583" t="s">
        <v>3221</v>
      </c>
      <c r="F114" s="583" t="s">
        <v>3222</v>
      </c>
      <c r="G114" s="583" t="s">
        <v>3223</v>
      </c>
      <c r="H114" s="583"/>
      <c r="I114" s="583"/>
      <c r="J114" s="583"/>
      <c r="K114" s="584"/>
      <c r="L114" s="585"/>
      <c r="M114" s="586"/>
      <c r="N114" s="1155"/>
      <c r="O114" s="1155"/>
      <c r="P114" s="45"/>
      <c r="Q114" s="504"/>
    </row>
    <row r="115" spans="1:17" ht="15.75" thickBot="1">
      <c r="A115" s="534"/>
      <c r="B115" s="543"/>
      <c r="C115" s="544">
        <v>100</v>
      </c>
      <c r="D115" s="544">
        <f t="shared" ref="D115:M115" si="30">C115-$K37</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上海市山阳镇阳乐路188号房地产抵押价值预评估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7</v>
      </c>
    </row>
    <row r="2" spans="1:9" s="244" customFormat="1" ht="18" customHeight="1">
      <c r="A2" s="245" t="s">
        <v>2316</v>
      </c>
      <c r="B2" s="246">
        <f ca="1">IF(D2="——",C52,C52-E2)</f>
        <v>9539</v>
      </c>
      <c r="C2" s="243" t="s">
        <v>2317</v>
      </c>
      <c r="D2" s="2550" t="s">
        <v>70</v>
      </c>
      <c r="E2" s="1443" t="e">
        <f ca="1">SUMIF(INDIRECT("'"&amp;G2&amp;"'"&amp;"!A:A"),"承租人权益价值",INDIRECT("'"&amp;G2&amp;"'"&amp;"!c:c"))</f>
        <v>#REF!</v>
      </c>
      <c r="F2" s="2551" t="s">
        <v>2317</v>
      </c>
      <c r="G2" s="2552"/>
    </row>
    <row r="3" spans="1:9" s="244" customFormat="1" ht="18" customHeight="1" thickBot="1">
      <c r="A3" s="247" t="s">
        <v>2318</v>
      </c>
      <c r="B3" s="248">
        <f ca="1">ROUND(B2*10000/(IF(B1="",'数据-汇总表'!E3,INDIRECT("'数据-取费表'!k"&amp;$G$1))),0)</f>
        <v>5363</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4283</v>
      </c>
      <c r="D5" s="255" t="s">
        <v>2323</v>
      </c>
      <c r="E5" s="256" t="s">
        <v>2324</v>
      </c>
      <c r="F5" s="256" t="s">
        <v>2325</v>
      </c>
      <c r="G5" s="257"/>
    </row>
    <row r="6" spans="1:9" s="258" customFormat="1" ht="13.5" customHeight="1">
      <c r="A6" s="952" t="s">
        <v>2326</v>
      </c>
      <c r="B6" s="259" t="s">
        <v>2327</v>
      </c>
      <c r="C6" s="260">
        <f>'土地比较法-工业'!B2</f>
        <v>3811</v>
      </c>
      <c r="D6" s="261"/>
      <c r="E6" s="262"/>
      <c r="F6" s="262"/>
      <c r="G6" s="263"/>
    </row>
    <row r="7" spans="1:9" s="258" customFormat="1" ht="13.5" customHeight="1">
      <c r="A7" s="952" t="s">
        <v>2328</v>
      </c>
      <c r="B7" s="259" t="s">
        <v>2329</v>
      </c>
      <c r="C7" s="264">
        <f>ROUND(C6*F7,0)</f>
        <v>116</v>
      </c>
      <c r="D7" s="264"/>
      <c r="E7" s="262"/>
      <c r="F7" s="265">
        <f>'数据-取费表'!B48+'数据-取费表'!B49</f>
        <v>3.0499999999999999E-2</v>
      </c>
      <c r="G7" s="263"/>
    </row>
    <row r="8" spans="1:9" s="267" customFormat="1">
      <c r="A8" s="952" t="s">
        <v>2330</v>
      </c>
      <c r="B8" s="259" t="s">
        <v>2331</v>
      </c>
      <c r="C8" s="264">
        <f>IF(G8="已包含在土地购买价格中","0",IF(B1="",'数据-取费表'!B29,IF(G9="全部缴纳",C9+C10,H9)))</f>
        <v>356</v>
      </c>
      <c r="D8" s="266"/>
      <c r="E8" s="264"/>
      <c r="F8" s="265"/>
      <c r="G8" s="2553" t="s">
        <v>3228</v>
      </c>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0</v>
      </c>
      <c r="F9" s="265"/>
      <c r="G9" s="2554" t="s">
        <v>3226</v>
      </c>
      <c r="H9" s="1393"/>
      <c r="I9" s="2555" t="s">
        <v>2333</v>
      </c>
    </row>
    <row r="10" spans="1:9" s="258" customFormat="1" ht="13.5" customHeight="1">
      <c r="A10" s="953" t="s">
        <v>801</v>
      </c>
      <c r="B10" s="268" t="s">
        <v>2334</v>
      </c>
      <c r="C10" s="269">
        <f ca="1">ROUND(D10*E10/10000,0)</f>
        <v>356</v>
      </c>
      <c r="D10" s="1035">
        <f ca="1">IF(B1="",'数据-汇总表'!E6,IF(INDIRECT("'数据-取费表'!c"&amp;$G$1)="住宅",INDIRECT("'数据-取费表'!s"&amp;$G$1),INDIRECT("'数据-取费表'!k"&amp;$G$1)+INDIRECT("'数据-取费表'!s"&amp;$G$1)))</f>
        <v>17787.509999999998</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t="str">
        <f>IF(G19="已包含在土地取得成本中","0",ROUND(D19*E19/10000,0))</f>
        <v>0</v>
      </c>
      <c r="D19" s="1039">
        <f ca="1">D9+D10</f>
        <v>17787.509999999998</v>
      </c>
      <c r="E19" s="255">
        <f>'数据-取费表'!B31</f>
        <v>200</v>
      </c>
      <c r="F19" s="275"/>
      <c r="G19" s="2553" t="s">
        <v>3227</v>
      </c>
    </row>
    <row r="20" spans="1:7" s="258" customFormat="1" ht="13.5" customHeight="1">
      <c r="A20" s="299" t="s">
        <v>2347</v>
      </c>
      <c r="B20" s="254" t="s">
        <v>2348</v>
      </c>
      <c r="C20" s="276">
        <f>ROUND((C5+C19)*F20,0)</f>
        <v>86</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188</v>
      </c>
      <c r="D22" s="279">
        <f ca="1">C26</f>
        <v>4.0000000000000002E-4</v>
      </c>
      <c r="E22" s="280" t="s">
        <v>2352</v>
      </c>
      <c r="F22" s="281">
        <f ca="1">'数据-取费表'!B40</f>
        <v>4.3499999999999997E-2</v>
      </c>
      <c r="G22" s="278" t="str">
        <f>IF('数据-取费表'!B22&lt;=1,"单利计息","复利计息")</f>
        <v>单利计息</v>
      </c>
    </row>
    <row r="23" spans="1:7" s="258" customFormat="1" ht="13.5" customHeight="1">
      <c r="A23" s="954" t="s">
        <v>2356</v>
      </c>
      <c r="B23" s="259" t="s">
        <v>2357</v>
      </c>
      <c r="C23" s="1358">
        <f ca="1">ROUND(IF('数据-取费表'!B22&lt;=1,C5*F22*'数据-取费表'!B23,C5*(POWER((1+F22),'数据-取费表'!B23)-1)),0)</f>
        <v>186</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2</v>
      </c>
      <c r="D25" s="282"/>
      <c r="E25" s="285"/>
      <c r="F25" s="283"/>
      <c r="G25" s="286" t="s">
        <v>2364</v>
      </c>
    </row>
    <row r="26" spans="1:7" s="258" customFormat="1">
      <c r="A26" s="954" t="s">
        <v>795</v>
      </c>
      <c r="B26" s="259" t="s">
        <v>2365</v>
      </c>
      <c r="C26" s="282">
        <f ca="1">ROUND(IF('数据-取费表'!B22&lt;=1,F21*F22*'数据-取费表'!B23/2,F21*(POWER((1+F22),'数据-取费表'!B23/2)-1)),4)</f>
        <v>4.0000000000000002E-4</v>
      </c>
      <c r="D26" s="282"/>
      <c r="E26" s="285"/>
      <c r="F26" s="283"/>
      <c r="G26" s="287"/>
    </row>
    <row r="27" spans="1:7" s="258" customFormat="1" ht="24.75">
      <c r="A27" s="299" t="s">
        <v>2366</v>
      </c>
      <c r="B27" s="288" t="s">
        <v>2367</v>
      </c>
      <c r="C27" s="289">
        <f ca="1">C28</f>
        <v>437</v>
      </c>
      <c r="D27" s="279">
        <f ca="1">C29</f>
        <v>2E-3</v>
      </c>
      <c r="E27" s="280" t="s">
        <v>2368</v>
      </c>
      <c r="F27" s="290">
        <f ca="1">IF(B1="",'数据-取费表'!Q16,INDIRECT("'数据-取费表'!q"&amp;$G$1))</f>
        <v>0.1</v>
      </c>
      <c r="G27" s="291" t="s">
        <v>2369</v>
      </c>
    </row>
    <row r="28" spans="1:7" s="258" customFormat="1" ht="13.5" customHeight="1">
      <c r="A28" s="954" t="s">
        <v>791</v>
      </c>
      <c r="B28" s="292" t="s">
        <v>2370</v>
      </c>
      <c r="C28" s="293">
        <f ca="1">ROUND((C5+C19+C20)*F27*'数据-取费表'!B21/'数据-取费表'!B20,0)</f>
        <v>437</v>
      </c>
      <c r="D28" s="279"/>
      <c r="E28" s="280"/>
      <c r="F28" s="290"/>
      <c r="G28" s="291"/>
    </row>
    <row r="29" spans="1:7" s="258" customFormat="1" ht="13.5" customHeight="1">
      <c r="A29" s="954" t="s">
        <v>792</v>
      </c>
      <c r="B29" s="292" t="s">
        <v>2371</v>
      </c>
      <c r="C29" s="282">
        <f ca="1">ROUND(C21*F27*'数据-取费表'!B21/'数据-取费表'!B20,4)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5403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4074</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3558</v>
      </c>
      <c r="D34" s="261"/>
      <c r="E34" s="264"/>
      <c r="F34" s="301">
        <f ca="1">IF('数据-取费表'!B24=0,1,IF(B1="",'数据-取费表'!N16,INDIRECT("'数据-取费表'!n"&amp;$G$1)))</f>
        <v>1</v>
      </c>
      <c r="G34" s="263" t="s">
        <v>2380</v>
      </c>
    </row>
    <row r="35" spans="1:7" ht="13.5" customHeight="1">
      <c r="A35" s="954" t="s">
        <v>796</v>
      </c>
      <c r="B35" s="259" t="s">
        <v>2381</v>
      </c>
      <c r="C35" s="264">
        <f ca="1">ROUND(C34*F35,0)</f>
        <v>107</v>
      </c>
      <c r="D35" s="264"/>
      <c r="E35" s="264"/>
      <c r="F35" s="303">
        <f>'数据-取费表'!B33</f>
        <v>0.03</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356</v>
      </c>
      <c r="D37" s="261">
        <f ca="1">D19</f>
        <v>17787.509999999998</v>
      </c>
      <c r="E37" s="293">
        <f>'数据-取费表'!B35</f>
        <v>200</v>
      </c>
      <c r="F37" s="303"/>
      <c r="G37" s="305" t="s">
        <v>2386</v>
      </c>
    </row>
    <row r="38" spans="1:7" ht="13.5" customHeight="1">
      <c r="A38" s="954" t="s">
        <v>799</v>
      </c>
      <c r="B38" s="259" t="s">
        <v>2387</v>
      </c>
      <c r="C38" s="264">
        <f ca="1">ROUND(C34*F38,0)</f>
        <v>53</v>
      </c>
      <c r="D38" s="264"/>
      <c r="E38" s="264"/>
      <c r="F38" s="303">
        <f>'数据-取费表'!B36</f>
        <v>1.4999999999999999E-2</v>
      </c>
      <c r="G38" s="263" t="s">
        <v>2382</v>
      </c>
    </row>
    <row r="39" spans="1:7" s="258" customFormat="1" ht="13.5" customHeight="1">
      <c r="A39" s="299" t="s">
        <v>2388</v>
      </c>
      <c r="B39" s="254" t="s">
        <v>2389</v>
      </c>
      <c r="C39" s="276">
        <f ca="1">ROUND(C33*F20,0)</f>
        <v>81</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91</v>
      </c>
      <c r="D41" s="279">
        <f ca="1">C44</f>
        <v>4.0000000000000002E-4</v>
      </c>
      <c r="E41" s="280" t="s">
        <v>2393</v>
      </c>
      <c r="F41" s="281"/>
      <c r="G41" s="278" t="str">
        <f>IF('数据-取费表'!B22&lt;=1,"单利计息","复利计息")</f>
        <v>单利计息</v>
      </c>
    </row>
    <row r="42" spans="1:7" ht="13.5" customHeight="1">
      <c r="A42" s="954" t="s">
        <v>791</v>
      </c>
      <c r="B42" s="259" t="s">
        <v>2397</v>
      </c>
      <c r="C42" s="282">
        <f ca="1">ROUND(IF('数据-取费表'!B22&lt;=1,C33*F22*'数据-取费表'!B21/2,C33*(POWER((1+F22),'数据-取费表'!B21/2)-1)),0)</f>
        <v>89</v>
      </c>
      <c r="D42" s="282"/>
      <c r="E42" s="282"/>
      <c r="F42" s="283"/>
      <c r="G42" s="3186" t="s">
        <v>2398</v>
      </c>
    </row>
    <row r="43" spans="1:7" ht="13.5" customHeight="1">
      <c r="A43" s="954" t="s">
        <v>792</v>
      </c>
      <c r="B43" s="259" t="s">
        <v>2399</v>
      </c>
      <c r="C43" s="282">
        <f ca="1">ROUND(IF('数据-取费表'!B22&lt;=1,C39*F22*'数据-取费表'!B21/2,C39*(POWER((1+F22),'数据-取费表'!B21/2)-1)),0)</f>
        <v>2</v>
      </c>
      <c r="D43" s="282"/>
      <c r="E43" s="282"/>
      <c r="F43" s="283"/>
      <c r="G43" s="3187"/>
    </row>
    <row r="44" spans="1:7" ht="13.5" customHeight="1">
      <c r="A44" s="954" t="s">
        <v>793</v>
      </c>
      <c r="B44" s="259" t="s">
        <v>2400</v>
      </c>
      <c r="C44" s="282">
        <f ca="1">ROUND(IF('数据-取费表'!B22&lt;=1,C40*F22*'数据-取费表'!B21/2,C40*(POWER((1+F22),'数据-取费表'!B21/2)-1)),4)</f>
        <v>4.0000000000000002E-4</v>
      </c>
      <c r="D44" s="282"/>
      <c r="E44" s="282"/>
      <c r="F44" s="283"/>
      <c r="G44" s="3188"/>
    </row>
    <row r="45" spans="1:7" s="258" customFormat="1" ht="13.5" customHeight="1">
      <c r="A45" s="299" t="s">
        <v>2401</v>
      </c>
      <c r="B45" s="288" t="s">
        <v>2367</v>
      </c>
      <c r="C45" s="289">
        <f ca="1">C46</f>
        <v>416</v>
      </c>
      <c r="D45" s="279">
        <f ca="1">C47</f>
        <v>2E-3</v>
      </c>
      <c r="E45" s="280" t="s">
        <v>2393</v>
      </c>
      <c r="F45" s="290"/>
      <c r="G45" s="291" t="s">
        <v>2402</v>
      </c>
    </row>
    <row r="46" spans="1:7" s="258" customFormat="1" ht="13.5" customHeight="1">
      <c r="A46" s="954" t="s">
        <v>791</v>
      </c>
      <c r="B46" s="292" t="s">
        <v>2403</v>
      </c>
      <c r="C46" s="293">
        <f ca="1">ROUND((C33+C39)*F27,0)</f>
        <v>416</v>
      </c>
      <c r="D46" s="307"/>
      <c r="E46" s="280"/>
      <c r="F46" s="290"/>
      <c r="G46" s="291"/>
    </row>
    <row r="47" spans="1:7" s="258" customFormat="1" ht="13.5" customHeight="1">
      <c r="A47" s="954" t="s">
        <v>792</v>
      </c>
      <c r="B47" s="292" t="s">
        <v>2404</v>
      </c>
      <c r="C47" s="282">
        <f ca="1">ROUND(C40*F27,4)</f>
        <v>2E-3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5044</v>
      </c>
      <c r="D49" s="276"/>
      <c r="E49" s="276"/>
      <c r="F49" s="308"/>
      <c r="G49" s="278" t="s">
        <v>2408</v>
      </c>
    </row>
    <row r="50" spans="1:7" s="302" customFormat="1" ht="24">
      <c r="A50" s="299" t="s">
        <v>2409</v>
      </c>
      <c r="B50" s="254" t="s">
        <v>2410</v>
      </c>
      <c r="C50" s="276"/>
      <c r="D50" s="276"/>
      <c r="E50" s="276"/>
      <c r="F50" s="308">
        <f>IF('数据-取费表'!B24=0,'数据-取费表'!N16,1)</f>
        <v>0.82</v>
      </c>
      <c r="G50" s="291" t="s">
        <v>2411</v>
      </c>
    </row>
    <row r="51" spans="1:7" ht="16.5" customHeight="1">
      <c r="A51" s="299" t="s">
        <v>2412</v>
      </c>
      <c r="B51" s="254" t="s">
        <v>2413</v>
      </c>
      <c r="C51" s="276">
        <f ca="1">ROUND(C49*F50,0)</f>
        <v>4136</v>
      </c>
      <c r="D51" s="276"/>
      <c r="E51" s="276"/>
      <c r="F51" s="308"/>
      <c r="G51" s="278" t="s">
        <v>2414</v>
      </c>
    </row>
    <row r="52" spans="1:7" s="252" customFormat="1" ht="16.5" thickBot="1">
      <c r="A52" s="309" t="s">
        <v>2415</v>
      </c>
      <c r="B52" s="310"/>
      <c r="C52" s="311">
        <f ca="1">C31+C51</f>
        <v>9539</v>
      </c>
      <c r="D52" s="310"/>
      <c r="E52" s="310"/>
      <c r="F52" s="310"/>
      <c r="G52" s="312"/>
    </row>
    <row r="55" spans="1:7" ht="15">
      <c r="B55" s="314" t="s">
        <v>2416</v>
      </c>
      <c r="C55" s="315"/>
    </row>
    <row r="56" spans="1:7">
      <c r="B56" s="317" t="s">
        <v>1513</v>
      </c>
      <c r="C56" s="319">
        <f ca="1">1-C57</f>
        <v>0.56600000000000006</v>
      </c>
    </row>
    <row r="57" spans="1:7">
      <c r="B57" s="317" t="s">
        <v>1514</v>
      </c>
      <c r="C57" s="318">
        <f ca="1">ROUND(C51/C52,3)</f>
        <v>0.434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6"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5032</v>
      </c>
      <c r="C2" s="243" t="s">
        <v>2317</v>
      </c>
      <c r="D2" s="2550" t="s">
        <v>70</v>
      </c>
      <c r="E2" s="1443" t="e">
        <f ca="1">SUMIF(INDIRECT("'"&amp;G2&amp;"'"&amp;"!A:A"),"承租人权益价值",INDIRECT("'"&amp;G2&amp;"'"&amp;"!c:c"))</f>
        <v>#REF!</v>
      </c>
      <c r="F2" s="2551" t="s">
        <v>2317</v>
      </c>
      <c r="G2" s="2552"/>
    </row>
    <row r="3" spans="1:8" s="244" customFormat="1" ht="18" customHeight="1" thickBot="1">
      <c r="A3" s="247" t="s">
        <v>2318</v>
      </c>
      <c r="B3" s="248">
        <f ca="1">ROUND(B2*10000/(IF(B1="",'数据-汇总表'!E3,INDIRECT("'数据-取费表'!k"&amp;$G$1))),0)</f>
        <v>2829</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3557502</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3557502</v>
      </c>
      <c r="D8" s="266"/>
      <c r="E8" s="264"/>
      <c r="F8" s="265"/>
      <c r="G8" s="2553"/>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2334</v>
      </c>
      <c r="C10" s="269">
        <f ca="1">ROUND(D10*E10,0)</f>
        <v>3557502</v>
      </c>
      <c r="D10" s="1035">
        <f ca="1">IF(B1="",'数据-汇总表'!E6,IF(INDIRECT("'数据-取费表'!c"&amp;$G$1)="住宅",INDIRECT("'数据-取费表'!s"&amp;$G$1),INDIRECT("'数据-取费表'!k"&amp;$G$1)+INDIRECT("'数据-取费表'!s"&amp;$G$1)))</f>
        <v>17787.509999999998</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3557502</v>
      </c>
      <c r="D19" s="1039">
        <f ca="1">D9+D10</f>
        <v>17787.509999999998</v>
      </c>
      <c r="E19" s="255">
        <f>'数据-取费表'!B31</f>
        <v>200</v>
      </c>
      <c r="F19" s="275"/>
      <c r="G19" s="2553"/>
    </row>
    <row r="20" spans="1:7" s="258" customFormat="1" ht="13.5" customHeight="1">
      <c r="A20" s="299" t="s">
        <v>2428</v>
      </c>
      <c r="B20" s="254" t="s">
        <v>2429</v>
      </c>
      <c r="C20" s="276">
        <f ca="1">ROUND((C5+C19)*F20,0)</f>
        <v>142300</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312597</v>
      </c>
      <c r="D22" s="279">
        <f ca="1">C26</f>
        <v>4.0000000000000002E-4</v>
      </c>
      <c r="E22" s="280" t="s">
        <v>2433</v>
      </c>
      <c r="F22" s="281">
        <f ca="1">'数据-取费表'!B40</f>
        <v>4.3499999999999997E-2</v>
      </c>
      <c r="G22" s="278" t="str">
        <f>IF('数据-取费表'!B22&lt;=1,"单利计息","复利计息")</f>
        <v>单利计息</v>
      </c>
    </row>
    <row r="23" spans="1:7" s="258" customFormat="1" ht="13.5" customHeight="1">
      <c r="A23" s="954" t="s">
        <v>2326</v>
      </c>
      <c r="B23" s="259" t="s">
        <v>2437</v>
      </c>
      <c r="C23" s="1384">
        <f ca="1">ROUND(IF('数据-取费表'!B22&lt;=1,C5*F22*'数据-取费表'!B22,C5*(POWER((1+F22),'数据-取费表'!B22)-1)),0)</f>
        <v>154751</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154751</v>
      </c>
      <c r="D24" s="282"/>
      <c r="E24" s="282"/>
      <c r="F24" s="283"/>
      <c r="G24" s="284" t="s">
        <v>2440</v>
      </c>
    </row>
    <row r="25" spans="1:7" s="258" customFormat="1" ht="24">
      <c r="A25" s="954" t="s">
        <v>2330</v>
      </c>
      <c r="B25" s="259" t="s">
        <v>2441</v>
      </c>
      <c r="C25" s="1384">
        <f ca="1">ROUND(IF('数据-取费表'!B22&lt;=1,C20*F22*'数据-取费表'!B22/2,C20*(POWER((1+F22),'数据-取费表'!B22/2)-1)),0)</f>
        <v>3095</v>
      </c>
      <c r="D25" s="282"/>
      <c r="E25" s="285"/>
      <c r="F25" s="283"/>
      <c r="G25" s="286" t="s">
        <v>2442</v>
      </c>
    </row>
    <row r="26" spans="1:7" s="258" customFormat="1">
      <c r="A26" s="954" t="s">
        <v>795</v>
      </c>
      <c r="B26" s="259" t="s">
        <v>2365</v>
      </c>
      <c r="C26" s="282">
        <f ca="1">ROUND(IF('数据-取费表'!B22&lt;=1,F21*F22*'数据-取费表'!B22/2,F21*(POWER((1+F22),'数据-取费表'!B22/2)-1)),4)</f>
        <v>4.0000000000000002E-4</v>
      </c>
      <c r="D26" s="282"/>
      <c r="E26" s="285"/>
      <c r="F26" s="283"/>
      <c r="G26" s="287"/>
    </row>
    <row r="27" spans="1:7" s="258" customFormat="1" ht="24.75">
      <c r="A27" s="299" t="s">
        <v>2366</v>
      </c>
      <c r="B27" s="288" t="s">
        <v>2367</v>
      </c>
      <c r="C27" s="289">
        <f ca="1">C28</f>
        <v>725730</v>
      </c>
      <c r="D27" s="279">
        <f ca="1">C29</f>
        <v>2E-3</v>
      </c>
      <c r="E27" s="280" t="s">
        <v>2368</v>
      </c>
      <c r="F27" s="290">
        <f ca="1">IF(B1="",'数据-取费表'!Q16,INDIRECT("'数据-取费表'!q"&amp;$G$1))</f>
        <v>0.1</v>
      </c>
      <c r="G27" s="291" t="s">
        <v>2369</v>
      </c>
    </row>
    <row r="28" spans="1:7" s="258" customFormat="1" ht="13.5" customHeight="1">
      <c r="A28" s="954" t="s">
        <v>791</v>
      </c>
      <c r="B28" s="292" t="s">
        <v>2370</v>
      </c>
      <c r="C28" s="293">
        <f ca="1">ROUND((C5+C19+C20)*F27,0)</f>
        <v>725730</v>
      </c>
      <c r="D28" s="279"/>
      <c r="E28" s="280"/>
      <c r="F28" s="290"/>
      <c r="G28" s="291"/>
    </row>
    <row r="29" spans="1:7" s="258" customFormat="1" ht="13.5" customHeight="1">
      <c r="A29" s="954" t="s">
        <v>792</v>
      </c>
      <c r="B29" s="292" t="s">
        <v>2371</v>
      </c>
      <c r="C29" s="282">
        <f ca="1">ROUND(C21*F27,4)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8975042</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40733398</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35575020</v>
      </c>
      <c r="D34" s="261"/>
      <c r="E34" s="264"/>
      <c r="F34" s="301"/>
      <c r="G34" s="263"/>
    </row>
    <row r="35" spans="1:7" ht="13.5" customHeight="1">
      <c r="A35" s="954" t="s">
        <v>796</v>
      </c>
      <c r="B35" s="259" t="s">
        <v>2381</v>
      </c>
      <c r="C35" s="264">
        <f ca="1">ROUND(C34*F35,0)</f>
        <v>1067251</v>
      </c>
      <c r="D35" s="264"/>
      <c r="E35" s="264"/>
      <c r="F35" s="303">
        <f>'数据-取费表'!B33</f>
        <v>0.03</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3557502</v>
      </c>
      <c r="D37" s="261">
        <f ca="1">D19</f>
        <v>17787.509999999998</v>
      </c>
      <c r="E37" s="293">
        <f>'数据-取费表'!B35</f>
        <v>200</v>
      </c>
      <c r="F37" s="303"/>
      <c r="G37" s="305"/>
    </row>
    <row r="38" spans="1:7" ht="13.5" customHeight="1">
      <c r="A38" s="954" t="s">
        <v>799</v>
      </c>
      <c r="B38" s="259" t="s">
        <v>2387</v>
      </c>
      <c r="C38" s="264">
        <f ca="1">ROUND(C34*F38,0)</f>
        <v>533625</v>
      </c>
      <c r="D38" s="264"/>
      <c r="E38" s="264"/>
      <c r="F38" s="303">
        <f>'数据-取费表'!B36</f>
        <v>1.4999999999999999E-2</v>
      </c>
      <c r="G38" s="263" t="s">
        <v>2382</v>
      </c>
    </row>
    <row r="39" spans="1:7" s="258" customFormat="1" ht="13.5" customHeight="1">
      <c r="A39" s="299" t="s">
        <v>2388</v>
      </c>
      <c r="B39" s="254" t="s">
        <v>2389</v>
      </c>
      <c r="C39" s="276">
        <f ca="1">ROUND(C33*F20,0)</f>
        <v>814668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903670</v>
      </c>
      <c r="D41" s="279">
        <f ca="1">C44</f>
        <v>4.0000000000000002E-4</v>
      </c>
      <c r="E41" s="280" t="s">
        <v>2393</v>
      </c>
      <c r="F41" s="281"/>
      <c r="G41" s="278" t="str">
        <f>IF('数据-取费表'!B22&lt;=1,"单利计息","复利计息")</f>
        <v>单利计息</v>
      </c>
    </row>
    <row r="42" spans="1:7" ht="13.5" customHeight="1">
      <c r="A42" s="954" t="s">
        <v>791</v>
      </c>
      <c r="B42" s="259" t="s">
        <v>2397</v>
      </c>
      <c r="C42" s="282">
        <f ca="1">ROUND(IF('数据-取费表'!B22&lt;=1,C33*F22*'数据-取费表'!B20/2,C33*(POWER((1+F22),'数据-取费表'!B20/2)-1)),0)</f>
        <v>885951</v>
      </c>
      <c r="D42" s="282"/>
      <c r="E42" s="282"/>
      <c r="F42" s="283"/>
      <c r="G42" s="3186" t="s">
        <v>2445</v>
      </c>
    </row>
    <row r="43" spans="1:7" ht="13.5" customHeight="1">
      <c r="A43" s="954" t="s">
        <v>792</v>
      </c>
      <c r="B43" s="259" t="s">
        <v>2399</v>
      </c>
      <c r="C43" s="282">
        <f ca="1">ROUND(IF('数据-取费表'!B22&lt;=1,C39*F22*'数据-取费表'!B20/2,C39*(POWER((1+F22),'数据-取费表'!B20/2)-1)),0)</f>
        <v>17719</v>
      </c>
      <c r="D43" s="282"/>
      <c r="E43" s="282"/>
      <c r="F43" s="283"/>
      <c r="G43" s="3187"/>
    </row>
    <row r="44" spans="1:7" ht="13.5" customHeight="1">
      <c r="A44" s="954" t="s">
        <v>793</v>
      </c>
      <c r="B44" s="259" t="s">
        <v>2400</v>
      </c>
      <c r="C44" s="282">
        <f ca="1">ROUND(IF('数据-取费表'!B22&lt;=1,C40*F22*'数据-取费表'!B20/2,C40*(POWER((1+F22),'数据-取费表'!B20/2)-1)),4)</f>
        <v>4.0000000000000002E-4</v>
      </c>
      <c r="D44" s="282"/>
      <c r="E44" s="282"/>
      <c r="F44" s="283"/>
      <c r="G44" s="3188"/>
    </row>
    <row r="45" spans="1:7" s="258" customFormat="1" ht="13.5" customHeight="1">
      <c r="A45" s="299" t="s">
        <v>2401</v>
      </c>
      <c r="B45" s="288" t="s">
        <v>2367</v>
      </c>
      <c r="C45" s="289">
        <f ca="1">C46</f>
        <v>4154807</v>
      </c>
      <c r="D45" s="279">
        <f ca="1">C47</f>
        <v>2E-3</v>
      </c>
      <c r="E45" s="280" t="s">
        <v>2393</v>
      </c>
      <c r="F45" s="290"/>
      <c r="G45" s="291" t="s">
        <v>2402</v>
      </c>
    </row>
    <row r="46" spans="1:7" s="258" customFormat="1" ht="13.5" customHeight="1">
      <c r="A46" s="954" t="s">
        <v>791</v>
      </c>
      <c r="B46" s="292" t="s">
        <v>2403</v>
      </c>
      <c r="C46" s="293">
        <f ca="1">ROUND((C33+C39)*F27,0)</f>
        <v>4154807</v>
      </c>
      <c r="D46" s="307"/>
      <c r="E46" s="280"/>
      <c r="F46" s="290"/>
      <c r="G46" s="291"/>
    </row>
    <row r="47" spans="1:7" s="258" customFormat="1" ht="13.5" customHeight="1">
      <c r="A47" s="954" t="s">
        <v>792</v>
      </c>
      <c r="B47" s="292" t="s">
        <v>2404</v>
      </c>
      <c r="C47" s="282">
        <f ca="1">ROUND(C40*F27,4)</f>
        <v>2E-3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50423610</v>
      </c>
      <c r="D49" s="276"/>
      <c r="E49" s="276"/>
      <c r="F49" s="308"/>
      <c r="G49" s="278" t="s">
        <v>2408</v>
      </c>
    </row>
    <row r="50" spans="1:7" s="302" customFormat="1">
      <c r="A50" s="299" t="s">
        <v>2409</v>
      </c>
      <c r="B50" s="254" t="s">
        <v>2410</v>
      </c>
      <c r="C50" s="276"/>
      <c r="D50" s="276"/>
      <c r="E50" s="276"/>
      <c r="F50" s="308">
        <f>IF('数据-取费表'!B24=0,'数据-取费表'!N16,1)</f>
        <v>0.82</v>
      </c>
      <c r="G50" s="291"/>
    </row>
    <row r="51" spans="1:7" ht="16.5" customHeight="1">
      <c r="A51" s="299" t="s">
        <v>2412</v>
      </c>
      <c r="B51" s="254" t="s">
        <v>2447</v>
      </c>
      <c r="C51" s="276">
        <f ca="1">ROUND(C49*F50,0)</f>
        <v>41347360</v>
      </c>
      <c r="D51" s="276"/>
      <c r="E51" s="276"/>
      <c r="F51" s="308"/>
      <c r="G51" s="278" t="s">
        <v>2414</v>
      </c>
    </row>
    <row r="52" spans="1:7" s="252" customFormat="1" ht="16.5" thickBot="1">
      <c r="A52" s="309" t="s">
        <v>2415</v>
      </c>
      <c r="B52" s="310"/>
      <c r="C52" s="311">
        <f ca="1">C31+C51</f>
        <v>50322402</v>
      </c>
      <c r="D52" s="310"/>
      <c r="E52" s="310"/>
      <c r="F52" s="310"/>
      <c r="G52" s="312"/>
    </row>
    <row r="55" spans="1:7" ht="15">
      <c r="B55" s="314" t="s">
        <v>2416</v>
      </c>
      <c r="C55" s="315"/>
    </row>
    <row r="56" spans="1:7">
      <c r="B56" s="317" t="s">
        <v>1513</v>
      </c>
      <c r="C56" s="319">
        <f ca="1">1-C57</f>
        <v>0.17800000000000005</v>
      </c>
    </row>
    <row r="57" spans="1:7">
      <c r="B57" s="317" t="s">
        <v>1514</v>
      </c>
      <c r="C57" s="318">
        <f ca="1">ROUND(C51/C52,3)</f>
        <v>0.82199999999999995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57" t="s">
        <v>2454</v>
      </c>
      <c r="D5" s="2557" t="s">
        <v>2455</v>
      </c>
      <c r="E5" s="2557" t="s">
        <v>2456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1334</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2470</v>
      </c>
      <c r="C12" s="24">
        <f ca="1">ROUND(C11*F12,0)</f>
        <v>0</v>
      </c>
      <c r="D12" s="976"/>
      <c r="E12" s="375"/>
      <c r="F12" s="979">
        <f>'数据-取费表'!B33</f>
        <v>0.03</v>
      </c>
      <c r="G12" s="8" t="s">
        <v>2471</v>
      </c>
      <c r="H12" s="971"/>
      <c r="I12" s="971"/>
      <c r="J12" s="971"/>
      <c r="K12" s="972"/>
    </row>
    <row r="13" spans="1:33" s="978" customFormat="1" ht="13.5" customHeight="1">
      <c r="A13" s="974" t="s">
        <v>1336</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1337</v>
      </c>
      <c r="B14" s="975" t="s">
        <v>2474</v>
      </c>
      <c r="C14" s="24">
        <f ca="1">ROUND(D14*E14*F11/10000,0)</f>
        <v>0</v>
      </c>
      <c r="D14" s="1036">
        <f ca="1">IF(C1="",'数据-汇总表'!E3,INDIRECT("'数据-取费表'!K"&amp;$K$1)+INDIRECT("'数据-取费表'!S"&amp;$K$1))</f>
        <v>17787.509999999998</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17787.509999999998</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2481</v>
      </c>
      <c r="C18" s="24">
        <f ca="1">C19+C20-IF(C1="",'数据-取费表'!B29,IF(G18="已全部缴纳",C19+C20,H18))</f>
        <v>0</v>
      </c>
      <c r="D18" s="1036"/>
      <c r="E18" s="24"/>
      <c r="F18" s="979"/>
      <c r="G18" s="2559"/>
      <c r="H18" s="1580"/>
      <c r="I18" s="2560"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2484</v>
      </c>
      <c r="C20" s="24">
        <f ca="1">ROUND(D20*E20/10000,0)</f>
        <v>356</v>
      </c>
      <c r="D20" s="1036">
        <f ca="1">IF(C1="",'数据-汇总表'!E6,IF(INDIRECT("'数据-取费表'!c"&amp;$K$1)="住宅",INDIRECT("'数据-取费表'!s"&amp;$K$1),INDIRECT("'数据-取费表'!k"&amp;$K$1)+INDIRECT("'数据-取费表'!s"&amp;$K$1)))</f>
        <v>17787.509999999998</v>
      </c>
      <c r="E20" s="24">
        <f>'数据-取费表'!B28</f>
        <v>200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0.02</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0.02</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2498</v>
      </c>
      <c r="B28" s="2562" t="s">
        <v>2499</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3"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3063</v>
      </c>
      <c r="D1" s="1823" t="s">
        <v>70</v>
      </c>
      <c r="E1" s="1824" t="s">
        <v>1387</v>
      </c>
      <c r="F1" s="1286">
        <f ca="1">J53</f>
        <v>38.36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9216</v>
      </c>
      <c r="C2" s="1848" t="s">
        <v>1516</v>
      </c>
      <c r="D2" s="1848"/>
      <c r="E2" s="1849"/>
      <c r="F2" s="1850"/>
      <c r="G2" s="1851"/>
      <c r="H2" s="1843"/>
      <c r="I2" s="1843"/>
      <c r="J2" s="1843"/>
      <c r="K2" s="1844"/>
      <c r="L2" s="1843"/>
      <c r="M2" s="1843"/>
    </row>
    <row r="3" spans="1:37" ht="18" customHeight="1" thickBot="1">
      <c r="A3" s="1852" t="s">
        <v>1517</v>
      </c>
      <c r="B3" s="1853">
        <f ca="1">IF(ISERROR(B2*10000/F43),0,ROUND(B2*10000/F43,0))</f>
        <v>5181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584</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584</v>
      </c>
      <c r="D6" s="164" t="s">
        <v>3022</v>
      </c>
      <c r="E6" s="347" t="s">
        <v>1405</v>
      </c>
      <c r="F6" s="348">
        <f ca="1">INDIRECT("'数据-取费表'!u"&amp;$G$1)</f>
        <v>1</v>
      </c>
      <c r="G6" s="1854"/>
      <c r="H6" s="1294" t="s">
        <v>1035</v>
      </c>
      <c r="I6" s="3191" t="s">
        <v>1403</v>
      </c>
      <c r="J6" s="346">
        <f ca="1">ROUND(M6*M8*M7*(1-M9)/10000,0)</f>
        <v>0</v>
      </c>
      <c r="K6" s="164" t="s">
        <v>3021</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17787.509999999998</v>
      </c>
      <c r="G7" s="1854"/>
      <c r="H7" s="349"/>
      <c r="I7" s="3192"/>
      <c r="J7" s="351"/>
      <c r="K7" s="352"/>
      <c r="L7" s="347" t="s">
        <v>1406</v>
      </c>
      <c r="M7" s="348">
        <f ca="1">F7</f>
        <v>17787.509999999998</v>
      </c>
    </row>
    <row r="8" spans="1:37" ht="18" customHeight="1">
      <c r="A8" s="349"/>
      <c r="B8" s="3192"/>
      <c r="C8" s="351"/>
      <c r="D8" s="352"/>
      <c r="E8" s="347" t="s">
        <v>1407</v>
      </c>
      <c r="F8" s="348">
        <f ca="1">INDIRECT("'数据-取费表'!ai"&amp;$G$1)</f>
        <v>365</v>
      </c>
      <c r="G8" s="1854"/>
      <c r="H8" s="349"/>
      <c r="I8" s="3192"/>
      <c r="J8" s="351"/>
      <c r="K8" s="352"/>
      <c r="L8" s="347" t="s">
        <v>1407</v>
      </c>
      <c r="M8" s="348">
        <f ca="1">INDIRECT("'数据-取费表'!ai"&amp;$G$1)</f>
        <v>365</v>
      </c>
    </row>
    <row r="9" spans="1:37" ht="18" customHeight="1">
      <c r="A9" s="349"/>
      <c r="B9" s="3193"/>
      <c r="C9" s="351"/>
      <c r="D9" s="352"/>
      <c r="E9" s="347" t="s">
        <v>1408</v>
      </c>
      <c r="F9" s="357">
        <f ca="1">INDIRECT("'数据-取费表'!w"&amp;$G$1)</f>
        <v>0.1</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t="s">
        <v>3229</v>
      </c>
      <c r="G10" s="1854"/>
      <c r="H10" s="1294" t="s">
        <v>1039</v>
      </c>
      <c r="I10" s="1826" t="s">
        <v>1409</v>
      </c>
      <c r="J10" s="346">
        <f ca="1">ROUND(IF(M10="押一",J6/12*M11,IF(M10="押二",J6/12*2*M11,IF(M10="押三",J6/12*3*M11,J11*M11))),0)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4136</v>
      </c>
      <c r="D13" s="1334" t="s">
        <v>1415</v>
      </c>
      <c r="E13" s="1334" t="s">
        <v>1416</v>
      </c>
      <c r="F13" s="1335">
        <f ca="1">INDIRECT("'数据-取费表'!y"&amp;$G$1)</f>
        <v>0.82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3558</v>
      </c>
      <c r="D14" s="1803" t="s">
        <v>1418</v>
      </c>
      <c r="E14" s="1797"/>
      <c r="F14" s="364"/>
      <c r="G14" s="1854"/>
      <c r="H14" s="1204" t="s">
        <v>1035</v>
      </c>
      <c r="I14" s="347" t="s">
        <v>1419</v>
      </c>
      <c r="J14" s="24">
        <f ca="1">C29</f>
        <v>5044</v>
      </c>
      <c r="K14" s="15"/>
      <c r="L14" s="982"/>
      <c r="M14" s="983"/>
    </row>
    <row r="15" spans="1:37" s="1861" customFormat="1" ht="18" customHeight="1" thickBot="1">
      <c r="A15" s="1204" t="s">
        <v>1036</v>
      </c>
      <c r="B15" s="347" t="s">
        <v>1420</v>
      </c>
      <c r="C15" s="24">
        <f ca="1">ROUND(C14*F15,0)</f>
        <v>107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129</v>
      </c>
      <c r="K16" s="1340" t="s">
        <v>1425</v>
      </c>
      <c r="L16" s="1341"/>
      <c r="M16" s="1297"/>
    </row>
    <row r="17" spans="1:37" s="1861" customFormat="1" ht="18" customHeight="1">
      <c r="A17" s="1204" t="s">
        <v>1390</v>
      </c>
      <c r="B17" s="347" t="s">
        <v>1426</v>
      </c>
      <c r="C17" s="24">
        <f ca="1">ROUND(F17*(F43+INDIRECT("'数据-取费表'!S"&amp;$G$1))/10000,0)</f>
        <v>356</v>
      </c>
      <c r="D17" s="347" t="s">
        <v>1427</v>
      </c>
      <c r="E17" s="347" t="s">
        <v>1428</v>
      </c>
      <c r="F17" s="26">
        <f>'数据-取费表'!B35</f>
        <v>200</v>
      </c>
      <c r="G17" s="1857"/>
      <c r="H17" s="1204" t="s">
        <v>1035</v>
      </c>
      <c r="I17" s="347" t="s">
        <v>1429</v>
      </c>
      <c r="J17" s="24">
        <f ca="1">ROUND(IF(项目基本情况!B11="自然人",J5*M17,J18+J19+J20),1)</f>
        <v>52.9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4074</v>
      </c>
      <c r="D19" s="140" t="s">
        <v>1436</v>
      </c>
      <c r="E19" s="1821"/>
      <c r="F19" s="26"/>
      <c r="G19" s="1854"/>
      <c r="H19" s="1204" t="s">
        <v>1036</v>
      </c>
      <c r="I19" s="347" t="s">
        <v>1437</v>
      </c>
      <c r="J19" s="24">
        <f ca="1">IF(K19="按租金收入计税",ROUND(J5*M19,2),ROUND(C29*M19*0.7,2))</f>
        <v>42.37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81</v>
      </c>
      <c r="D20" s="369" t="s">
        <v>1440</v>
      </c>
      <c r="E20" s="347" t="s">
        <v>1422</v>
      </c>
      <c r="F20" s="367">
        <f>'数据-取费表'!B37</f>
        <v>0.02</v>
      </c>
      <c r="G20" s="1857"/>
      <c r="H20" s="1204" t="s">
        <v>1389</v>
      </c>
      <c r="I20" s="164" t="s">
        <v>1441</v>
      </c>
      <c r="J20" s="25">
        <f ca="1">ROUND(M20*M21/10000,2)</f>
        <v>10.53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35092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75.7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91</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-129</v>
      </c>
      <c r="K25" s="1348" t="s">
        <v>1464</v>
      </c>
      <c r="L25" s="1349"/>
      <c r="M25" s="1350"/>
    </row>
    <row r="26" spans="1:37">
      <c r="A26" s="1204" t="s">
        <v>1034</v>
      </c>
      <c r="B26" s="347" t="s">
        <v>1465</v>
      </c>
      <c r="C26" s="24">
        <f ca="1">ROUND((C19+C20)*F26,0)</f>
        <v>416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5044</v>
      </c>
      <c r="D29" s="1345"/>
      <c r="E29" s="1343"/>
      <c r="F29" s="1346"/>
      <c r="G29" s="1857"/>
      <c r="H29" s="380" t="s">
        <v>1033</v>
      </c>
      <c r="I29" s="381" t="s">
        <v>1479</v>
      </c>
      <c r="J29" s="382">
        <f ca="1">ROUND(J26/(1+F40)^F41,0)</f>
        <v>0</v>
      </c>
      <c r="K29" s="383" t="s">
        <v>1480</v>
      </c>
      <c r="L29" s="384"/>
      <c r="M29" s="385">
        <f ca="1">INDIRECT("'数据-取费表'!k"&amp;$G$1)</f>
        <v>17787.509999999998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172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84.1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31.15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42.37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10.53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35092</v>
      </c>
      <c r="G35" s="1854"/>
      <c r="H35" s="745"/>
      <c r="I35" s="1863"/>
      <c r="J35" s="1864"/>
      <c r="K35" s="1865"/>
      <c r="L35" s="1862"/>
      <c r="M35" s="1862"/>
    </row>
    <row r="36" spans="1:18" ht="18" customHeight="1">
      <c r="A36" s="1355" t="s">
        <v>1039</v>
      </c>
      <c r="B36" s="347" t="s">
        <v>1449</v>
      </c>
      <c r="C36" s="24">
        <f ca="1">ROUND(C29*F36,1)</f>
        <v>75.7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412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9216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38.36</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5181</v>
      </c>
      <c r="D43" s="383" t="s">
        <v>1488</v>
      </c>
      <c r="E43" s="384" t="s">
        <v>1489</v>
      </c>
      <c r="F43" s="385">
        <f ca="1">INDIRECT("'数据-取费表'!k"&amp;$G$1)</f>
        <v>17787.509999999998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-11501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3230</v>
      </c>
      <c r="K47" s="1885" t="s">
        <v>1527</v>
      </c>
      <c r="L47" s="1886">
        <f ca="1">INDIRECT("'数据-取费表'!d"&amp;$G$1)</f>
        <v>50</v>
      </c>
      <c r="M47" s="1841" t="str">
        <f>IF(ISNUMBER(FIND("住宅",C1)),"住宅","非住宅")</f>
        <v>非住宅</v>
      </c>
      <c r="O47" s="1887" t="s">
        <v>1040</v>
      </c>
      <c r="P47" s="1888" t="s">
        <v>1528</v>
      </c>
      <c r="Q47" s="1889">
        <f ca="1">C40+J29</f>
        <v>9216</v>
      </c>
      <c r="R47" s="1889" t="s">
        <v>1529</v>
      </c>
    </row>
    <row r="48" spans="1:18" s="1845" customFormat="1" ht="28.5" thickBot="1">
      <c r="A48" s="1363" t="s">
        <v>1135</v>
      </c>
      <c r="B48" s="345" t="s">
        <v>1401</v>
      </c>
      <c r="C48" s="1820">
        <f ca="1">C49+C53+C55</f>
        <v>0</v>
      </c>
      <c r="D48" s="1365"/>
      <c r="E48" s="1366"/>
      <c r="F48" s="1184"/>
      <c r="G48" s="792"/>
      <c r="H48" s="793"/>
      <c r="I48" s="1890" t="s">
        <v>1530</v>
      </c>
      <c r="J48" s="1891" t="s">
        <v>3231</v>
      </c>
      <c r="K48" s="1892" t="s">
        <v>1531</v>
      </c>
      <c r="L48" s="1893">
        <f ca="1">INDIRECT("'数据-取费表'!f"&amp;$G$1)</f>
        <v>38.36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3023</v>
      </c>
      <c r="E49" s="1833" t="s">
        <v>1491</v>
      </c>
      <c r="F49" s="1284"/>
      <c r="G49" s="1894"/>
      <c r="H49" s="793"/>
      <c r="I49" s="1890" t="s">
        <v>1534</v>
      </c>
      <c r="J49" s="1895">
        <v>2007</v>
      </c>
      <c r="K49" s="1892" t="s">
        <v>1535</v>
      </c>
      <c r="L49" s="1896"/>
      <c r="O49" s="1897" t="s">
        <v>1042</v>
      </c>
      <c r="P49" s="1888" t="s">
        <v>1536</v>
      </c>
      <c r="Q49" s="1889">
        <f ca="1">C29</f>
        <v>5044</v>
      </c>
      <c r="R49" s="1889" t="s">
        <v>1529</v>
      </c>
    </row>
    <row r="50" spans="1:18" s="1845" customFormat="1" ht="13.5" thickBot="1">
      <c r="A50" s="1198"/>
      <c r="B50" s="1201"/>
      <c r="C50" s="1371"/>
      <c r="D50" s="1175"/>
      <c r="E50" s="1280" t="s">
        <v>1406</v>
      </c>
      <c r="F50" s="1281">
        <f ca="1">F7</f>
        <v>17787.509999999998</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39</v>
      </c>
      <c r="K51" s="1903" t="s">
        <v>1541</v>
      </c>
      <c r="L51" s="1904">
        <f ca="1">ROUND(-PV(INDIRECT("'数据-取费表'!h"&amp;$G$1),L48,(C39-C13*C76),0),0)</f>
        <v>1095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38.36</v>
      </c>
      <c r="R52" s="1889" t="s">
        <v>1546</v>
      </c>
    </row>
    <row r="53" spans="1:18" s="1845" customFormat="1" ht="24.75" thickBot="1">
      <c r="A53" s="1408" t="s">
        <v>1137</v>
      </c>
      <c r="B53" s="1834" t="s">
        <v>1409</v>
      </c>
      <c r="C53" s="361">
        <f ca="1">ROUND(IF(F53="押一",C49/12*F11,IF(F53="押二",C49/12*2*F11,IF(F53="押三",C49/12*3*F11,C54*F11))),0)</f>
        <v>0</v>
      </c>
      <c r="D53" s="1827" t="s">
        <v>3030</v>
      </c>
      <c r="E53" s="358" t="s">
        <v>1410</v>
      </c>
      <c r="F53" s="1369"/>
      <c r="I53" s="1908" t="s">
        <v>1547</v>
      </c>
      <c r="J53" s="1909">
        <f ca="1">IF(M47="住宅",J51,IF(D1="——",MIN(J51,L48),IF(D1="在建（套用方法）",MIN(J51,L48-'数据-取费表'!B24),IF(D1="土地（套用方法）",MIN(J51,L48-'数据-取费表'!B20)))))</f>
        <v>38.36</v>
      </c>
      <c r="K53" s="3189" t="s">
        <v>1548</v>
      </c>
      <c r="L53" s="3190"/>
      <c r="O53" s="1887" t="s">
        <v>1046</v>
      </c>
      <c r="P53" s="1888" t="s">
        <v>1549</v>
      </c>
      <c r="Q53" s="1889">
        <f ca="1">Q47+Q48</f>
        <v>9216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4136</v>
      </c>
      <c r="D56" s="1917"/>
      <c r="E56" s="1918"/>
      <c r="F56" s="1910"/>
      <c r="I56" s="1919" t="s">
        <v>1554</v>
      </c>
      <c r="J56" s="1920" t="s">
        <v>3060</v>
      </c>
      <c r="K56" s="1890" t="s">
        <v>1555</v>
      </c>
      <c r="L56" s="1893" t="str">
        <f ca="1">IF(L48&lt;J51,"——",L48-J53)</f>
        <v>——</v>
      </c>
      <c r="O56" s="1887" t="s">
        <v>1040</v>
      </c>
      <c r="P56" s="1888" t="s">
        <v>1528</v>
      </c>
      <c r="Q56" s="1889">
        <f ca="1">C40+J29</f>
        <v>9216</v>
      </c>
      <c r="R56" s="1889" t="s">
        <v>1529</v>
      </c>
    </row>
    <row r="57" spans="1:18" s="1845" customFormat="1" ht="24.75" thickBot="1">
      <c r="A57" s="1921"/>
      <c r="B57" s="1172" t="s">
        <v>1478</v>
      </c>
      <c r="C57" s="282">
        <f ca="1">C29</f>
        <v>5044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135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42.37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10.53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9216</v>
      </c>
      <c r="R62" s="1889" t="s">
        <v>1047</v>
      </c>
    </row>
    <row r="63" spans="1:18" s="1845" customFormat="1" ht="13.5" thickBot="1">
      <c r="A63" s="372"/>
      <c r="B63" s="1178"/>
      <c r="C63" s="29"/>
      <c r="D63" s="1188"/>
      <c r="E63" s="1172" t="s">
        <v>1499</v>
      </c>
      <c r="F63" s="348">
        <f t="shared" ca="1" si="0"/>
        <v>35092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75.7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6.2</v>
      </c>
      <c r="D65" s="1186" t="s">
        <v>1454</v>
      </c>
      <c r="E65" s="1172" t="s">
        <v>1455</v>
      </c>
      <c r="F65" s="376">
        <f t="shared" ca="1" si="0"/>
        <v>1.5E-3</v>
      </c>
      <c r="I65" s="1932" t="s">
        <v>1579</v>
      </c>
      <c r="J65" s="1933">
        <v>40</v>
      </c>
      <c r="K65" s="1933">
        <v>30</v>
      </c>
      <c r="L65" s="1933">
        <v>50</v>
      </c>
      <c r="M65" s="1935">
        <v>0.02</v>
      </c>
      <c r="O65" s="1887" t="s">
        <v>1040</v>
      </c>
      <c r="P65" s="1888" t="s">
        <v>1580</v>
      </c>
      <c r="Q65" s="1889">
        <f ca="1">C40+J29</f>
        <v>9216</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-135</v>
      </c>
      <c r="D67" s="1185" t="s">
        <v>1464</v>
      </c>
      <c r="E67" s="1190"/>
      <c r="F67" s="1191"/>
      <c r="O67" s="1897" t="s">
        <v>1042</v>
      </c>
      <c r="P67" s="1888" t="s">
        <v>1562</v>
      </c>
      <c r="Q67" s="1936">
        <f ca="1">L51</f>
        <v>1095</v>
      </c>
      <c r="R67" s="1889" t="s">
        <v>1582</v>
      </c>
    </row>
    <row r="68" spans="1:18" s="1845" customFormat="1" ht="16.5" thickBot="1">
      <c r="A68" s="1169" t="s">
        <v>1032</v>
      </c>
      <c r="B68" s="1170" t="s">
        <v>1485</v>
      </c>
      <c r="C68" s="346">
        <f ca="1">ROUND(C67*(1-((1+F70)/(1+F68))^F69)/(F68-F70),0)</f>
        <v>-2285</v>
      </c>
      <c r="D68" s="1187" t="s">
        <v>1469</v>
      </c>
      <c r="E68" s="1172" t="s">
        <v>1470</v>
      </c>
      <c r="F68" s="357">
        <f ca="1">F40</f>
        <v>0.05</v>
      </c>
      <c r="O68" s="1897" t="s">
        <v>1043</v>
      </c>
      <c r="P68" s="1937" t="s">
        <v>1583</v>
      </c>
      <c r="Q68" s="1889">
        <f ca="1">ROUND(Q69-Q70*Q71,0)</f>
        <v>60</v>
      </c>
      <c r="R68" s="1889" t="s">
        <v>1051</v>
      </c>
    </row>
    <row r="69" spans="1:18" s="1845" customFormat="1" ht="13.5" thickBot="1">
      <c r="A69" s="1173"/>
      <c r="B69" s="1174"/>
      <c r="C69" s="351"/>
      <c r="D69" s="1192" t="s">
        <v>1473</v>
      </c>
      <c r="E69" s="1172" t="s">
        <v>1474</v>
      </c>
      <c r="F69" s="379">
        <f ca="1">F41</f>
        <v>38.36</v>
      </c>
      <c r="O69" s="1897" t="s">
        <v>1048</v>
      </c>
      <c r="P69" s="1937" t="s">
        <v>1584</v>
      </c>
      <c r="Q69" s="1889">
        <f ca="1">C39</f>
        <v>412</v>
      </c>
      <c r="R69" s="1889" t="s">
        <v>1529</v>
      </c>
    </row>
    <row r="70" spans="1:18" s="1845" customFormat="1" ht="13.5" thickBot="1">
      <c r="A70" s="1176"/>
      <c r="B70" s="1177"/>
      <c r="C70" s="355"/>
      <c r="D70" s="1188"/>
      <c r="E70" s="1172" t="s">
        <v>1477</v>
      </c>
      <c r="F70" s="1278"/>
      <c r="O70" s="1897" t="s">
        <v>1049</v>
      </c>
      <c r="P70" s="1937" t="s">
        <v>1585</v>
      </c>
      <c r="Q70" s="1889">
        <f ca="1">C13</f>
        <v>4136</v>
      </c>
      <c r="R70" s="1889" t="s">
        <v>1529</v>
      </c>
    </row>
    <row r="71" spans="1:18" s="1845" customFormat="1" ht="13.5" thickBot="1">
      <c r="A71" s="1193" t="s">
        <v>1033</v>
      </c>
      <c r="B71" s="1194" t="s">
        <v>1487</v>
      </c>
      <c r="C71" s="382">
        <f ca="1">ROUND(C68*10000/F71,0)</f>
        <v>-1285</v>
      </c>
      <c r="D71" s="1195" t="s">
        <v>1488</v>
      </c>
      <c r="E71" s="1196" t="s">
        <v>1489</v>
      </c>
      <c r="F71" s="385">
        <f ca="1">F43</f>
        <v>17787.509999999998</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352</v>
      </c>
      <c r="D75" s="1845"/>
      <c r="E75" s="1845"/>
      <c r="F75" s="1845"/>
      <c r="K75" s="1871"/>
      <c r="L75" s="1845"/>
      <c r="O75" s="1887" t="s">
        <v>1046</v>
      </c>
      <c r="P75" s="1888" t="s">
        <v>1549</v>
      </c>
      <c r="Q75" s="1889">
        <f ca="1">Q65+Q66</f>
        <v>9216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0.14600000000000002</v>
      </c>
    </row>
    <row r="80" spans="1:18">
      <c r="B80" s="386" t="s">
        <v>1511</v>
      </c>
      <c r="C80" s="318">
        <f ca="1">ROUND(C75/C39,3)</f>
        <v>0.85399999999999998</v>
      </c>
    </row>
    <row r="81" spans="2:3">
      <c r="B81" s="314" t="s">
        <v>1512</v>
      </c>
      <c r="C81" s="282"/>
    </row>
    <row r="82" spans="2:3">
      <c r="B82" s="317" t="s">
        <v>1513</v>
      </c>
      <c r="C82" s="319">
        <f ca="1">1-C83</f>
        <v>0.55099999999999993</v>
      </c>
    </row>
    <row r="83" spans="2:3">
      <c r="B83" s="317" t="s">
        <v>1514</v>
      </c>
      <c r="C83" s="318">
        <f ca="1">ROUND(C13/C40,3)</f>
        <v>0.44900000000000001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1" t="s">
        <v>1403</v>
      </c>
      <c r="C6" s="1299">
        <f ca="1">ROUND(F6*F8*F7*(1-F9),0)</f>
        <v>0</v>
      </c>
      <c r="D6" s="164" t="s">
        <v>3019</v>
      </c>
      <c r="E6" s="347" t="s">
        <v>1405</v>
      </c>
      <c r="F6" s="348">
        <f ca="1">INDIRECT("'数据-取费表'!u"&amp;$G$1)</f>
        <v>0</v>
      </c>
      <c r="G6" s="1854"/>
      <c r="H6" s="1294" t="s">
        <v>1035</v>
      </c>
      <c r="I6" s="3191" t="s">
        <v>1403</v>
      </c>
      <c r="J6" s="346">
        <f ca="1">ROUND(M6*M8*M7*(1-M9),0)</f>
        <v>0</v>
      </c>
      <c r="K6" s="1837" t="s">
        <v>3020</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0</v>
      </c>
      <c r="G7" s="1854"/>
      <c r="H7" s="349"/>
      <c r="I7" s="3192"/>
      <c r="J7" s="351"/>
      <c r="K7" s="352"/>
      <c r="L7" s="347" t="s">
        <v>1406</v>
      </c>
      <c r="M7" s="348">
        <f ca="1">F7</f>
        <v>0</v>
      </c>
    </row>
    <row r="8" spans="1:37" ht="18" customHeight="1">
      <c r="A8" s="349"/>
      <c r="B8" s="3192"/>
      <c r="C8" s="351"/>
      <c r="D8" s="352"/>
      <c r="E8" s="347" t="s">
        <v>1407</v>
      </c>
      <c r="F8" s="348">
        <f ca="1">INDIRECT("'数据-取费表'!ai"&amp;$G$1)</f>
        <v>0</v>
      </c>
      <c r="G8" s="1854"/>
      <c r="H8" s="349"/>
      <c r="I8" s="3192"/>
      <c r="J8" s="351"/>
      <c r="K8" s="352"/>
      <c r="L8" s="347" t="s">
        <v>1407</v>
      </c>
      <c r="M8" s="348">
        <f ca="1">INDIRECT("'数据-取费表'!ai"&amp;$G$1)</f>
        <v>0</v>
      </c>
    </row>
    <row r="9" spans="1:37" ht="18" customHeight="1">
      <c r="A9" s="349"/>
      <c r="B9" s="3193"/>
      <c r="C9" s="351"/>
      <c r="D9" s="352"/>
      <c r="E9" s="347" t="s">
        <v>1408</v>
      </c>
      <c r="F9" s="357">
        <f ca="1">INDIRECT("'数据-取费表'!w"&amp;$G$1)</f>
        <v>0</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IF(M47="住宅",J51,IF(D1="——",MIN(J51,L48),IF(D1="在建（套用方法）",MIN(J51,L48-'数据-取费表'!B24),IF(D1="土地（套用方法）",MIN(J51,L48-'数据-取费表'!B20)))))</f>
        <v>0</v>
      </c>
      <c r="K53" s="3189" t="s">
        <v>1548</v>
      </c>
      <c r="L53" s="31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2515</v>
      </c>
      <c r="B1" s="2565"/>
      <c r="C1" s="2565"/>
      <c r="D1" s="2565"/>
      <c r="E1" s="2566"/>
    </row>
    <row r="2" spans="1:6" ht="15.75">
      <c r="A2" s="2567" t="s">
        <v>2316</v>
      </c>
      <c r="B2" s="2568">
        <f ca="1">SUMIF(B6:B13,"&lt;&gt;#ref!",B6:B13)</f>
        <v>9216</v>
      </c>
      <c r="C2" s="2569" t="s">
        <v>2508</v>
      </c>
      <c r="D2" s="2570" t="s">
        <v>2509</v>
      </c>
      <c r="E2" s="2571">
        <f>SUM(E6:E13)</f>
        <v>17787.509999999998</v>
      </c>
    </row>
    <row r="3" spans="1:6" ht="15.75">
      <c r="A3" s="2567" t="s">
        <v>1395</v>
      </c>
      <c r="B3" s="2568">
        <f ca="1">ROUND(B2*10000/E2,0)</f>
        <v>5181</v>
      </c>
      <c r="C3" s="2569" t="s">
        <v>2516</v>
      </c>
      <c r="D3" s="2572"/>
      <c r="E3" s="2573"/>
    </row>
    <row r="4" spans="1:6" ht="15.75">
      <c r="A4" s="2574"/>
      <c r="B4" s="2572"/>
      <c r="C4" s="2572"/>
      <c r="D4" s="2572"/>
      <c r="E4" s="2573"/>
    </row>
    <row r="5" spans="1:6" ht="15">
      <c r="A5" s="2575" t="s">
        <v>2510</v>
      </c>
      <c r="B5" s="3194" t="s">
        <v>2511</v>
      </c>
      <c r="C5" s="3194"/>
      <c r="D5" s="2576"/>
      <c r="E5" s="2577" t="s">
        <v>2512</v>
      </c>
      <c r="F5" s="2578" t="s">
        <v>2513</v>
      </c>
    </row>
    <row r="6" spans="1:6">
      <c r="A6" s="2579" t="str">
        <f>'数据-取费表'!AN6</f>
        <v>收益法</v>
      </c>
      <c r="B6" s="2578">
        <f ca="1">IF(F6="是",'数据-取费表'!AO6,0)</f>
        <v>9216</v>
      </c>
      <c r="C6" s="2569" t="s">
        <v>2508</v>
      </c>
      <c r="D6" s="2572"/>
      <c r="E6" s="2580">
        <f>IF(OR(A6=0,F6="否"),0,'数据-取费表'!K6+'数据-取费表'!S6)</f>
        <v>17787.509999999998</v>
      </c>
      <c r="F6" s="2581" t="s">
        <v>2514</v>
      </c>
    </row>
    <row r="7" spans="1:6">
      <c r="A7" s="2579">
        <f>'数据-取费表'!AN7</f>
        <v>0</v>
      </c>
      <c r="B7" s="2578" t="e">
        <f ca="1">IF(F7="是",'数据-取费表'!AO7,0)</f>
        <v>#REF!</v>
      </c>
      <c r="C7" s="2569" t="s">
        <v>2508</v>
      </c>
      <c r="D7" s="2572"/>
      <c r="E7" s="2580">
        <f>IF(OR(A7=0,F7="否"),0,'数据-取费表'!K7+'数据-取费表'!S7)</f>
        <v>0</v>
      </c>
      <c r="F7" s="2581" t="s">
        <v>2514</v>
      </c>
    </row>
    <row r="8" spans="1:6">
      <c r="A8" s="2579">
        <f>'数据-取费表'!AN8</f>
        <v>0</v>
      </c>
      <c r="B8" s="2578" t="e">
        <f ca="1">IF(F8="是",'数据-取费表'!AO8,0)</f>
        <v>#REF!</v>
      </c>
      <c r="C8" s="2569" t="s">
        <v>2508</v>
      </c>
      <c r="D8" s="2572"/>
      <c r="E8" s="2580">
        <f>IF(OR(A8=0,F8="否"),0,'数据-取费表'!K8+'数据-取费表'!S8)</f>
        <v>0</v>
      </c>
      <c r="F8" s="2581" t="s">
        <v>2514</v>
      </c>
    </row>
    <row r="9" spans="1:6">
      <c r="A9" s="2579">
        <f>'数据-取费表'!AN9</f>
        <v>0</v>
      </c>
      <c r="B9" s="2578" t="e">
        <f ca="1">IF(F9="是",'数据-取费表'!AO9,0)</f>
        <v>#REF!</v>
      </c>
      <c r="C9" s="2569" t="s">
        <v>2508</v>
      </c>
      <c r="D9" s="2572"/>
      <c r="E9" s="2580">
        <f>IF(OR(A9=0,F9="否"),0,'数据-取费表'!K9+'数据-取费表'!S9)</f>
        <v>0</v>
      </c>
      <c r="F9" s="2581" t="s">
        <v>2514</v>
      </c>
    </row>
    <row r="10" spans="1:6">
      <c r="A10" s="2579">
        <f>'数据-取费表'!AN10</f>
        <v>0</v>
      </c>
      <c r="B10" s="2578" t="e">
        <f ca="1">IF(F10="是",'数据-取费表'!AO10,0)</f>
        <v>#REF!</v>
      </c>
      <c r="C10" s="2569" t="s">
        <v>2508</v>
      </c>
      <c r="D10" s="2572"/>
      <c r="E10" s="2580">
        <f>IF(OR(A10=0,F10="否"),0,'数据-取费表'!K10+'数据-取费表'!S10)</f>
        <v>0</v>
      </c>
      <c r="F10" s="2581" t="s">
        <v>2514</v>
      </c>
    </row>
    <row r="11" spans="1:6">
      <c r="A11" s="2579">
        <f>'数据-取费表'!AN11</f>
        <v>0</v>
      </c>
      <c r="B11" s="2578" t="e">
        <f ca="1">IF(F11="是",'数据-取费表'!AO11,0)</f>
        <v>#REF!</v>
      </c>
      <c r="C11" s="2569" t="s">
        <v>2508</v>
      </c>
      <c r="D11" s="2572"/>
      <c r="E11" s="2580">
        <f>IF(OR(A11=0,F11="否"),0,'数据-取费表'!K11+'数据-取费表'!S11)</f>
        <v>0</v>
      </c>
      <c r="F11" s="2581" t="s">
        <v>2514</v>
      </c>
    </row>
    <row r="12" spans="1:6">
      <c r="A12" s="2579">
        <f>'数据-取费表'!AN12</f>
        <v>0</v>
      </c>
      <c r="B12" s="2578" t="e">
        <f ca="1">IF(F12="是",'数据-取费表'!AO12,0)</f>
        <v>#REF!</v>
      </c>
      <c r="C12" s="2569" t="s">
        <v>2508</v>
      </c>
      <c r="D12" s="2572"/>
      <c r="E12" s="2580">
        <f>IF(OR(A12=0,F12="否"),0,'数据-取费表'!K12+'数据-取费表'!S12)</f>
        <v>0</v>
      </c>
      <c r="F12" s="2581" t="s">
        <v>2514</v>
      </c>
    </row>
    <row r="13" spans="1:6" ht="15" thickBot="1">
      <c r="A13" s="2582">
        <f>'数据-取费表'!AN13</f>
        <v>0</v>
      </c>
      <c r="B13" s="2578" t="e">
        <f ca="1">IF(F13="是",'数据-取费表'!AO13,0)</f>
        <v>#REF!</v>
      </c>
      <c r="C13" s="2583" t="s">
        <v>2508</v>
      </c>
      <c r="D13" s="2584"/>
      <c r="E13" s="2580">
        <f>IF(OR(A13=0,F13="否"),0,'数据-取费表'!K13+'数据-取费表'!S13)</f>
        <v>0</v>
      </c>
      <c r="F13" s="2581"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1076</v>
      </c>
      <c r="B1" s="3196"/>
      <c r="C1" s="3197"/>
      <c r="D1" s="3198">
        <f>SUM(I10,I15,I20,I21,I23)</f>
        <v>0</v>
      </c>
      <c r="E1" s="3198"/>
      <c r="F1" s="3198"/>
      <c r="G1" s="3198"/>
      <c r="H1" s="3198"/>
      <c r="I1" s="3199"/>
    </row>
    <row r="2" spans="1:9">
      <c r="A2" s="3200" t="s">
        <v>1077</v>
      </c>
      <c r="B2" s="3201" t="s">
        <v>1078</v>
      </c>
      <c r="C2" s="3201"/>
      <c r="D2" s="1304" t="s">
        <v>1079</v>
      </c>
      <c r="E2" s="1304" t="s">
        <v>1080</v>
      </c>
      <c r="F2" s="1304" t="s">
        <v>1081</v>
      </c>
      <c r="G2" s="1304" t="s">
        <v>1082</v>
      </c>
      <c r="H2" s="1304" t="s">
        <v>1083</v>
      </c>
      <c r="I2" s="1305" t="s">
        <v>1084</v>
      </c>
    </row>
    <row r="3" spans="1:9">
      <c r="A3" s="3200"/>
      <c r="B3" s="3201" t="s">
        <v>1085</v>
      </c>
      <c r="C3" s="3201"/>
      <c r="D3" s="1306"/>
      <c r="E3" s="1304"/>
      <c r="F3" s="1307"/>
      <c r="G3" s="1307"/>
      <c r="H3" s="1308"/>
      <c r="I3" s="1309">
        <f>ROUND(D3*E3*F3*G3*H3/10000,0)</f>
        <v>0</v>
      </c>
    </row>
    <row r="4" spans="1:9">
      <c r="A4" s="3200"/>
      <c r="B4" s="3201" t="s">
        <v>1086</v>
      </c>
      <c r="C4" s="3201"/>
      <c r="D4" s="1306"/>
      <c r="E4" s="1304"/>
      <c r="F4" s="1307"/>
      <c r="G4" s="1307"/>
      <c r="H4" s="1308"/>
      <c r="I4" s="1309">
        <f t="shared" ref="I4:I9" si="0">ROUND(D4*E4*F4*G4*H4/10000,0)</f>
        <v>0</v>
      </c>
    </row>
    <row r="5" spans="1:9">
      <c r="A5" s="3200"/>
      <c r="B5" s="3201" t="s">
        <v>1087</v>
      </c>
      <c r="C5" s="3201"/>
      <c r="D5" s="1306"/>
      <c r="E5" s="1304"/>
      <c r="F5" s="1307"/>
      <c r="G5" s="1307"/>
      <c r="H5" s="1308"/>
      <c r="I5" s="1309">
        <f t="shared" si="0"/>
        <v>0</v>
      </c>
    </row>
    <row r="6" spans="1:9">
      <c r="A6" s="3200"/>
      <c r="B6" s="3201" t="s">
        <v>1088</v>
      </c>
      <c r="C6" s="3201"/>
      <c r="D6" s="1306"/>
      <c r="E6" s="1304"/>
      <c r="F6" s="1307"/>
      <c r="G6" s="1307"/>
      <c r="H6" s="1308"/>
      <c r="I6" s="1309">
        <f t="shared" si="0"/>
        <v>0</v>
      </c>
    </row>
    <row r="7" spans="1:9">
      <c r="A7" s="3200"/>
      <c r="B7" s="3201" t="s">
        <v>1089</v>
      </c>
      <c r="C7" s="3201"/>
      <c r="D7" s="1306"/>
      <c r="E7" s="1304"/>
      <c r="F7" s="1307"/>
      <c r="G7" s="1307"/>
      <c r="H7" s="1308"/>
      <c r="I7" s="1309">
        <f t="shared" si="0"/>
        <v>0</v>
      </c>
    </row>
    <row r="8" spans="1:9">
      <c r="A8" s="3200"/>
      <c r="B8" s="3201" t="s">
        <v>1090</v>
      </c>
      <c r="C8" s="3201"/>
      <c r="D8" s="1306"/>
      <c r="E8" s="1304"/>
      <c r="F8" s="1307"/>
      <c r="G8" s="1307"/>
      <c r="H8" s="1308"/>
      <c r="I8" s="1309">
        <f t="shared" si="0"/>
        <v>0</v>
      </c>
    </row>
    <row r="9" spans="1:9">
      <c r="A9" s="3200"/>
      <c r="B9" s="3201" t="s">
        <v>1091</v>
      </c>
      <c r="C9" s="3201"/>
      <c r="D9" s="1306"/>
      <c r="E9" s="1304"/>
      <c r="F9" s="1307"/>
      <c r="G9" s="1307"/>
      <c r="H9" s="1308"/>
      <c r="I9" s="1309">
        <f t="shared" si="0"/>
        <v>0</v>
      </c>
    </row>
    <row r="10" spans="1:9">
      <c r="A10" s="3200"/>
      <c r="B10" s="3202" t="s">
        <v>1092</v>
      </c>
      <c r="C10" s="3202"/>
      <c r="D10" s="1310"/>
      <c r="E10" s="1310" t="e">
        <f>ROUND(D1*10000/D10/H9,0)</f>
        <v>#DIV/0!</v>
      </c>
      <c r="F10" s="1311"/>
      <c r="G10" s="1311"/>
      <c r="H10" s="1312"/>
      <c r="I10" s="1313">
        <f>SUM(I3:I9)</f>
        <v>0</v>
      </c>
    </row>
    <row r="11" spans="1:9" ht="14.25">
      <c r="A11" s="3200" t="s">
        <v>1093</v>
      </c>
      <c r="B11" s="3201" t="s">
        <v>1094</v>
      </c>
      <c r="C11" s="3201"/>
      <c r="D11" s="1306" t="s">
        <v>1095</v>
      </c>
      <c r="E11" s="1306" t="s">
        <v>1096</v>
      </c>
      <c r="F11" s="1307" t="s">
        <v>1097</v>
      </c>
      <c r="G11" s="1307" t="s">
        <v>1083</v>
      </c>
      <c r="H11" s="1314" t="s">
        <v>1098</v>
      </c>
      <c r="I11" s="1305" t="s">
        <v>1084</v>
      </c>
    </row>
    <row r="12" spans="1:9">
      <c r="A12" s="3200"/>
      <c r="B12" s="3201" t="s">
        <v>1099</v>
      </c>
      <c r="C12" s="3201"/>
      <c r="D12" s="1306"/>
      <c r="E12" s="1306"/>
      <c r="F12" s="1307"/>
      <c r="G12" s="1308"/>
      <c r="H12" s="1315"/>
      <c r="I12" s="1305">
        <f>ROUND(D12*E12*F12*G12/10000,0)</f>
        <v>0</v>
      </c>
    </row>
    <row r="13" spans="1:9">
      <c r="A13" s="3200"/>
      <c r="B13" s="3201" t="s">
        <v>1100</v>
      </c>
      <c r="C13" s="3201"/>
      <c r="D13" s="1306"/>
      <c r="E13" s="1306"/>
      <c r="F13" s="1307"/>
      <c r="G13" s="1308"/>
      <c r="H13" s="1315"/>
      <c r="I13" s="1305">
        <f>ROUND(D13*E13*F13*G13/10000,0)</f>
        <v>0</v>
      </c>
    </row>
    <row r="14" spans="1:9">
      <c r="A14" s="3200"/>
      <c r="B14" s="3201" t="s">
        <v>1101</v>
      </c>
      <c r="C14" s="3201"/>
      <c r="D14" s="1306"/>
      <c r="E14" s="1306"/>
      <c r="F14" s="1307"/>
      <c r="G14" s="1308"/>
      <c r="H14" s="1315"/>
      <c r="I14" s="1305">
        <f>ROUND(D14*E14*F14*G14/10000,0)</f>
        <v>0</v>
      </c>
    </row>
    <row r="15" spans="1:9">
      <c r="A15" s="3200"/>
      <c r="B15" s="3202" t="s">
        <v>1092</v>
      </c>
      <c r="C15" s="3202"/>
      <c r="D15" s="1310"/>
      <c r="E15" s="1310">
        <f>SUM(E12:E14)</f>
        <v>0</v>
      </c>
      <c r="F15" s="1311"/>
      <c r="G15" s="1308"/>
      <c r="H15" s="1315"/>
      <c r="I15" s="1316">
        <f>SUM(I12:I14)</f>
        <v>0</v>
      </c>
    </row>
    <row r="16" spans="1:9" ht="24">
      <c r="A16" s="3200" t="s">
        <v>1102</v>
      </c>
      <c r="B16" s="3201" t="s">
        <v>1103</v>
      </c>
      <c r="C16" s="3201"/>
      <c r="D16" s="1306" t="s">
        <v>1079</v>
      </c>
      <c r="E16" s="1317" t="s">
        <v>1104</v>
      </c>
      <c r="F16" s="1307" t="s">
        <v>1105</v>
      </c>
      <c r="G16" s="1308" t="s">
        <v>1083</v>
      </c>
      <c r="H16" s="1314" t="s">
        <v>1098</v>
      </c>
      <c r="I16" s="1305" t="s">
        <v>1084</v>
      </c>
    </row>
    <row r="17" spans="1:9" ht="14.25">
      <c r="A17" s="3200"/>
      <c r="B17" s="3201" t="s">
        <v>1106</v>
      </c>
      <c r="C17" s="3201"/>
      <c r="D17" s="1306"/>
      <c r="E17" s="1306"/>
      <c r="F17" s="1307"/>
      <c r="G17" s="1308"/>
      <c r="H17" s="1318"/>
      <c r="I17" s="1319">
        <f>ROUND(D17*E17*F17*G17/10000,0)</f>
        <v>0</v>
      </c>
    </row>
    <row r="18" spans="1:9" ht="14.25">
      <c r="A18" s="3200"/>
      <c r="B18" s="3201" t="s">
        <v>1107</v>
      </c>
      <c r="C18" s="3201"/>
      <c r="D18" s="1306"/>
      <c r="E18" s="1306"/>
      <c r="F18" s="1307"/>
      <c r="G18" s="1308"/>
      <c r="H18" s="1318"/>
      <c r="I18" s="1319">
        <f>ROUND(D18*E18*F18*G18/10000,0)</f>
        <v>0</v>
      </c>
    </row>
    <row r="19" spans="1:9" ht="14.25">
      <c r="A19" s="3200"/>
      <c r="B19" s="3201" t="s">
        <v>1108</v>
      </c>
      <c r="C19" s="3201"/>
      <c r="D19" s="1306"/>
      <c r="E19" s="1306"/>
      <c r="F19" s="1307"/>
      <c r="G19" s="1308"/>
      <c r="H19" s="1318"/>
      <c r="I19" s="1319">
        <f>ROUND(D19*E19*F19*G19/10000,0)</f>
        <v>0</v>
      </c>
    </row>
    <row r="20" spans="1:9">
      <c r="A20" s="3200"/>
      <c r="B20" s="3202" t="s">
        <v>1092</v>
      </c>
      <c r="C20" s="3202"/>
      <c r="D20" s="1310">
        <f>SUM(D17:D19)</f>
        <v>0</v>
      </c>
      <c r="E20" s="1310"/>
      <c r="F20" s="1311"/>
      <c r="G20" s="1308"/>
      <c r="H20" s="1315"/>
      <c r="I20" s="1316">
        <f>SUM(I17:I19)</f>
        <v>0</v>
      </c>
    </row>
    <row r="21" spans="1:9">
      <c r="A21" s="3200" t="s">
        <v>1109</v>
      </c>
      <c r="B21" s="3204"/>
      <c r="C21" s="3204"/>
      <c r="D21" s="3204"/>
      <c r="E21" s="3204"/>
      <c r="F21" s="3204"/>
      <c r="G21" s="3204"/>
      <c r="H21" s="1768">
        <v>0.1</v>
      </c>
      <c r="I21" s="1313">
        <f>ROUND(I10*H21,0)</f>
        <v>0</v>
      </c>
    </row>
    <row r="22" spans="1:9" ht="14.25">
      <c r="A22" s="3205" t="s">
        <v>1110</v>
      </c>
      <c r="B22" s="3206"/>
      <c r="C22" s="3207"/>
      <c r="D22" s="1320" t="s">
        <v>1111</v>
      </c>
      <c r="E22" s="1320" t="s">
        <v>1112</v>
      </c>
      <c r="F22" s="1321" t="s">
        <v>1113</v>
      </c>
      <c r="G22" s="1321" t="s">
        <v>1114</v>
      </c>
      <c r="H22" s="1314" t="s">
        <v>1115</v>
      </c>
      <c r="I22" s="1305" t="s">
        <v>1116</v>
      </c>
    </row>
    <row r="23" spans="1:9" ht="14.25" thickBot="1">
      <c r="A23" s="3208"/>
      <c r="B23" s="3209"/>
      <c r="C23" s="3210"/>
      <c r="D23" s="1322"/>
      <c r="E23" s="1322"/>
      <c r="F23" s="1322"/>
      <c r="G23" s="1323"/>
      <c r="H23" s="1324"/>
      <c r="I23" s="1325">
        <f>ROUND(E23*D23*F23*(1-G23)/10000,0)</f>
        <v>0</v>
      </c>
    </row>
    <row r="26" spans="1:9">
      <c r="A26" s="1326" t="s">
        <v>1117</v>
      </c>
      <c r="B26" s="1326"/>
      <c r="C26" s="1326"/>
      <c r="D26" s="1326"/>
      <c r="E26" s="3211">
        <f>C27-C30-C31-C32</f>
        <v>0</v>
      </c>
      <c r="F26" s="3211"/>
      <c r="G26" s="3211"/>
      <c r="H26" s="1740" t="s">
        <v>1340</v>
      </c>
    </row>
    <row r="27" spans="1:9">
      <c r="A27" s="1327">
        <v>1</v>
      </c>
      <c r="B27" s="1328" t="s">
        <v>1118</v>
      </c>
      <c r="C27" s="1328">
        <f>C28+C29</f>
        <v>0</v>
      </c>
      <c r="D27" s="1328"/>
      <c r="E27" s="3212"/>
      <c r="F27" s="3212"/>
      <c r="G27" s="3212"/>
    </row>
    <row r="28" spans="1:9">
      <c r="A28" s="1329" t="s">
        <v>1119</v>
      </c>
      <c r="B28" s="1328" t="s">
        <v>1120</v>
      </c>
      <c r="C28" s="1328"/>
      <c r="D28" s="1328"/>
      <c r="E28" s="3212"/>
      <c r="F28" s="3212"/>
      <c r="G28" s="321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3"/>
      <c r="F32" s="3203"/>
      <c r="G32" s="3203"/>
    </row>
    <row r="33" spans="1:7" hidden="1">
      <c r="A33" s="3213" t="s">
        <v>1129</v>
      </c>
      <c r="B33" s="3214"/>
      <c r="C33" s="3214"/>
      <c r="D33" s="3215"/>
      <c r="E33" s="3211"/>
      <c r="F33" s="3211"/>
      <c r="G33" s="3211"/>
    </row>
    <row r="34" spans="1:7" hidden="1">
      <c r="A34" s="1331">
        <v>1</v>
      </c>
      <c r="B34" s="1328" t="s">
        <v>1130</v>
      </c>
      <c r="C34" s="1328"/>
      <c r="D34" s="1328"/>
      <c r="E34" s="3212"/>
      <c r="F34" s="3212"/>
      <c r="G34" s="3212"/>
    </row>
    <row r="35" spans="1:7" hidden="1">
      <c r="A35" s="1331">
        <v>2</v>
      </c>
      <c r="B35" s="1328" t="s">
        <v>1131</v>
      </c>
      <c r="C35" s="1328"/>
      <c r="D35" s="1328"/>
      <c r="E35" s="3212"/>
      <c r="F35" s="3212"/>
      <c r="G35" s="3212"/>
    </row>
    <row r="36" spans="1:7" hidden="1">
      <c r="A36" s="1331">
        <v>3</v>
      </c>
      <c r="B36" s="1328" t="s">
        <v>1132</v>
      </c>
      <c r="C36" s="1328"/>
      <c r="D36" s="1328"/>
      <c r="E36" s="3212"/>
      <c r="F36" s="3212"/>
      <c r="G36" s="3212"/>
    </row>
    <row r="37" spans="1:7" hidden="1">
      <c r="A37" s="1331">
        <v>4</v>
      </c>
      <c r="B37" s="1328" t="s">
        <v>1133</v>
      </c>
      <c r="C37" s="1328"/>
      <c r="D37" s="1328"/>
      <c r="E37" s="3212"/>
      <c r="F37" s="3212"/>
      <c r="G37" s="3212"/>
    </row>
    <row r="38" spans="1:7" hidden="1">
      <c r="A38" s="3213" t="s">
        <v>1134</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5" t="s">
        <v>2518</v>
      </c>
      <c r="C1" s="1637" t="s">
        <v>2519</v>
      </c>
      <c r="D1" s="1624"/>
      <c r="E1" s="2586"/>
      <c r="F1" s="2587" t="s">
        <v>2520</v>
      </c>
      <c r="G1" s="1634" t="s">
        <v>2521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2523</v>
      </c>
      <c r="D3" s="399">
        <f>IF(D1="",'数据-汇总表'!E3,SUMIF('数据-汇总表'!$C19:$C33,D1,'数据-汇总表'!$E19:$E33))</f>
        <v>17787.509999999998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2524</v>
      </c>
      <c r="B4" s="402"/>
      <c r="C4" s="3156" t="s">
        <v>2525</v>
      </c>
      <c r="D4" s="3157"/>
      <c r="E4" s="3158" t="s">
        <v>2526</v>
      </c>
      <c r="F4" s="3159"/>
      <c r="G4" s="3156" t="s">
        <v>2527</v>
      </c>
      <c r="H4" s="3157"/>
      <c r="I4" s="3156" t="s">
        <v>2528</v>
      </c>
      <c r="J4" s="3157"/>
      <c r="K4" s="2599" t="s">
        <v>2529</v>
      </c>
      <c r="L4" s="1133"/>
      <c r="M4" s="1134"/>
      <c r="N4" s="1134"/>
      <c r="O4" s="1134"/>
      <c r="P4" s="3160" t="s">
        <v>2530</v>
      </c>
      <c r="Q4" s="3161"/>
      <c r="R4" s="3173" t="s">
        <v>2526</v>
      </c>
      <c r="S4" s="3174"/>
      <c r="T4" s="3173" t="s">
        <v>2527</v>
      </c>
      <c r="U4" s="3174"/>
      <c r="V4" s="3148" t="s">
        <v>2528</v>
      </c>
      <c r="W4" s="3148"/>
      <c r="X4" s="1816"/>
      <c r="Y4" s="3173" t="s">
        <v>2530</v>
      </c>
      <c r="Z4" s="3174"/>
      <c r="AA4" s="3153" t="s">
        <v>2526</v>
      </c>
      <c r="AB4" s="3153" t="s">
        <v>2527</v>
      </c>
      <c r="AC4" s="3153" t="s">
        <v>2528</v>
      </c>
    </row>
    <row r="5" spans="1:29" ht="15">
      <c r="A5" s="404"/>
      <c r="B5" s="405"/>
      <c r="C5" s="3177" t="s">
        <v>2531</v>
      </c>
      <c r="D5" s="3178"/>
      <c r="E5" s="3166" t="s">
        <v>2532</v>
      </c>
      <c r="F5" s="3167"/>
      <c r="G5" s="3177" t="s">
        <v>2533</v>
      </c>
      <c r="H5" s="3178"/>
      <c r="I5" s="3177" t="s">
        <v>2534</v>
      </c>
      <c r="J5" s="3178"/>
      <c r="K5" s="2600"/>
      <c r="L5" s="1133"/>
      <c r="M5" s="1134"/>
      <c r="N5" s="1134"/>
      <c r="O5" s="1134"/>
      <c r="P5" s="3162"/>
      <c r="Q5" s="3163"/>
      <c r="R5" s="3175"/>
      <c r="S5" s="3176"/>
      <c r="T5" s="3175"/>
      <c r="U5" s="3176"/>
      <c r="V5" s="3148"/>
      <c r="W5" s="3148"/>
      <c r="X5" s="1816"/>
      <c r="Y5" s="3175"/>
      <c r="Z5" s="3176"/>
      <c r="AA5" s="3154"/>
      <c r="AB5" s="3154"/>
      <c r="AC5" s="3154"/>
    </row>
    <row r="6" spans="1:29" ht="15.75" thickBot="1">
      <c r="A6" s="406"/>
      <c r="B6" s="407"/>
      <c r="C6" s="3216" t="s">
        <v>2535</v>
      </c>
      <c r="D6" s="3217"/>
      <c r="E6" s="3218" t="s">
        <v>2535</v>
      </c>
      <c r="F6" s="3219"/>
      <c r="G6" s="3216" t="s">
        <v>2535</v>
      </c>
      <c r="H6" s="3217"/>
      <c r="I6" s="3216" t="s">
        <v>2535</v>
      </c>
      <c r="J6" s="3217"/>
      <c r="K6" s="2600" t="s">
        <v>2536</v>
      </c>
      <c r="L6" s="1133"/>
      <c r="M6" s="1134"/>
      <c r="N6" s="1134"/>
      <c r="O6" s="1134"/>
      <c r="P6" s="3164"/>
      <c r="Q6" s="3165"/>
      <c r="R6" s="3175"/>
      <c r="S6" s="3176"/>
      <c r="T6" s="3184"/>
      <c r="U6" s="3185"/>
      <c r="V6" s="3148"/>
      <c r="W6" s="3148"/>
      <c r="X6" s="1816"/>
      <c r="Y6" s="3184"/>
      <c r="Z6" s="3185"/>
      <c r="AA6" s="3155"/>
      <c r="AB6" s="3155"/>
      <c r="AC6" s="3155"/>
    </row>
    <row r="7" spans="1:29" s="117" customFormat="1" ht="15.75" thickBot="1">
      <c r="A7" s="408" t="s">
        <v>2537</v>
      </c>
      <c r="B7" s="409"/>
      <c r="C7" s="410">
        <f>'数据-取费表'!B2</f>
        <v>43217</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68" t="s">
        <v>2538</v>
      </c>
      <c r="Q7" s="3181"/>
      <c r="R7" s="770" t="s">
        <v>23</v>
      </c>
      <c r="S7" s="771">
        <f t="shared" ref="S7:S15" si="0">F7</f>
        <v>0</v>
      </c>
      <c r="T7" s="770" t="s">
        <v>23</v>
      </c>
      <c r="U7" s="771">
        <f t="shared" ref="U7:U15" si="1">H7</f>
        <v>0</v>
      </c>
      <c r="V7" s="770" t="s">
        <v>23</v>
      </c>
      <c r="W7" s="771">
        <f t="shared" ref="W7:W15" si="2">J7</f>
        <v>0</v>
      </c>
      <c r="X7" s="772"/>
      <c r="Y7" s="3168" t="s">
        <v>2538</v>
      </c>
      <c r="Z7" s="3169"/>
      <c r="AA7" s="773" t="e">
        <f>D7/F7</f>
        <v>#DIV/0!</v>
      </c>
      <c r="AB7" s="773" t="e">
        <f>D7/H7</f>
        <v>#DIV/0!</v>
      </c>
      <c r="AC7" s="773" t="e">
        <f>D7/J7</f>
        <v>#DIV/0!</v>
      </c>
    </row>
    <row r="8" spans="1:29" s="117" customFormat="1" ht="15.75" thickBot="1">
      <c r="A8" s="408" t="s">
        <v>2539</v>
      </c>
      <c r="B8" s="409"/>
      <c r="C8" s="414" t="s">
        <v>2540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68" t="s">
        <v>2541</v>
      </c>
      <c r="Q8" s="3169"/>
      <c r="R8" s="770" t="s">
        <v>23</v>
      </c>
      <c r="S8" s="771">
        <f t="shared" si="0"/>
        <v>0</v>
      </c>
      <c r="T8" s="770" t="s">
        <v>23</v>
      </c>
      <c r="U8" s="771">
        <f t="shared" si="1"/>
        <v>0</v>
      </c>
      <c r="V8" s="770" t="s">
        <v>23</v>
      </c>
      <c r="W8" s="771">
        <f t="shared" si="2"/>
        <v>0</v>
      </c>
      <c r="X8" s="772"/>
      <c r="Y8" s="3168" t="s">
        <v>2541</v>
      </c>
      <c r="Z8" s="3169"/>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71" t="s">
        <v>2544</v>
      </c>
      <c r="Q9" s="1798" t="str">
        <f t="shared" ref="Q9:Q15" si="6">B9</f>
        <v>用途</v>
      </c>
      <c r="R9" s="770" t="s">
        <v>17</v>
      </c>
      <c r="S9" s="771">
        <f t="shared" si="0"/>
        <v>100</v>
      </c>
      <c r="T9" s="770" t="s">
        <v>17</v>
      </c>
      <c r="U9" s="771">
        <f t="shared" si="1"/>
        <v>100</v>
      </c>
      <c r="V9" s="770" t="s">
        <v>17</v>
      </c>
      <c r="W9" s="771">
        <f t="shared" si="2"/>
        <v>100</v>
      </c>
      <c r="X9" s="772"/>
      <c r="Y9" s="302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1"/>
      <c r="Q11" s="1798"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71"/>
      <c r="Q12" s="1798">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71"/>
      <c r="Q13" s="1798">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71"/>
      <c r="Q14" s="1798">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15">
      <c r="A15" s="440" t="s">
        <v>2548</v>
      </c>
      <c r="B15" s="69" t="s">
        <v>2082</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6" t="s">
        <v>2549</v>
      </c>
      <c r="Q15" s="1813" t="str">
        <f t="shared" si="6"/>
        <v>居住社区成熟度</v>
      </c>
      <c r="R15" s="774" t="s">
        <v>21</v>
      </c>
      <c r="S15" s="775">
        <f t="shared" si="0"/>
        <v>100</v>
      </c>
      <c r="T15" s="774" t="s">
        <v>21</v>
      </c>
      <c r="U15" s="775">
        <f t="shared" si="1"/>
        <v>100</v>
      </c>
      <c r="V15" s="774" t="s">
        <v>21</v>
      </c>
      <c r="W15" s="775">
        <f t="shared" si="2"/>
        <v>100</v>
      </c>
      <c r="X15" s="1816"/>
      <c r="Y15" s="3149" t="s">
        <v>2549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7"/>
      <c r="Q16" s="1813"/>
      <c r="R16" s="774"/>
      <c r="S16" s="775"/>
      <c r="T16" s="774"/>
      <c r="U16" s="775"/>
      <c r="V16" s="774"/>
      <c r="W16" s="775"/>
      <c r="X16" s="1816"/>
      <c r="Y16" s="3150"/>
      <c r="Z16" s="1817"/>
      <c r="AA16" s="1814">
        <v>1</v>
      </c>
      <c r="AB16" s="1814">
        <v>1</v>
      </c>
      <c r="AC16" s="1814">
        <v>1</v>
      </c>
    </row>
    <row r="17" spans="1:29" ht="15">
      <c r="A17" s="428"/>
      <c r="B17" s="451" t="s">
        <v>2088</v>
      </c>
      <c r="C17" s="261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7"/>
      <c r="Q17" s="1813" t="str">
        <f>B17</f>
        <v>交通便捷度</v>
      </c>
      <c r="R17" s="774" t="s">
        <v>21</v>
      </c>
      <c r="S17" s="775">
        <f>F17</f>
        <v>100</v>
      </c>
      <c r="T17" s="774" t="s">
        <v>21</v>
      </c>
      <c r="U17" s="775">
        <f>H17</f>
        <v>100</v>
      </c>
      <c r="V17" s="774" t="s">
        <v>21</v>
      </c>
      <c r="W17" s="775">
        <f>J17</f>
        <v>100</v>
      </c>
      <c r="X17" s="1816"/>
      <c r="Y17" s="315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7"/>
      <c r="Q18" s="1813"/>
      <c r="R18" s="774"/>
      <c r="S18" s="775"/>
      <c r="T18" s="774"/>
      <c r="U18" s="775"/>
      <c r="V18" s="774"/>
      <c r="W18" s="775"/>
      <c r="X18" s="1816"/>
      <c r="Y18" s="3150"/>
      <c r="Z18" s="1817"/>
      <c r="AA18" s="1814">
        <v>1</v>
      </c>
      <c r="AB18" s="1814">
        <v>1</v>
      </c>
      <c r="AC18" s="1814">
        <v>1</v>
      </c>
    </row>
    <row r="19" spans="1:29" ht="15">
      <c r="A19" s="428"/>
      <c r="B19" s="451" t="s">
        <v>2087</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7"/>
      <c r="Q19" s="1813" t="str">
        <f>B19</f>
        <v>公共配套设施</v>
      </c>
      <c r="R19" s="774" t="s">
        <v>21</v>
      </c>
      <c r="S19" s="775">
        <f>F19</f>
        <v>100</v>
      </c>
      <c r="T19" s="774" t="s">
        <v>21</v>
      </c>
      <c r="U19" s="775">
        <f>H19</f>
        <v>100</v>
      </c>
      <c r="V19" s="774" t="s">
        <v>21</v>
      </c>
      <c r="W19" s="775">
        <f>J19</f>
        <v>100</v>
      </c>
      <c r="X19" s="1816"/>
      <c r="Y19" s="315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7"/>
      <c r="Q20" s="1813"/>
      <c r="R20" s="774"/>
      <c r="S20" s="775"/>
      <c r="T20" s="774"/>
      <c r="U20" s="775"/>
      <c r="V20" s="774"/>
      <c r="W20" s="775"/>
      <c r="X20" s="1816"/>
      <c r="Y20" s="3150"/>
      <c r="Z20" s="1817"/>
      <c r="AA20" s="1814">
        <v>1</v>
      </c>
      <c r="AB20" s="1814">
        <v>1</v>
      </c>
      <c r="AC20" s="1814">
        <v>1</v>
      </c>
    </row>
    <row r="21" spans="1:29" ht="15">
      <c r="A21" s="428"/>
      <c r="B21" s="1387" t="s">
        <v>2089</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7"/>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7"/>
      <c r="Q22" s="1813"/>
      <c r="R22" s="774"/>
      <c r="S22" s="775"/>
      <c r="T22" s="774"/>
      <c r="U22" s="775"/>
      <c r="V22" s="774"/>
      <c r="W22" s="775"/>
      <c r="X22" s="1816"/>
      <c r="Y22" s="3150"/>
      <c r="Z22" s="1817"/>
      <c r="AA22" s="1814">
        <v>1</v>
      </c>
      <c r="AB22" s="1814">
        <v>1</v>
      </c>
      <c r="AC22" s="1814">
        <v>1</v>
      </c>
    </row>
    <row r="23" spans="1:29" ht="15">
      <c r="A23" s="428"/>
      <c r="B23" s="451" t="s">
        <v>2091</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7"/>
      <c r="Q23" s="1813" t="str">
        <f>B23</f>
        <v>自然及人文环境</v>
      </c>
      <c r="R23" s="774" t="s">
        <v>21</v>
      </c>
      <c r="S23" s="775">
        <f>F23</f>
        <v>100</v>
      </c>
      <c r="T23" s="774" t="s">
        <v>21</v>
      </c>
      <c r="U23" s="775">
        <f>H23</f>
        <v>100</v>
      </c>
      <c r="V23" s="774" t="s">
        <v>21</v>
      </c>
      <c r="W23" s="775">
        <f>J23</f>
        <v>100</v>
      </c>
      <c r="X23" s="1816"/>
      <c r="Y23" s="315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7"/>
      <c r="Q24" s="1813"/>
      <c r="R24" s="774"/>
      <c r="S24" s="775"/>
      <c r="T24" s="774"/>
      <c r="U24" s="775"/>
      <c r="V24" s="774"/>
      <c r="W24" s="775"/>
      <c r="X24" s="1816"/>
      <c r="Y24" s="3150"/>
      <c r="Z24" s="1817"/>
      <c r="AA24" s="1814">
        <v>1</v>
      </c>
      <c r="AB24" s="1814">
        <v>1</v>
      </c>
      <c r="AC24" s="1814">
        <v>1</v>
      </c>
    </row>
    <row r="25" spans="1:29" ht="15">
      <c r="A25" s="428"/>
      <c r="B25" s="422" t="s">
        <v>2550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0"/>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7"/>
      <c r="Q26" s="1813" t="str">
        <f t="shared" si="11"/>
        <v>朝向</v>
      </c>
      <c r="R26" s="774" t="s">
        <v>21</v>
      </c>
      <c r="S26" s="775">
        <f t="shared" si="12"/>
        <v>100</v>
      </c>
      <c r="T26" s="774" t="s">
        <v>21</v>
      </c>
      <c r="U26" s="775">
        <f t="shared" si="13"/>
        <v>100</v>
      </c>
      <c r="V26" s="774" t="s">
        <v>21</v>
      </c>
      <c r="W26" s="775">
        <f t="shared" si="14"/>
        <v>100</v>
      </c>
      <c r="X26" s="1816"/>
      <c r="Y26" s="315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7"/>
      <c r="Q27" s="1798">
        <f t="shared" si="11"/>
        <v>111</v>
      </c>
      <c r="R27" s="770" t="s">
        <v>21</v>
      </c>
      <c r="S27" s="771">
        <f t="shared" si="12"/>
        <v>100</v>
      </c>
      <c r="T27" s="770" t="s">
        <v>21</v>
      </c>
      <c r="U27" s="771">
        <f t="shared" si="13"/>
        <v>100</v>
      </c>
      <c r="V27" s="770" t="s">
        <v>21</v>
      </c>
      <c r="W27" s="771">
        <f t="shared" si="14"/>
        <v>100</v>
      </c>
      <c r="X27" s="772"/>
      <c r="Y27" s="315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7"/>
      <c r="Q28" s="1813">
        <f t="shared" si="11"/>
        <v>111</v>
      </c>
      <c r="R28" s="774" t="s">
        <v>21</v>
      </c>
      <c r="S28" s="775">
        <f t="shared" si="12"/>
        <v>100</v>
      </c>
      <c r="T28" s="774" t="s">
        <v>21</v>
      </c>
      <c r="U28" s="775">
        <f t="shared" si="13"/>
        <v>100</v>
      </c>
      <c r="V28" s="774" t="s">
        <v>21</v>
      </c>
      <c r="W28" s="775">
        <f t="shared" si="14"/>
        <v>100</v>
      </c>
      <c r="X28" s="1816"/>
      <c r="Y28" s="315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7"/>
      <c r="Q29" s="1813">
        <f t="shared" si="11"/>
        <v>111</v>
      </c>
      <c r="R29" s="774" t="s">
        <v>21</v>
      </c>
      <c r="S29" s="775">
        <f t="shared" si="12"/>
        <v>100</v>
      </c>
      <c r="T29" s="774" t="s">
        <v>21</v>
      </c>
      <c r="U29" s="775">
        <f t="shared" si="13"/>
        <v>100</v>
      </c>
      <c r="V29" s="774" t="s">
        <v>21</v>
      </c>
      <c r="W29" s="775">
        <f t="shared" si="14"/>
        <v>100</v>
      </c>
      <c r="X29" s="1816"/>
      <c r="Y29" s="315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7"/>
      <c r="Q30" s="1813">
        <f t="shared" si="11"/>
        <v>111</v>
      </c>
      <c r="R30" s="774" t="s">
        <v>21</v>
      </c>
      <c r="S30" s="775">
        <f t="shared" si="12"/>
        <v>100</v>
      </c>
      <c r="T30" s="774" t="s">
        <v>21</v>
      </c>
      <c r="U30" s="775">
        <f t="shared" si="13"/>
        <v>100</v>
      </c>
      <c r="V30" s="774" t="s">
        <v>21</v>
      </c>
      <c r="W30" s="775">
        <f t="shared" si="14"/>
        <v>100</v>
      </c>
      <c r="X30" s="1816"/>
      <c r="Y30" s="315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7"/>
      <c r="Q31" s="1813">
        <f t="shared" si="11"/>
        <v>111</v>
      </c>
      <c r="R31" s="774" t="s">
        <v>21</v>
      </c>
      <c r="S31" s="775">
        <f t="shared" si="12"/>
        <v>100</v>
      </c>
      <c r="T31" s="774" t="s">
        <v>21</v>
      </c>
      <c r="U31" s="775">
        <f t="shared" si="13"/>
        <v>100</v>
      </c>
      <c r="V31" s="774" t="s">
        <v>21</v>
      </c>
      <c r="W31" s="775">
        <f t="shared" si="14"/>
        <v>100</v>
      </c>
      <c r="X31" s="1816"/>
      <c r="Y31" s="3150"/>
      <c r="Z31" s="1817">
        <f t="shared" si="18"/>
        <v>111</v>
      </c>
      <c r="AA31" s="1814">
        <f t="shared" si="15"/>
        <v>1</v>
      </c>
      <c r="AB31" s="1814">
        <f t="shared" si="16"/>
        <v>1</v>
      </c>
      <c r="AC31" s="1814">
        <f t="shared" si="17"/>
        <v>1</v>
      </c>
    </row>
    <row r="32" spans="1:29" ht="15">
      <c r="A32" s="440" t="s">
        <v>2552</v>
      </c>
      <c r="B32" s="71" t="s">
        <v>2553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2" t="s">
        <v>2554</v>
      </c>
      <c r="Q32" s="1813" t="str">
        <f t="shared" si="11"/>
        <v>建筑类型</v>
      </c>
      <c r="R32" s="774" t="s">
        <v>21</v>
      </c>
      <c r="S32" s="775">
        <f t="shared" si="12"/>
        <v>100</v>
      </c>
      <c r="T32" s="774" t="s">
        <v>21</v>
      </c>
      <c r="U32" s="775">
        <f t="shared" si="13"/>
        <v>100</v>
      </c>
      <c r="V32" s="774" t="s">
        <v>21</v>
      </c>
      <c r="W32" s="775">
        <f t="shared" si="14"/>
        <v>100</v>
      </c>
      <c r="X32" s="1816"/>
      <c r="Y32" s="3152"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23"/>
      <c r="Q33" s="776" t="str">
        <f t="shared" si="11"/>
        <v>项目建筑规模</v>
      </c>
      <c r="R33" s="777" t="s">
        <v>21</v>
      </c>
      <c r="S33" s="778" t="e">
        <f t="shared" si="12"/>
        <v>#N/A</v>
      </c>
      <c r="T33" s="777" t="s">
        <v>21</v>
      </c>
      <c r="U33" s="778" t="e">
        <f t="shared" si="13"/>
        <v>#N/A</v>
      </c>
      <c r="V33" s="777" t="s">
        <v>21</v>
      </c>
      <c r="W33" s="778" t="e">
        <f t="shared" si="14"/>
        <v>#N/A</v>
      </c>
      <c r="X33" s="779"/>
      <c r="Y33" s="3152"/>
      <c r="Z33" s="780" t="str">
        <f t="shared" si="18"/>
        <v>项目建筑规模</v>
      </c>
      <c r="AA33" s="1814" t="e">
        <f t="shared" si="15"/>
        <v>#N/A</v>
      </c>
      <c r="AB33" s="1814" t="e">
        <f t="shared" si="16"/>
        <v>#N/A</v>
      </c>
      <c r="AC33" s="1814" t="e">
        <f t="shared" si="17"/>
        <v>#N/A</v>
      </c>
    </row>
    <row r="34" spans="1:29" ht="15">
      <c r="A34" s="472"/>
      <c r="B34" s="422" t="s">
        <v>2556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23"/>
      <c r="Q34" s="1813" t="str">
        <f t="shared" si="11"/>
        <v>建筑结构</v>
      </c>
      <c r="R34" s="774" t="s">
        <v>21</v>
      </c>
      <c r="S34" s="775">
        <f t="shared" si="12"/>
        <v>100</v>
      </c>
      <c r="T34" s="774" t="s">
        <v>21</v>
      </c>
      <c r="U34" s="775">
        <f t="shared" si="13"/>
        <v>100</v>
      </c>
      <c r="V34" s="774" t="s">
        <v>21</v>
      </c>
      <c r="W34" s="775">
        <f t="shared" si="14"/>
        <v>100</v>
      </c>
      <c r="X34" s="1816"/>
      <c r="Y34" s="3152"/>
      <c r="Z34" s="1817" t="str">
        <f t="shared" si="18"/>
        <v>建筑结构</v>
      </c>
      <c r="AA34" s="1814">
        <f t="shared" si="15"/>
        <v>1</v>
      </c>
      <c r="AB34" s="1814">
        <f t="shared" si="16"/>
        <v>1</v>
      </c>
      <c r="AC34" s="1814">
        <f t="shared" si="17"/>
        <v>1</v>
      </c>
    </row>
    <row r="35" spans="1:29" ht="15">
      <c r="A35" s="472"/>
      <c r="B35" s="422" t="s">
        <v>2557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23"/>
      <c r="Q35" s="1813" t="str">
        <f t="shared" si="11"/>
        <v>建筑品质</v>
      </c>
      <c r="R35" s="774" t="s">
        <v>21</v>
      </c>
      <c r="S35" s="775">
        <f t="shared" si="12"/>
        <v>100</v>
      </c>
      <c r="T35" s="774" t="s">
        <v>21</v>
      </c>
      <c r="U35" s="775">
        <f t="shared" si="13"/>
        <v>100</v>
      </c>
      <c r="V35" s="774" t="s">
        <v>21</v>
      </c>
      <c r="W35" s="775">
        <f t="shared" si="14"/>
        <v>100</v>
      </c>
      <c r="X35" s="1816"/>
      <c r="Y35" s="3152"/>
      <c r="Z35" s="1817" t="str">
        <f t="shared" si="18"/>
        <v>建筑品质</v>
      </c>
      <c r="AA35" s="1814">
        <f t="shared" si="15"/>
        <v>1</v>
      </c>
      <c r="AB35" s="1814">
        <f t="shared" si="16"/>
        <v>1</v>
      </c>
      <c r="AC35" s="1814">
        <f t="shared" si="17"/>
        <v>1</v>
      </c>
    </row>
    <row r="36" spans="1:29" ht="15">
      <c r="A36" s="472"/>
      <c r="B36" s="422" t="s">
        <v>2558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23"/>
      <c r="Q36" s="1813" t="str">
        <f t="shared" si="11"/>
        <v>公共部分装修</v>
      </c>
      <c r="R36" s="774" t="s">
        <v>21</v>
      </c>
      <c r="S36" s="775">
        <f t="shared" si="12"/>
        <v>100</v>
      </c>
      <c r="T36" s="774" t="s">
        <v>21</v>
      </c>
      <c r="U36" s="775">
        <f t="shared" si="13"/>
        <v>100</v>
      </c>
      <c r="V36" s="774" t="s">
        <v>21</v>
      </c>
      <c r="W36" s="775">
        <f t="shared" si="14"/>
        <v>100</v>
      </c>
      <c r="X36" s="1816"/>
      <c r="Y36" s="3152"/>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3"/>
      <c r="Q37" s="1798" t="str">
        <f t="shared" si="11"/>
        <v>成新度</v>
      </c>
      <c r="R37" s="770" t="s">
        <v>21</v>
      </c>
      <c r="S37" s="771" t="e">
        <f t="shared" si="12"/>
        <v>#N/A</v>
      </c>
      <c r="T37" s="770" t="s">
        <v>21</v>
      </c>
      <c r="U37" s="771" t="e">
        <f t="shared" si="13"/>
        <v>#N/A</v>
      </c>
      <c r="V37" s="770" t="s">
        <v>21</v>
      </c>
      <c r="W37" s="771" t="e">
        <f t="shared" si="14"/>
        <v>#N/A</v>
      </c>
      <c r="X37" s="772"/>
      <c r="Y37" s="3152"/>
      <c r="Z37" s="55" t="str">
        <f t="shared" si="18"/>
        <v>成新度</v>
      </c>
      <c r="AA37" s="773" t="e">
        <f t="shared" si="15"/>
        <v>#N/A</v>
      </c>
      <c r="AB37" s="773" t="e">
        <f t="shared" si="16"/>
        <v>#N/A</v>
      </c>
      <c r="AC37" s="773" t="e">
        <f t="shared" si="17"/>
        <v>#N/A</v>
      </c>
    </row>
    <row r="38" spans="1:29" ht="15">
      <c r="A38" s="472"/>
      <c r="B38" s="422" t="s">
        <v>2560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23" t="s">
        <v>2554</v>
      </c>
      <c r="Q38" s="1813" t="str">
        <f t="shared" si="11"/>
        <v>物业管理</v>
      </c>
      <c r="R38" s="774" t="s">
        <v>21</v>
      </c>
      <c r="S38" s="775">
        <f t="shared" si="12"/>
        <v>100</v>
      </c>
      <c r="T38" s="774" t="s">
        <v>21</v>
      </c>
      <c r="U38" s="775">
        <f t="shared" si="13"/>
        <v>100</v>
      </c>
      <c r="V38" s="774" t="s">
        <v>21</v>
      </c>
      <c r="W38" s="775">
        <f t="shared" si="14"/>
        <v>100</v>
      </c>
      <c r="X38" s="1816"/>
      <c r="Y38" s="3152" t="s">
        <v>2554</v>
      </c>
      <c r="Z38" s="1817" t="str">
        <f t="shared" si="18"/>
        <v>物业管理</v>
      </c>
      <c r="AA38" s="1814">
        <f t="shared" si="15"/>
        <v>1</v>
      </c>
      <c r="AB38" s="1814">
        <f t="shared" si="16"/>
        <v>1</v>
      </c>
      <c r="AC38" s="1814">
        <f t="shared" si="17"/>
        <v>1</v>
      </c>
    </row>
    <row r="39" spans="1:29" ht="15">
      <c r="A39" s="472"/>
      <c r="B39" s="422" t="s">
        <v>2561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23"/>
      <c r="Q39" s="1813" t="str">
        <f t="shared" si="11"/>
        <v>市政基础设施</v>
      </c>
      <c r="R39" s="774" t="s">
        <v>21</v>
      </c>
      <c r="S39" s="775">
        <f t="shared" si="12"/>
        <v>100</v>
      </c>
      <c r="T39" s="774" t="s">
        <v>21</v>
      </c>
      <c r="U39" s="775">
        <f t="shared" si="13"/>
        <v>100</v>
      </c>
      <c r="V39" s="774" t="s">
        <v>21</v>
      </c>
      <c r="W39" s="775">
        <f t="shared" si="14"/>
        <v>100</v>
      </c>
      <c r="X39" s="1816"/>
      <c r="Y39" s="3152"/>
      <c r="Z39" s="1817" t="str">
        <f t="shared" si="18"/>
        <v>市政基础设施</v>
      </c>
      <c r="AA39" s="1814">
        <f t="shared" si="15"/>
        <v>1</v>
      </c>
      <c r="AB39" s="1814">
        <f t="shared" si="16"/>
        <v>1</v>
      </c>
      <c r="AC39" s="1814">
        <f t="shared" si="17"/>
        <v>1</v>
      </c>
    </row>
    <row r="40" spans="1:29" ht="15">
      <c r="A40" s="472"/>
      <c r="B40" s="422" t="s">
        <v>2562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23"/>
      <c r="Q40" s="1813" t="str">
        <f t="shared" si="11"/>
        <v>房型</v>
      </c>
      <c r="R40" s="774" t="s">
        <v>21</v>
      </c>
      <c r="S40" s="775">
        <f t="shared" si="12"/>
        <v>100</v>
      </c>
      <c r="T40" s="774" t="s">
        <v>21</v>
      </c>
      <c r="U40" s="775">
        <f t="shared" si="13"/>
        <v>100</v>
      </c>
      <c r="V40" s="774" t="s">
        <v>21</v>
      </c>
      <c r="W40" s="775">
        <f t="shared" si="14"/>
        <v>100</v>
      </c>
      <c r="X40" s="1816"/>
      <c r="Y40" s="3152"/>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23"/>
      <c r="Q41" s="776" t="str">
        <f t="shared" si="11"/>
        <v>单套/主力户型建筑面积</v>
      </c>
      <c r="R41" s="777" t="s">
        <v>21</v>
      </c>
      <c r="S41" s="778">
        <f t="shared" si="12"/>
        <v>100</v>
      </c>
      <c r="T41" s="777" t="s">
        <v>21</v>
      </c>
      <c r="U41" s="778">
        <f t="shared" si="13"/>
        <v>100</v>
      </c>
      <c r="V41" s="777" t="s">
        <v>21</v>
      </c>
      <c r="W41" s="778">
        <f t="shared" si="14"/>
        <v>100</v>
      </c>
      <c r="X41" s="779"/>
      <c r="Y41" s="3152"/>
      <c r="Z41" s="780" t="str">
        <f t="shared" si="18"/>
        <v>单套/主力户型建筑面积</v>
      </c>
      <c r="AA41" s="1814">
        <f t="shared" si="15"/>
        <v>1</v>
      </c>
      <c r="AB41" s="1814">
        <f t="shared" si="16"/>
        <v>1</v>
      </c>
      <c r="AC41" s="1814">
        <f t="shared" si="17"/>
        <v>1</v>
      </c>
    </row>
    <row r="42" spans="1:29" ht="15">
      <c r="A42" s="472"/>
      <c r="B42" s="422" t="s">
        <v>2564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23"/>
      <c r="Q42" s="1813" t="str">
        <f t="shared" si="11"/>
        <v>内部装修</v>
      </c>
      <c r="R42" s="774" t="s">
        <v>21</v>
      </c>
      <c r="S42" s="775">
        <f t="shared" si="12"/>
        <v>100</v>
      </c>
      <c r="T42" s="774" t="s">
        <v>21</v>
      </c>
      <c r="U42" s="775">
        <f t="shared" si="13"/>
        <v>100</v>
      </c>
      <c r="V42" s="774" t="s">
        <v>21</v>
      </c>
      <c r="W42" s="775">
        <f t="shared" si="14"/>
        <v>100</v>
      </c>
      <c r="X42" s="1816"/>
      <c r="Y42" s="3152"/>
      <c r="Z42" s="1817" t="str">
        <f t="shared" si="18"/>
        <v>内部装修</v>
      </c>
      <c r="AA42" s="1814">
        <f t="shared" si="15"/>
        <v>1</v>
      </c>
      <c r="AB42" s="1814">
        <f t="shared" si="16"/>
        <v>1</v>
      </c>
      <c r="AC42" s="1814">
        <f t="shared" si="17"/>
        <v>1</v>
      </c>
    </row>
    <row r="43" spans="1:29" ht="15">
      <c r="A43" s="472"/>
      <c r="B43" s="422" t="s">
        <v>2565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23"/>
      <c r="Q43" s="1813" t="str">
        <f t="shared" si="11"/>
        <v>内部装修维护情况</v>
      </c>
      <c r="R43" s="774" t="s">
        <v>21</v>
      </c>
      <c r="S43" s="775">
        <f t="shared" si="12"/>
        <v>100</v>
      </c>
      <c r="T43" s="774" t="s">
        <v>21</v>
      </c>
      <c r="U43" s="775">
        <f t="shared" si="13"/>
        <v>100</v>
      </c>
      <c r="V43" s="774" t="s">
        <v>21</v>
      </c>
      <c r="W43" s="775">
        <f t="shared" si="14"/>
        <v>100</v>
      </c>
      <c r="X43" s="1816"/>
      <c r="Y43" s="315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23"/>
      <c r="Q44" s="1798">
        <f t="shared" si="11"/>
        <v>111</v>
      </c>
      <c r="R44" s="770" t="s">
        <v>21</v>
      </c>
      <c r="S44" s="771">
        <f t="shared" si="12"/>
        <v>100</v>
      </c>
      <c r="T44" s="770" t="s">
        <v>21</v>
      </c>
      <c r="U44" s="771">
        <f t="shared" si="13"/>
        <v>100</v>
      </c>
      <c r="V44" s="770" t="s">
        <v>21</v>
      </c>
      <c r="W44" s="771">
        <f t="shared" si="14"/>
        <v>100</v>
      </c>
      <c r="X44" s="772"/>
      <c r="Y44" s="315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23"/>
      <c r="Q45" s="1813">
        <f t="shared" si="11"/>
        <v>111</v>
      </c>
      <c r="R45" s="774" t="s">
        <v>21</v>
      </c>
      <c r="S45" s="775">
        <f t="shared" si="12"/>
        <v>100</v>
      </c>
      <c r="T45" s="774" t="s">
        <v>21</v>
      </c>
      <c r="U45" s="775">
        <f t="shared" si="13"/>
        <v>100</v>
      </c>
      <c r="V45" s="774" t="s">
        <v>21</v>
      </c>
      <c r="W45" s="775">
        <f t="shared" si="14"/>
        <v>100</v>
      </c>
      <c r="X45" s="1816"/>
      <c r="Y45" s="315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24"/>
      <c r="Q46" s="1813">
        <f t="shared" si="11"/>
        <v>111</v>
      </c>
      <c r="R46" s="774" t="s">
        <v>20</v>
      </c>
      <c r="S46" s="775">
        <f t="shared" si="12"/>
        <v>100</v>
      </c>
      <c r="T46" s="774" t="s">
        <v>20</v>
      </c>
      <c r="U46" s="775">
        <f t="shared" si="13"/>
        <v>100</v>
      </c>
      <c r="V46" s="774" t="s">
        <v>20</v>
      </c>
      <c r="W46" s="775">
        <f t="shared" si="14"/>
        <v>100</v>
      </c>
      <c r="X46" s="1816"/>
      <c r="Y46" s="3225"/>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4"/>
      <c r="L47" s="1146"/>
      <c r="M47" s="1147"/>
      <c r="N47" s="1134"/>
      <c r="O47" s="1147"/>
      <c r="P47" s="3146" t="str">
        <f>A47</f>
        <v>成交单价（元/平方米）</v>
      </c>
      <c r="Q47" s="3146"/>
      <c r="R47" s="3221">
        <f>E47</f>
        <v>0</v>
      </c>
      <c r="S47" s="3221"/>
      <c r="T47" s="3221">
        <f>G47</f>
        <v>0</v>
      </c>
      <c r="U47" s="3221"/>
      <c r="V47" s="3221">
        <f>I47</f>
        <v>0</v>
      </c>
      <c r="W47" s="3221"/>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5"/>
      <c r="L48" s="1146"/>
      <c r="M48" s="1147"/>
      <c r="N48" s="1147"/>
      <c r="O48" s="1147"/>
      <c r="P48" s="3146" t="str">
        <f>A48</f>
        <v>比较价值（元/平方米）</v>
      </c>
      <c r="Q48" s="3146"/>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6"/>
      <c r="L49" s="1146"/>
      <c r="M49" s="1147"/>
      <c r="N49" s="1147"/>
      <c r="O49" s="1147"/>
      <c r="P49" s="3143" t="str">
        <f>A49</f>
        <v>估价对象XX用房的比较价值（楼面单价，元/平方米）</v>
      </c>
      <c r="Q49" s="3144"/>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29"/>
      <c r="Q57" s="504"/>
    </row>
    <row r="58" spans="1:29" s="508" customFormat="1" ht="15">
      <c r="A58" s="505" t="s">
        <v>2573</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2574</v>
      </c>
      <c r="B60" s="516"/>
      <c r="C60" s="517"/>
      <c r="D60" s="518"/>
      <c r="E60" s="518"/>
      <c r="F60" s="518"/>
      <c r="G60" s="518"/>
      <c r="H60" s="518"/>
      <c r="I60" s="518"/>
      <c r="J60" s="518"/>
      <c r="K60" s="518"/>
      <c r="L60" s="518"/>
      <c r="M60" s="519"/>
      <c r="N60" s="518"/>
      <c r="O60" s="519"/>
      <c r="P60" s="2631"/>
      <c r="Q60" s="504"/>
    </row>
    <row r="61" spans="1:29" s="117" customFormat="1" ht="15">
      <c r="A61" s="521" t="s">
        <v>2575</v>
      </c>
      <c r="B61" s="510"/>
      <c r="C61" s="522" t="s">
        <v>2576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2577</v>
      </c>
      <c r="B63" s="528" t="s">
        <v>2543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2089</v>
      </c>
      <c r="C82" s="539" t="s">
        <v>2593</v>
      </c>
      <c r="D82" s="539" t="s">
        <v>2594</v>
      </c>
      <c r="E82" s="539" t="s">
        <v>2595</v>
      </c>
      <c r="F82" s="539" t="s">
        <v>2596</v>
      </c>
      <c r="G82" s="539" t="s">
        <v>2597</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2599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2600</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2552</v>
      </c>
      <c r="B100" s="528" t="s">
        <v>2601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2604</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2605</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2608</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2609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2611</v>
      </c>
    </row>
    <row r="137" spans="1:17" ht="15">
      <c r="B137" s="2641" t="s">
        <v>2612</v>
      </c>
      <c r="C137" s="2642"/>
      <c r="D137" s="2642"/>
      <c r="E137" s="2642"/>
      <c r="F137" s="2642"/>
      <c r="G137" s="2643"/>
      <c r="H137" s="2644"/>
      <c r="I137" s="2645" t="s">
        <v>2613</v>
      </c>
      <c r="J137" s="2642"/>
      <c r="K137" s="2646"/>
    </row>
    <row r="138" spans="1:17" ht="15">
      <c r="B138" s="2647"/>
      <c r="C138" s="146" t="s">
        <v>2614</v>
      </c>
      <c r="D138" s="146" t="s">
        <v>2615</v>
      </c>
      <c r="E138" s="2648" t="s">
        <v>2616</v>
      </c>
      <c r="F138" s="2649" t="s">
        <v>2617</v>
      </c>
      <c r="G138" s="146" t="s">
        <v>2615</v>
      </c>
      <c r="H138" s="147" t="s">
        <v>2616</v>
      </c>
      <c r="I138" s="2650"/>
      <c r="J138" s="146" t="s">
        <v>2618</v>
      </c>
      <c r="K138" s="147" t="s">
        <v>2619</v>
      </c>
    </row>
    <row r="139" spans="1:17" ht="15">
      <c r="B139" s="1087">
        <v>6</v>
      </c>
      <c r="C139" s="1088">
        <v>96</v>
      </c>
      <c r="D139" s="2651" t="s">
        <v>2620</v>
      </c>
      <c r="E139" s="1089">
        <v>100</v>
      </c>
      <c r="F139" s="1090">
        <v>102.5</v>
      </c>
      <c r="G139" s="2651" t="s">
        <v>2620</v>
      </c>
      <c r="H139" s="1091">
        <v>105</v>
      </c>
      <c r="I139" s="2652" t="s">
        <v>2621</v>
      </c>
      <c r="J139" s="1088">
        <v>20</v>
      </c>
      <c r="K139" s="1092">
        <f>C145/(J139-2)</f>
        <v>4.0555555555555553E-3</v>
      </c>
    </row>
    <row r="140" spans="1:17" ht="15">
      <c r="B140" s="1093">
        <v>5</v>
      </c>
      <c r="C140" s="1094">
        <v>100</v>
      </c>
      <c r="D140" s="1094"/>
      <c r="E140" s="1095"/>
      <c r="F140" s="1096">
        <v>102</v>
      </c>
      <c r="G140" s="1094"/>
      <c r="H140" s="1097"/>
      <c r="I140" s="2653" t="s">
        <v>2622</v>
      </c>
      <c r="J140" s="315">
        <f>ROUNDUP((J139-1)/2,0)</f>
        <v>10</v>
      </c>
      <c r="K140" s="1098">
        <v>100</v>
      </c>
    </row>
    <row r="141" spans="1:17" ht="15">
      <c r="B141" s="1093">
        <v>4</v>
      </c>
      <c r="C141" s="1094">
        <v>102</v>
      </c>
      <c r="D141" s="1094"/>
      <c r="E141" s="1095"/>
      <c r="F141" s="1096">
        <v>101.5</v>
      </c>
      <c r="G141" s="1094"/>
      <c r="H141" s="1097"/>
      <c r="I141" s="2653" t="s">
        <v>2623</v>
      </c>
      <c r="J141" s="315">
        <v>1</v>
      </c>
      <c r="K141" s="1099">
        <f>ROUND(100+(J141-J140)*K139*100,1)</f>
        <v>96.4</v>
      </c>
    </row>
    <row r="142" spans="1:17" ht="15">
      <c r="B142" s="1093">
        <v>3</v>
      </c>
      <c r="C142" s="1094">
        <v>103</v>
      </c>
      <c r="D142" s="1094"/>
      <c r="E142" s="1095"/>
      <c r="F142" s="1096">
        <v>101</v>
      </c>
      <c r="G142" s="1094"/>
      <c r="H142" s="1097"/>
      <c r="I142" s="2653" t="s">
        <v>2624</v>
      </c>
      <c r="J142" s="315">
        <f>J139</f>
        <v>20</v>
      </c>
      <c r="K142" s="1100">
        <v>95</v>
      </c>
    </row>
    <row r="143" spans="1:17" ht="15">
      <c r="B143" s="1093">
        <v>2</v>
      </c>
      <c r="C143" s="1094">
        <v>100</v>
      </c>
      <c r="D143" s="1094"/>
      <c r="E143" s="1095"/>
      <c r="F143" s="1096">
        <v>100.5</v>
      </c>
      <c r="G143" s="1094"/>
      <c r="H143" s="1097"/>
      <c r="I143" s="2653" t="s">
        <v>2625</v>
      </c>
      <c r="J143" s="1094">
        <v>15</v>
      </c>
      <c r="K143" s="1099">
        <f>ROUND(100+(J143-J140)*K139*100,1)</f>
        <v>102</v>
      </c>
    </row>
    <row r="144" spans="1:17" ht="15">
      <c r="B144" s="1093">
        <v>1</v>
      </c>
      <c r="C144" s="1094">
        <v>98</v>
      </c>
      <c r="D144" s="2654" t="s">
        <v>2626</v>
      </c>
      <c r="E144" s="1095">
        <v>102</v>
      </c>
      <c r="F144" s="1101">
        <v>100</v>
      </c>
      <c r="G144" s="2654" t="s">
        <v>2626</v>
      </c>
      <c r="H144" s="1097">
        <v>105</v>
      </c>
      <c r="I144" s="2653" t="s">
        <v>2625</v>
      </c>
      <c r="J144" s="1094">
        <v>18</v>
      </c>
      <c r="K144" s="1099">
        <f>ROUND(100+(J144-J140)*K139*100,1)</f>
        <v>103.2</v>
      </c>
    </row>
    <row r="145" spans="2:11" ht="15.75" thickBot="1">
      <c r="B145" s="2655" t="s">
        <v>2627</v>
      </c>
      <c r="C145" s="1102">
        <f>ROUND(MAX(C139:C144)/MIN(C139:C144)-1,3)</f>
        <v>7.2999999999999995E-2</v>
      </c>
      <c r="D145" s="1103"/>
      <c r="E145" s="1103"/>
      <c r="F145" s="2656" t="s">
        <v>2628</v>
      </c>
      <c r="G145" s="2657"/>
      <c r="H145" s="2658"/>
      <c r="I145" s="2659" t="s">
        <v>2625</v>
      </c>
      <c r="J145" s="1104">
        <v>8</v>
      </c>
      <c r="K145" s="1105">
        <f>ROUND(100+(J145-J140)*K139*100,1)</f>
        <v>99.2</v>
      </c>
    </row>
    <row r="147" spans="2:11">
      <c r="B147" s="2640" t="s">
        <v>2629</v>
      </c>
    </row>
    <row r="148" spans="2:11">
      <c r="B148" s="2640"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5" t="s">
        <v>2631</v>
      </c>
      <c r="C1" s="1637" t="s">
        <v>2519</v>
      </c>
      <c r="D1" s="1624"/>
      <c r="E1" s="2660"/>
      <c r="F1" s="2587"/>
      <c r="G1" s="1634" t="s">
        <v>2632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2316</v>
      </c>
      <c r="B2" s="1421" t="e">
        <f ca="1">IF(C2="——",ROUND(C49*D3/10000,0),ROUND(C49*D3/10000,0)-D2)</f>
        <v>#DIV/0!</v>
      </c>
      <c r="C2" s="2589"/>
      <c r="D2" s="1368" t="e">
        <f ca="1">SUMIF(INDIRECT("'"&amp;F2&amp;"'"&amp;"!A:A"),"承租人权益价值",INDIRECT("'"&amp;F2&amp;"'"&amp;"!c:c"))</f>
        <v>#REF!</v>
      </c>
      <c r="E2" s="2590" t="s">
        <v>2317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2318</v>
      </c>
      <c r="B3" s="609" t="e">
        <f ca="1">IF(C2="——",C49,ROUND(B2*10000/D3,0))</f>
        <v>#DIV/0!</v>
      </c>
      <c r="C3" s="400" t="s">
        <v>2633</v>
      </c>
      <c r="D3" s="399">
        <f>IF(D1="",'数据-汇总表'!E3,SUMIF('数据-汇总表'!$C19:$C33,D1,'数据-汇总表'!$E19:$E33))</f>
        <v>17787.509999999998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2634</v>
      </c>
      <c r="B4" s="402"/>
      <c r="C4" s="3156" t="s">
        <v>2635</v>
      </c>
      <c r="D4" s="3157"/>
      <c r="E4" s="3158" t="s">
        <v>2636</v>
      </c>
      <c r="F4" s="3159"/>
      <c r="G4" s="3156" t="s">
        <v>2637</v>
      </c>
      <c r="H4" s="3157"/>
      <c r="I4" s="3156" t="s">
        <v>2638</v>
      </c>
      <c r="J4" s="3157"/>
      <c r="K4" s="610" t="s">
        <v>2639</v>
      </c>
      <c r="L4" s="1133"/>
      <c r="M4" s="1134"/>
      <c r="N4" s="1134"/>
      <c r="O4" s="1134"/>
      <c r="P4" s="3160" t="s">
        <v>2640</v>
      </c>
      <c r="Q4" s="3161"/>
      <c r="R4" s="3173" t="s">
        <v>2636</v>
      </c>
      <c r="S4" s="3174"/>
      <c r="T4" s="3173" t="s">
        <v>2637</v>
      </c>
      <c r="U4" s="3174"/>
      <c r="V4" s="3148" t="s">
        <v>2638</v>
      </c>
      <c r="W4" s="3148"/>
      <c r="X4" s="1816"/>
      <c r="Y4" s="3173" t="s">
        <v>2640</v>
      </c>
      <c r="Z4" s="3174"/>
      <c r="AA4" s="3153" t="s">
        <v>2636</v>
      </c>
      <c r="AB4" s="3148" t="s">
        <v>2637</v>
      </c>
      <c r="AC4" s="3153" t="s">
        <v>2638</v>
      </c>
    </row>
    <row r="5" spans="1:29" ht="15">
      <c r="A5" s="404"/>
      <c r="B5" s="405"/>
      <c r="C5" s="3177" t="s">
        <v>2531</v>
      </c>
      <c r="D5" s="3178"/>
      <c r="E5" s="3166" t="s">
        <v>2532</v>
      </c>
      <c r="F5" s="3167"/>
      <c r="G5" s="3177" t="s">
        <v>2533</v>
      </c>
      <c r="H5" s="3178"/>
      <c r="I5" s="3177" t="s">
        <v>2534</v>
      </c>
      <c r="J5" s="3178"/>
      <c r="K5" s="610"/>
      <c r="L5" s="1133"/>
      <c r="M5" s="1134"/>
      <c r="N5" s="1134"/>
      <c r="O5" s="1134"/>
      <c r="P5" s="3162"/>
      <c r="Q5" s="3163"/>
      <c r="R5" s="3175"/>
      <c r="S5" s="3176"/>
      <c r="T5" s="3175"/>
      <c r="U5" s="3176"/>
      <c r="V5" s="3148"/>
      <c r="W5" s="3148"/>
      <c r="X5" s="1816"/>
      <c r="Y5" s="3175"/>
      <c r="Z5" s="3176"/>
      <c r="AA5" s="3154"/>
      <c r="AB5" s="3148"/>
      <c r="AC5" s="3154"/>
    </row>
    <row r="6" spans="1:29" ht="15.75" thickBot="1">
      <c r="A6" s="406"/>
      <c r="B6" s="407"/>
      <c r="C6" s="3216" t="s">
        <v>2535</v>
      </c>
      <c r="D6" s="3217"/>
      <c r="E6" s="3218" t="s">
        <v>2535</v>
      </c>
      <c r="F6" s="3219"/>
      <c r="G6" s="3216" t="s">
        <v>2535</v>
      </c>
      <c r="H6" s="3217"/>
      <c r="I6" s="3216" t="s">
        <v>2535</v>
      </c>
      <c r="J6" s="3217"/>
      <c r="K6" s="610" t="s">
        <v>2536</v>
      </c>
      <c r="L6" s="1133"/>
      <c r="M6" s="1134"/>
      <c r="N6" s="1134"/>
      <c r="O6" s="1134"/>
      <c r="P6" s="3164"/>
      <c r="Q6" s="3165"/>
      <c r="R6" s="3175"/>
      <c r="S6" s="3176"/>
      <c r="T6" s="3184"/>
      <c r="U6" s="3185"/>
      <c r="V6" s="3148"/>
      <c r="W6" s="3148"/>
      <c r="X6" s="1816"/>
      <c r="Y6" s="3184"/>
      <c r="Z6" s="3185"/>
      <c r="AA6" s="3155"/>
      <c r="AB6" s="3148"/>
      <c r="AC6" s="3155"/>
    </row>
    <row r="7" spans="1:29" s="117" customFormat="1" ht="15.75" thickBot="1">
      <c r="A7" s="408" t="s">
        <v>2537</v>
      </c>
      <c r="B7" s="409"/>
      <c r="C7" s="410">
        <f>'数据-取费表'!B2</f>
        <v>43217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2538</v>
      </c>
      <c r="Q7" s="3181"/>
      <c r="R7" s="770" t="s">
        <v>17</v>
      </c>
      <c r="S7" s="771">
        <f t="shared" ref="S7:S15" si="0">F7</f>
        <v>0</v>
      </c>
      <c r="T7" s="770" t="s">
        <v>17</v>
      </c>
      <c r="U7" s="771">
        <f t="shared" ref="U7:U15" si="1">H7</f>
        <v>0</v>
      </c>
      <c r="V7" s="770" t="s">
        <v>17</v>
      </c>
      <c r="W7" s="771">
        <f t="shared" ref="W7:W15" si="2">J7</f>
        <v>0</v>
      </c>
      <c r="X7" s="772"/>
      <c r="Y7" s="3168" t="s">
        <v>2538</v>
      </c>
      <c r="Z7" s="3169"/>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2541</v>
      </c>
      <c r="Q8" s="3169"/>
      <c r="R8" s="770" t="s">
        <v>17</v>
      </c>
      <c r="S8" s="771">
        <f t="shared" si="0"/>
        <v>0</v>
      </c>
      <c r="T8" s="770" t="s">
        <v>17</v>
      </c>
      <c r="U8" s="771">
        <f t="shared" si="1"/>
        <v>0</v>
      </c>
      <c r="V8" s="770" t="s">
        <v>17</v>
      </c>
      <c r="W8" s="771">
        <f t="shared" si="2"/>
        <v>0</v>
      </c>
      <c r="X8" s="772"/>
      <c r="Y8" s="3168" t="s">
        <v>2541</v>
      </c>
      <c r="Z8" s="3169"/>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2544</v>
      </c>
      <c r="Q9" s="1798" t="str">
        <f t="shared" ref="Q9:Q15" si="6">B9</f>
        <v>用途</v>
      </c>
      <c r="R9" s="770" t="s">
        <v>17</v>
      </c>
      <c r="S9" s="771">
        <f t="shared" si="0"/>
        <v>100</v>
      </c>
      <c r="T9" s="770" t="s">
        <v>17</v>
      </c>
      <c r="U9" s="771">
        <f t="shared" si="1"/>
        <v>100</v>
      </c>
      <c r="V9" s="770" t="s">
        <v>17</v>
      </c>
      <c r="W9" s="771">
        <f t="shared" si="2"/>
        <v>100</v>
      </c>
      <c r="X9" s="772"/>
      <c r="Y9" s="302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2548</v>
      </c>
      <c r="B15" s="69" t="s">
        <v>2642</v>
      </c>
      <c r="C15" s="260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6" t="s">
        <v>2549</v>
      </c>
      <c r="Q15" s="1813" t="str">
        <f t="shared" si="6"/>
        <v>商业繁华度</v>
      </c>
      <c r="R15" s="774" t="s">
        <v>17</v>
      </c>
      <c r="S15" s="775">
        <f t="shared" si="0"/>
        <v>100</v>
      </c>
      <c r="T15" s="774" t="s">
        <v>17</v>
      </c>
      <c r="U15" s="775">
        <f t="shared" si="1"/>
        <v>100</v>
      </c>
      <c r="V15" s="774" t="s">
        <v>17</v>
      </c>
      <c r="W15" s="775">
        <f t="shared" si="2"/>
        <v>100</v>
      </c>
      <c r="X15" s="1816"/>
      <c r="Y15" s="3149"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7"/>
      <c r="Q16" s="1813"/>
      <c r="R16" s="774"/>
      <c r="S16" s="775"/>
      <c r="T16" s="774"/>
      <c r="U16" s="775"/>
      <c r="V16" s="774"/>
      <c r="W16" s="775"/>
      <c r="X16" s="1816"/>
      <c r="Y16" s="3150"/>
      <c r="Z16" s="1817"/>
      <c r="AA16" s="1814">
        <v>1</v>
      </c>
      <c r="AB16" s="1814">
        <v>1</v>
      </c>
      <c r="AC16" s="1814">
        <v>1</v>
      </c>
    </row>
    <row r="17" spans="1:29" ht="15">
      <c r="A17" s="428"/>
      <c r="B17" s="451" t="s">
        <v>2088</v>
      </c>
      <c r="C17" s="261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7"/>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7"/>
      <c r="Q18" s="1813"/>
      <c r="R18" s="774"/>
      <c r="S18" s="775"/>
      <c r="T18" s="774"/>
      <c r="U18" s="775"/>
      <c r="V18" s="774"/>
      <c r="W18" s="775"/>
      <c r="X18" s="1816"/>
      <c r="Y18" s="3150"/>
      <c r="Z18" s="1817"/>
      <c r="AA18" s="1814">
        <v>1</v>
      </c>
      <c r="AB18" s="1814">
        <v>1</v>
      </c>
      <c r="AC18" s="1814">
        <v>1</v>
      </c>
    </row>
    <row r="19" spans="1:29" ht="15">
      <c r="A19" s="428"/>
      <c r="B19" s="451" t="s">
        <v>2643</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7"/>
      <c r="Q19" s="1813" t="str">
        <f>B19</f>
        <v>公共配套设施</v>
      </c>
      <c r="R19" s="774" t="s">
        <v>17</v>
      </c>
      <c r="S19" s="775">
        <f>F19</f>
        <v>100</v>
      </c>
      <c r="T19" s="774" t="s">
        <v>17</v>
      </c>
      <c r="U19" s="775">
        <f>H19</f>
        <v>100</v>
      </c>
      <c r="V19" s="774" t="s">
        <v>17</v>
      </c>
      <c r="W19" s="775">
        <f>J19</f>
        <v>100</v>
      </c>
      <c r="X19" s="1816"/>
      <c r="Y19" s="315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7"/>
      <c r="Q20" s="1813"/>
      <c r="R20" s="774"/>
      <c r="S20" s="775"/>
      <c r="T20" s="774"/>
      <c r="U20" s="775"/>
      <c r="V20" s="774"/>
      <c r="W20" s="775"/>
      <c r="X20" s="1816"/>
      <c r="Y20" s="3150"/>
      <c r="Z20" s="1817"/>
      <c r="AA20" s="1814">
        <v>1</v>
      </c>
      <c r="AB20" s="1814">
        <v>1</v>
      </c>
      <c r="AC20" s="1814">
        <v>1</v>
      </c>
    </row>
    <row r="21" spans="1:29" ht="15">
      <c r="A21" s="428"/>
      <c r="B21" s="1387" t="s">
        <v>2644</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7"/>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7"/>
      <c r="Q22" s="1813"/>
      <c r="R22" s="774"/>
      <c r="S22" s="775"/>
      <c r="T22" s="774"/>
      <c r="U22" s="775"/>
      <c r="V22" s="774"/>
      <c r="W22" s="775"/>
      <c r="X22" s="1816"/>
      <c r="Y22" s="3150"/>
      <c r="Z22" s="1817"/>
      <c r="AA22" s="1814">
        <v>1</v>
      </c>
      <c r="AB22" s="1814">
        <v>1</v>
      </c>
      <c r="AC22" s="1814">
        <v>1</v>
      </c>
    </row>
    <row r="23" spans="1:29" ht="15">
      <c r="A23" s="428"/>
      <c r="B23" s="451" t="s">
        <v>2091</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7"/>
      <c r="Q23" s="1813" t="str">
        <f>B23</f>
        <v>自然及人文环境</v>
      </c>
      <c r="R23" s="774" t="s">
        <v>17</v>
      </c>
      <c r="S23" s="775">
        <f>F23</f>
        <v>100</v>
      </c>
      <c r="T23" s="774" t="s">
        <v>17</v>
      </c>
      <c r="U23" s="775">
        <f>H23</f>
        <v>100</v>
      </c>
      <c r="V23" s="774" t="s">
        <v>17</v>
      </c>
      <c r="W23" s="775">
        <f>J23</f>
        <v>100</v>
      </c>
      <c r="X23" s="1816"/>
      <c r="Y23" s="315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7"/>
      <c r="Q24" s="1813"/>
      <c r="R24" s="774"/>
      <c r="S24" s="775"/>
      <c r="T24" s="774"/>
      <c r="U24" s="775"/>
      <c r="V24" s="774"/>
      <c r="W24" s="775"/>
      <c r="X24" s="1816"/>
      <c r="Y24" s="3150"/>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7"/>
      <c r="Q25" s="1813" t="str">
        <f t="shared" ref="Q25:Q46" si="11">B25</f>
        <v>临街状况</v>
      </c>
      <c r="R25" s="774" t="s">
        <v>17</v>
      </c>
      <c r="S25" s="775">
        <f>F25</f>
        <v>100</v>
      </c>
      <c r="T25" s="774" t="s">
        <v>17</v>
      </c>
      <c r="U25" s="775">
        <f>H25</f>
        <v>100</v>
      </c>
      <c r="V25" s="774" t="s">
        <v>17</v>
      </c>
      <c r="W25" s="775">
        <f>J25</f>
        <v>100</v>
      </c>
      <c r="X25" s="1816"/>
      <c r="Y25" s="3150"/>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7"/>
      <c r="Q26" s="1813" t="str">
        <f t="shared" si="11"/>
        <v>平面位置/可视性</v>
      </c>
      <c r="R26" s="774" t="s">
        <v>17</v>
      </c>
      <c r="S26" s="775">
        <f>F26</f>
        <v>100</v>
      </c>
      <c r="T26" s="774" t="s">
        <v>17</v>
      </c>
      <c r="U26" s="775">
        <f>H26</f>
        <v>100</v>
      </c>
      <c r="V26" s="774" t="s">
        <v>17</v>
      </c>
      <c r="W26" s="775">
        <f>J26</f>
        <v>100</v>
      </c>
      <c r="X26" s="1816"/>
      <c r="Y26" s="3150"/>
      <c r="Z26" s="1817" t="str">
        <f>Q26</f>
        <v>平面位置/可视性</v>
      </c>
      <c r="AA26" s="1814">
        <f t="shared" si="3"/>
        <v>1</v>
      </c>
      <c r="AB26" s="1814">
        <f t="shared" si="4"/>
        <v>1</v>
      </c>
      <c r="AC26" s="1814">
        <f t="shared" si="5"/>
        <v>1</v>
      </c>
    </row>
    <row r="27" spans="1:29" s="117" customFormat="1" ht="15">
      <c r="A27" s="431"/>
      <c r="B27" s="451" t="s">
        <v>2647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7"/>
      <c r="Q27" s="1798" t="str">
        <f t="shared" si="11"/>
        <v>人流量</v>
      </c>
      <c r="R27" s="770" t="s">
        <v>17</v>
      </c>
      <c r="S27" s="771">
        <f>F27</f>
        <v>100</v>
      </c>
      <c r="T27" s="770" t="s">
        <v>17</v>
      </c>
      <c r="U27" s="771">
        <f>H27</f>
        <v>100</v>
      </c>
      <c r="V27" s="770" t="s">
        <v>17</v>
      </c>
      <c r="W27" s="771">
        <f>J27</f>
        <v>100</v>
      </c>
      <c r="X27" s="772"/>
      <c r="Y27" s="3150"/>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7"/>
      <c r="Q29" s="1813">
        <f t="shared" si="11"/>
        <v>111</v>
      </c>
      <c r="R29" s="774" t="s">
        <v>17</v>
      </c>
      <c r="S29" s="775">
        <f t="shared" si="12"/>
        <v>100</v>
      </c>
      <c r="T29" s="774" t="s">
        <v>17</v>
      </c>
      <c r="U29" s="775">
        <f t="shared" si="13"/>
        <v>100</v>
      </c>
      <c r="V29" s="774" t="s">
        <v>17</v>
      </c>
      <c r="W29" s="775">
        <f t="shared" si="14"/>
        <v>100</v>
      </c>
      <c r="X29" s="1816"/>
      <c r="Y29" s="315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7"/>
      <c r="Q30" s="1813">
        <f t="shared" si="11"/>
        <v>111</v>
      </c>
      <c r="R30" s="774" t="s">
        <v>17</v>
      </c>
      <c r="S30" s="775">
        <f t="shared" si="12"/>
        <v>100</v>
      </c>
      <c r="T30" s="774" t="s">
        <v>17</v>
      </c>
      <c r="U30" s="775">
        <f t="shared" si="13"/>
        <v>100</v>
      </c>
      <c r="V30" s="774" t="s">
        <v>17</v>
      </c>
      <c r="W30" s="775">
        <f t="shared" si="14"/>
        <v>100</v>
      </c>
      <c r="X30" s="1816"/>
      <c r="Y30" s="315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7"/>
      <c r="Q31" s="1813">
        <f t="shared" si="11"/>
        <v>111</v>
      </c>
      <c r="R31" s="774" t="s">
        <v>17</v>
      </c>
      <c r="S31" s="775">
        <f t="shared" si="12"/>
        <v>100</v>
      </c>
      <c r="T31" s="774" t="s">
        <v>17</v>
      </c>
      <c r="U31" s="775">
        <f t="shared" si="13"/>
        <v>100</v>
      </c>
      <c r="V31" s="774" t="s">
        <v>17</v>
      </c>
      <c r="W31" s="775">
        <f t="shared" si="14"/>
        <v>100</v>
      </c>
      <c r="X31" s="1816"/>
      <c r="Y31" s="3150"/>
      <c r="Z31" s="1817">
        <f t="shared" si="15"/>
        <v>111</v>
      </c>
      <c r="AA31" s="1814">
        <f t="shared" si="3"/>
        <v>1</v>
      </c>
      <c r="AB31" s="1814">
        <f t="shared" si="4"/>
        <v>1</v>
      </c>
      <c r="AC31" s="1814">
        <f t="shared" si="5"/>
        <v>1</v>
      </c>
    </row>
    <row r="32" spans="1:29" ht="15">
      <c r="A32" s="440" t="s">
        <v>2552</v>
      </c>
      <c r="B32" s="71" t="s">
        <v>2649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2" t="s">
        <v>2554</v>
      </c>
      <c r="Q32" s="1813" t="str">
        <f t="shared" si="11"/>
        <v>商业类型</v>
      </c>
      <c r="R32" s="774" t="s">
        <v>17</v>
      </c>
      <c r="S32" s="775">
        <f t="shared" si="12"/>
        <v>100</v>
      </c>
      <c r="T32" s="774" t="s">
        <v>17</v>
      </c>
      <c r="U32" s="775">
        <f t="shared" si="13"/>
        <v>100</v>
      </c>
      <c r="V32" s="774" t="s">
        <v>17</v>
      </c>
      <c r="W32" s="775">
        <f t="shared" si="14"/>
        <v>100</v>
      </c>
      <c r="X32" s="1816"/>
      <c r="Y32" s="3152"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3"/>
      <c r="Q33" s="776" t="str">
        <f t="shared" si="11"/>
        <v>项目建筑规模</v>
      </c>
      <c r="R33" s="777" t="s">
        <v>17</v>
      </c>
      <c r="S33" s="778" t="e">
        <f t="shared" si="12"/>
        <v>#N/A</v>
      </c>
      <c r="T33" s="777" t="s">
        <v>17</v>
      </c>
      <c r="U33" s="778" t="e">
        <f t="shared" si="13"/>
        <v>#N/A</v>
      </c>
      <c r="V33" s="777" t="s">
        <v>17</v>
      </c>
      <c r="W33" s="778" t="e">
        <f t="shared" si="14"/>
        <v>#N/A</v>
      </c>
      <c r="X33" s="779"/>
      <c r="Y33" s="3152"/>
      <c r="Z33" s="780" t="str">
        <f t="shared" si="15"/>
        <v>项目建筑规模</v>
      </c>
      <c r="AA33" s="1814" t="e">
        <f t="shared" si="3"/>
        <v>#N/A</v>
      </c>
      <c r="AB33" s="1814" t="e">
        <f t="shared" si="4"/>
        <v>#N/A</v>
      </c>
      <c r="AC33" s="1814" t="e">
        <f t="shared" si="5"/>
        <v>#N/A</v>
      </c>
    </row>
    <row r="34" spans="1:29" ht="15">
      <c r="A34" s="472"/>
      <c r="B34" s="422" t="s">
        <v>2556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23"/>
      <c r="Q34" s="1813" t="str">
        <f t="shared" si="11"/>
        <v>建筑结构</v>
      </c>
      <c r="R34" s="774" t="s">
        <v>17</v>
      </c>
      <c r="S34" s="775">
        <f t="shared" si="12"/>
        <v>100</v>
      </c>
      <c r="T34" s="774" t="s">
        <v>17</v>
      </c>
      <c r="U34" s="775">
        <f t="shared" si="13"/>
        <v>100</v>
      </c>
      <c r="V34" s="774" t="s">
        <v>17</v>
      </c>
      <c r="W34" s="775">
        <f t="shared" si="14"/>
        <v>100</v>
      </c>
      <c r="X34" s="1816"/>
      <c r="Y34" s="3152"/>
      <c r="Z34" s="1817" t="str">
        <f t="shared" si="15"/>
        <v>建筑结构</v>
      </c>
      <c r="AA34" s="1814">
        <f t="shared" si="3"/>
        <v>1</v>
      </c>
      <c r="AB34" s="1814">
        <f t="shared" si="4"/>
        <v>1</v>
      </c>
      <c r="AC34" s="1814">
        <f t="shared" si="5"/>
        <v>1</v>
      </c>
    </row>
    <row r="35" spans="1:29" ht="15">
      <c r="A35" s="472"/>
      <c r="B35" s="422" t="s">
        <v>2650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23"/>
      <c r="Q35" s="1813" t="str">
        <f t="shared" si="11"/>
        <v>公共部分装修</v>
      </c>
      <c r="R35" s="774" t="s">
        <v>17</v>
      </c>
      <c r="S35" s="775">
        <f t="shared" si="12"/>
        <v>100</v>
      </c>
      <c r="T35" s="774" t="s">
        <v>17</v>
      </c>
      <c r="U35" s="775">
        <f t="shared" si="13"/>
        <v>100</v>
      </c>
      <c r="V35" s="774" t="s">
        <v>17</v>
      </c>
      <c r="W35" s="775">
        <f t="shared" si="14"/>
        <v>100</v>
      </c>
      <c r="X35" s="1816"/>
      <c r="Y35" s="3152"/>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3"/>
      <c r="Q36" s="1813" t="str">
        <f t="shared" si="11"/>
        <v>成新度</v>
      </c>
      <c r="R36" s="774" t="s">
        <v>17</v>
      </c>
      <c r="S36" s="775" t="e">
        <f t="shared" si="12"/>
        <v>#N/A</v>
      </c>
      <c r="T36" s="774" t="s">
        <v>17</v>
      </c>
      <c r="U36" s="775" t="e">
        <f t="shared" si="13"/>
        <v>#N/A</v>
      </c>
      <c r="V36" s="774" t="s">
        <v>17</v>
      </c>
      <c r="W36" s="775" t="e">
        <f t="shared" si="14"/>
        <v>#N/A</v>
      </c>
      <c r="X36" s="1816"/>
      <c r="Y36" s="3152"/>
      <c r="Z36" s="1817" t="str">
        <f t="shared" si="15"/>
        <v>成新度</v>
      </c>
      <c r="AA36" s="1814" t="e">
        <f t="shared" si="3"/>
        <v>#N/A</v>
      </c>
      <c r="AB36" s="1814" t="e">
        <f t="shared" si="4"/>
        <v>#N/A</v>
      </c>
      <c r="AC36" s="1814" t="e">
        <f t="shared" si="5"/>
        <v>#N/A</v>
      </c>
    </row>
    <row r="37" spans="1:29" s="117" customFormat="1" ht="15">
      <c r="A37" s="473"/>
      <c r="B37" s="422" t="s">
        <v>2652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23"/>
      <c r="Q37" s="1798" t="str">
        <f t="shared" si="11"/>
        <v>市政基础设施</v>
      </c>
      <c r="R37" s="770" t="s">
        <v>17</v>
      </c>
      <c r="S37" s="771">
        <f t="shared" si="12"/>
        <v>100</v>
      </c>
      <c r="T37" s="770" t="s">
        <v>17</v>
      </c>
      <c r="U37" s="771">
        <f t="shared" si="13"/>
        <v>100</v>
      </c>
      <c r="V37" s="770" t="s">
        <v>17</v>
      </c>
      <c r="W37" s="771">
        <f t="shared" si="14"/>
        <v>100</v>
      </c>
      <c r="X37" s="772"/>
      <c r="Y37" s="3152"/>
      <c r="Z37" s="55" t="str">
        <f t="shared" si="15"/>
        <v>市政基础设施</v>
      </c>
      <c r="AA37" s="773">
        <f t="shared" si="3"/>
        <v>1</v>
      </c>
      <c r="AB37" s="773">
        <f t="shared" si="4"/>
        <v>1</v>
      </c>
      <c r="AC37" s="773">
        <f t="shared" si="5"/>
        <v>1</v>
      </c>
    </row>
    <row r="38" spans="1:29" ht="15">
      <c r="A38" s="472"/>
      <c r="B38" s="422" t="s">
        <v>2653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23" t="s">
        <v>2554</v>
      </c>
      <c r="Q38" s="1813" t="str">
        <f t="shared" si="11"/>
        <v>业态</v>
      </c>
      <c r="R38" s="774" t="s">
        <v>17</v>
      </c>
      <c r="S38" s="775">
        <f t="shared" si="12"/>
        <v>100</v>
      </c>
      <c r="T38" s="774" t="s">
        <v>17</v>
      </c>
      <c r="U38" s="775">
        <f t="shared" si="13"/>
        <v>100</v>
      </c>
      <c r="V38" s="774" t="s">
        <v>17</v>
      </c>
      <c r="W38" s="775">
        <f t="shared" si="14"/>
        <v>100</v>
      </c>
      <c r="X38" s="1816"/>
      <c r="Y38" s="3152" t="s">
        <v>2554</v>
      </c>
      <c r="Z38" s="1817" t="str">
        <f t="shared" si="15"/>
        <v>业态</v>
      </c>
      <c r="AA38" s="1814">
        <f t="shared" si="3"/>
        <v>1</v>
      </c>
      <c r="AB38" s="1814">
        <f t="shared" si="4"/>
        <v>1</v>
      </c>
      <c r="AC38" s="1814">
        <f t="shared" si="5"/>
        <v>1</v>
      </c>
    </row>
    <row r="39" spans="1:29" ht="15">
      <c r="A39" s="472"/>
      <c r="B39" s="422" t="s">
        <v>2654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23"/>
      <c r="Q39" s="1813" t="str">
        <f t="shared" si="11"/>
        <v>层高</v>
      </c>
      <c r="R39" s="774" t="s">
        <v>17</v>
      </c>
      <c r="S39" s="775">
        <f t="shared" si="12"/>
        <v>100</v>
      </c>
      <c r="T39" s="774" t="s">
        <v>17</v>
      </c>
      <c r="U39" s="775">
        <f t="shared" si="13"/>
        <v>100</v>
      </c>
      <c r="V39" s="774" t="s">
        <v>17</v>
      </c>
      <c r="W39" s="775">
        <f t="shared" si="14"/>
        <v>100</v>
      </c>
      <c r="X39" s="1816"/>
      <c r="Y39" s="3152"/>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3"/>
      <c r="Q40" s="1813" t="str">
        <f t="shared" si="11"/>
        <v>单套建筑面积</v>
      </c>
      <c r="R40" s="774" t="s">
        <v>17</v>
      </c>
      <c r="S40" s="775">
        <f t="shared" si="12"/>
        <v>100</v>
      </c>
      <c r="T40" s="774" t="s">
        <v>17</v>
      </c>
      <c r="U40" s="775">
        <f t="shared" si="13"/>
        <v>100</v>
      </c>
      <c r="V40" s="774" t="s">
        <v>17</v>
      </c>
      <c r="W40" s="775">
        <f t="shared" si="14"/>
        <v>100</v>
      </c>
      <c r="X40" s="1816"/>
      <c r="Y40" s="3152"/>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3"/>
      <c r="Q41" s="776" t="str">
        <f t="shared" si="11"/>
        <v>进深比</v>
      </c>
      <c r="R41" s="777" t="s">
        <v>17</v>
      </c>
      <c r="S41" s="778">
        <f t="shared" si="12"/>
        <v>100</v>
      </c>
      <c r="T41" s="777" t="s">
        <v>17</v>
      </c>
      <c r="U41" s="778">
        <f t="shared" si="13"/>
        <v>100</v>
      </c>
      <c r="V41" s="777" t="s">
        <v>17</v>
      </c>
      <c r="W41" s="778">
        <f t="shared" si="14"/>
        <v>100</v>
      </c>
      <c r="X41" s="779"/>
      <c r="Y41" s="3152"/>
      <c r="Z41" s="780" t="str">
        <f t="shared" si="15"/>
        <v>进深比</v>
      </c>
      <c r="AA41" s="1814">
        <f t="shared" si="3"/>
        <v>1</v>
      </c>
      <c r="AB41" s="1814">
        <f t="shared" si="4"/>
        <v>1</v>
      </c>
      <c r="AC41" s="1814">
        <f t="shared" si="5"/>
        <v>1</v>
      </c>
    </row>
    <row r="42" spans="1:29" ht="15">
      <c r="A42" s="472"/>
      <c r="B42" s="422" t="s">
        <v>2657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23"/>
      <c r="Q42" s="1813" t="str">
        <f t="shared" si="11"/>
        <v>内部装修</v>
      </c>
      <c r="R42" s="774" t="s">
        <v>17</v>
      </c>
      <c r="S42" s="775">
        <f t="shared" si="12"/>
        <v>100</v>
      </c>
      <c r="T42" s="774" t="s">
        <v>17</v>
      </c>
      <c r="U42" s="775">
        <f t="shared" si="13"/>
        <v>100</v>
      </c>
      <c r="V42" s="774" t="s">
        <v>17</v>
      </c>
      <c r="W42" s="775">
        <f t="shared" si="14"/>
        <v>100</v>
      </c>
      <c r="X42" s="1816"/>
      <c r="Y42" s="3152"/>
      <c r="Z42" s="1817" t="str">
        <f t="shared" si="15"/>
        <v>内部装修</v>
      </c>
      <c r="AA42" s="1814">
        <f t="shared" si="3"/>
        <v>1</v>
      </c>
      <c r="AB42" s="1814">
        <f t="shared" si="4"/>
        <v>1</v>
      </c>
      <c r="AC42" s="1814">
        <f t="shared" si="5"/>
        <v>1</v>
      </c>
    </row>
    <row r="43" spans="1:29" ht="15">
      <c r="A43" s="472"/>
      <c r="B43" s="422" t="s">
        <v>2565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23"/>
      <c r="Q43" s="1813" t="str">
        <f t="shared" si="11"/>
        <v>内部装修维护情况</v>
      </c>
      <c r="R43" s="774" t="s">
        <v>17</v>
      </c>
      <c r="S43" s="775">
        <f t="shared" si="12"/>
        <v>100</v>
      </c>
      <c r="T43" s="774" t="s">
        <v>17</v>
      </c>
      <c r="U43" s="775">
        <f t="shared" si="13"/>
        <v>100</v>
      </c>
      <c r="V43" s="774" t="s">
        <v>17</v>
      </c>
      <c r="W43" s="775">
        <f t="shared" si="14"/>
        <v>100</v>
      </c>
      <c r="X43" s="1816"/>
      <c r="Y43" s="315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3"/>
      <c r="Q44" s="1798">
        <f t="shared" si="11"/>
        <v>111</v>
      </c>
      <c r="R44" s="770" t="s">
        <v>17</v>
      </c>
      <c r="S44" s="771">
        <f t="shared" si="12"/>
        <v>100</v>
      </c>
      <c r="T44" s="770" t="s">
        <v>17</v>
      </c>
      <c r="U44" s="771">
        <f t="shared" si="13"/>
        <v>100</v>
      </c>
      <c r="V44" s="770" t="s">
        <v>17</v>
      </c>
      <c r="W44" s="771">
        <f t="shared" si="14"/>
        <v>100</v>
      </c>
      <c r="X44" s="772"/>
      <c r="Y44" s="315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3"/>
      <c r="Q45" s="1813">
        <f t="shared" si="11"/>
        <v>111</v>
      </c>
      <c r="R45" s="774" t="s">
        <v>17</v>
      </c>
      <c r="S45" s="775">
        <f t="shared" si="12"/>
        <v>100</v>
      </c>
      <c r="T45" s="774" t="s">
        <v>17</v>
      </c>
      <c r="U45" s="775">
        <f t="shared" si="13"/>
        <v>100</v>
      </c>
      <c r="V45" s="774" t="s">
        <v>17</v>
      </c>
      <c r="W45" s="775">
        <f t="shared" si="14"/>
        <v>100</v>
      </c>
      <c r="X45" s="1816"/>
      <c r="Y45" s="315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4"/>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146" t="str">
        <f>A47</f>
        <v>成交单价（元/平方米）</v>
      </c>
      <c r="Q47" s="3146"/>
      <c r="R47" s="3148">
        <f>E47</f>
        <v>0</v>
      </c>
      <c r="S47" s="3148"/>
      <c r="T47" s="3148">
        <f>G47</f>
        <v>0</v>
      </c>
      <c r="U47" s="3148"/>
      <c r="V47" s="3148">
        <f>I47</f>
        <v>0</v>
      </c>
      <c r="W47" s="3148"/>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46" t="str">
        <f>A48</f>
        <v>比较价值（元/平方米）</v>
      </c>
      <c r="Q48" s="3146"/>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143" t="str">
        <f>A49</f>
        <v>估价对象XX用房的比较价值（楼面单价，元/平方米）</v>
      </c>
      <c r="Q49" s="3144"/>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2537</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2574</v>
      </c>
      <c r="B60" s="516"/>
      <c r="C60" s="517"/>
      <c r="D60" s="518"/>
      <c r="E60" s="518"/>
      <c r="F60" s="518"/>
      <c r="G60" s="518"/>
      <c r="H60" s="518"/>
      <c r="I60" s="518"/>
      <c r="J60" s="518"/>
      <c r="K60" s="518"/>
      <c r="L60" s="518"/>
      <c r="M60" s="519"/>
      <c r="N60" s="518"/>
      <c r="O60" s="519"/>
      <c r="P60" s="2631"/>
      <c r="Q60" s="504"/>
    </row>
    <row r="61" spans="1:29" s="117" customFormat="1" ht="15">
      <c r="A61" s="521" t="s">
        <v>2539</v>
      </c>
      <c r="B61" s="510"/>
      <c r="C61" s="522" t="s">
        <v>2641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2577</v>
      </c>
      <c r="B63" s="528" t="s">
        <v>2543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2669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2552</v>
      </c>
      <c r="B100" s="528" t="s">
        <v>2670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2605</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2673</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2609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2" t="s">
        <v>2675</v>
      </c>
      <c r="C1" s="1623" t="s">
        <v>2519</v>
      </c>
      <c r="D1" s="1624"/>
      <c r="E1" s="1633"/>
      <c r="F1" s="2587"/>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IF(C2="——",ROUND(C50*D3/10000,0),ROUND(C50*D3/10000,0)-D2)</f>
        <v>#DIV/0!</v>
      </c>
      <c r="C2" s="2589"/>
      <c r="D2" s="1368" t="e">
        <f ca="1">SUMIF(INDIRECT("'"&amp;F2&amp;"'"&amp;"!A:A"),"承租人权益价值",INDIRECT("'"&amp;F2&amp;"'"&amp;"!c:c"))</f>
        <v>#REF!</v>
      </c>
      <c r="E2" s="2590" t="s">
        <v>2317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17787.509999999998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156" t="s">
        <v>2635</v>
      </c>
      <c r="D4" s="3157"/>
      <c r="E4" s="3158" t="s">
        <v>2636</v>
      </c>
      <c r="F4" s="3159"/>
      <c r="G4" s="3156" t="s">
        <v>2637</v>
      </c>
      <c r="H4" s="3157"/>
      <c r="I4" s="3156" t="s">
        <v>2638</v>
      </c>
      <c r="J4" s="3157"/>
      <c r="K4" s="610" t="s">
        <v>2639</v>
      </c>
      <c r="L4" s="1133"/>
      <c r="M4" s="1134"/>
      <c r="N4" s="1134"/>
      <c r="O4" s="1134"/>
      <c r="P4" s="3234" t="s">
        <v>2640</v>
      </c>
      <c r="Q4" s="3235"/>
      <c r="R4" s="3229" t="s">
        <v>2636</v>
      </c>
      <c r="S4" s="3230"/>
      <c r="T4" s="3229" t="s">
        <v>2637</v>
      </c>
      <c r="U4" s="3230"/>
      <c r="V4" s="3238" t="s">
        <v>2638</v>
      </c>
      <c r="W4" s="3238"/>
      <c r="X4" s="2673"/>
      <c r="Y4" s="3229" t="s">
        <v>2640</v>
      </c>
      <c r="Z4" s="3230"/>
      <c r="AA4" s="3228" t="s">
        <v>2636</v>
      </c>
      <c r="AB4" s="3228" t="s">
        <v>2637</v>
      </c>
      <c r="AC4" s="3231" t="s">
        <v>2638</v>
      </c>
    </row>
    <row r="5" spans="1:29" ht="15">
      <c r="A5" s="404"/>
      <c r="B5" s="405"/>
      <c r="C5" s="3177" t="s">
        <v>2531</v>
      </c>
      <c r="D5" s="3178"/>
      <c r="E5" s="3166" t="s">
        <v>2532</v>
      </c>
      <c r="F5" s="3167"/>
      <c r="G5" s="3177" t="s">
        <v>2533</v>
      </c>
      <c r="H5" s="3178"/>
      <c r="I5" s="3177" t="s">
        <v>2534</v>
      </c>
      <c r="J5" s="3178"/>
      <c r="K5" s="610"/>
      <c r="L5" s="1133"/>
      <c r="M5" s="1134"/>
      <c r="N5" s="1134"/>
      <c r="O5" s="1134"/>
      <c r="P5" s="3236"/>
      <c r="Q5" s="3163"/>
      <c r="R5" s="3175"/>
      <c r="S5" s="3176"/>
      <c r="T5" s="3175"/>
      <c r="U5" s="3176"/>
      <c r="V5" s="3148"/>
      <c r="W5" s="3148"/>
      <c r="X5" s="1816"/>
      <c r="Y5" s="3175"/>
      <c r="Z5" s="3176"/>
      <c r="AA5" s="3154"/>
      <c r="AB5" s="3154"/>
      <c r="AC5" s="3232"/>
    </row>
    <row r="6" spans="1:29" ht="15.75" thickBot="1">
      <c r="A6" s="406"/>
      <c r="B6" s="407"/>
      <c r="C6" s="3216" t="s">
        <v>2535</v>
      </c>
      <c r="D6" s="3217"/>
      <c r="E6" s="3218" t="s">
        <v>2535</v>
      </c>
      <c r="F6" s="3219"/>
      <c r="G6" s="3216" t="s">
        <v>2535</v>
      </c>
      <c r="H6" s="3217"/>
      <c r="I6" s="3216" t="s">
        <v>2535</v>
      </c>
      <c r="J6" s="3217"/>
      <c r="K6" s="610" t="s">
        <v>2536</v>
      </c>
      <c r="L6" s="1133"/>
      <c r="M6" s="1134"/>
      <c r="N6" s="1134"/>
      <c r="O6" s="1134"/>
      <c r="P6" s="3237"/>
      <c r="Q6" s="3165"/>
      <c r="R6" s="3175"/>
      <c r="S6" s="3176"/>
      <c r="T6" s="3184"/>
      <c r="U6" s="3185"/>
      <c r="V6" s="3148"/>
      <c r="W6" s="3148"/>
      <c r="X6" s="1816"/>
      <c r="Y6" s="3184"/>
      <c r="Z6" s="3185"/>
      <c r="AA6" s="3155"/>
      <c r="AB6" s="3155"/>
      <c r="AC6" s="3233"/>
    </row>
    <row r="7" spans="1:29" s="117" customFormat="1" ht="15.75" thickBot="1">
      <c r="A7" s="408" t="s">
        <v>2537</v>
      </c>
      <c r="B7" s="409"/>
      <c r="C7" s="410">
        <f>'数据-取费表'!B2</f>
        <v>43217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9" t="s">
        <v>2538</v>
      </c>
      <c r="Q7" s="3181"/>
      <c r="R7" s="770" t="s">
        <v>17</v>
      </c>
      <c r="S7" s="771">
        <f t="shared" ref="S7:S15" si="0">F7</f>
        <v>0</v>
      </c>
      <c r="T7" s="770" t="s">
        <v>17</v>
      </c>
      <c r="U7" s="771">
        <f t="shared" ref="U7:U15" si="1">H7</f>
        <v>0</v>
      </c>
      <c r="V7" s="770" t="s">
        <v>17</v>
      </c>
      <c r="W7" s="771">
        <f t="shared" ref="W7:W15" si="2">J7</f>
        <v>0</v>
      </c>
      <c r="X7" s="772"/>
      <c r="Y7" s="3168" t="s">
        <v>2538</v>
      </c>
      <c r="Z7" s="3169"/>
      <c r="AA7" s="773" t="e">
        <f>D7/F7</f>
        <v>#DIV/0!</v>
      </c>
      <c r="AB7" s="773" t="e">
        <f>D7/H7</f>
        <v>#DIV/0!</v>
      </c>
      <c r="AC7" s="2674"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9" t="s">
        <v>2541</v>
      </c>
      <c r="Q8" s="3169"/>
      <c r="R8" s="770" t="s">
        <v>17</v>
      </c>
      <c r="S8" s="771">
        <f t="shared" si="0"/>
        <v>0</v>
      </c>
      <c r="T8" s="770" t="s">
        <v>17</v>
      </c>
      <c r="U8" s="771">
        <f t="shared" si="1"/>
        <v>0</v>
      </c>
      <c r="V8" s="770" t="s">
        <v>17</v>
      </c>
      <c r="W8" s="771">
        <f t="shared" si="2"/>
        <v>0</v>
      </c>
      <c r="X8" s="772"/>
      <c r="Y8" s="3168" t="s">
        <v>2541</v>
      </c>
      <c r="Z8" s="3169"/>
      <c r="AA8" s="773" t="e">
        <f t="shared" ref="AA8:AA47" si="3">D8/F8</f>
        <v>#DIV/0!</v>
      </c>
      <c r="AB8" s="773" t="e">
        <f t="shared" ref="AB8:AB47" si="4">D8/H8</f>
        <v>#DIV/0!</v>
      </c>
      <c r="AC8" s="2674"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2544</v>
      </c>
      <c r="Q9" s="1798" t="str">
        <f t="shared" ref="Q9:Q15" si="6">B9</f>
        <v>用途</v>
      </c>
      <c r="R9" s="770" t="s">
        <v>17</v>
      </c>
      <c r="S9" s="771">
        <f t="shared" si="0"/>
        <v>100</v>
      </c>
      <c r="T9" s="770" t="s">
        <v>17</v>
      </c>
      <c r="U9" s="771">
        <f t="shared" si="1"/>
        <v>100</v>
      </c>
      <c r="V9" s="770" t="s">
        <v>17</v>
      </c>
      <c r="W9" s="771">
        <f t="shared" si="2"/>
        <v>100</v>
      </c>
      <c r="X9" s="772"/>
      <c r="Y9" s="3023" t="s">
        <v>2545</v>
      </c>
      <c r="Z9" s="55" t="str">
        <f t="shared" ref="Z9:Z15" si="7">Q9</f>
        <v>用途</v>
      </c>
      <c r="AA9" s="773">
        <f t="shared" si="3"/>
        <v>1</v>
      </c>
      <c r="AB9" s="773">
        <f t="shared" si="4"/>
        <v>1</v>
      </c>
      <c r="AC9" s="2674">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4">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4">
        <f t="shared" si="5"/>
        <v>1</v>
      </c>
    </row>
    <row r="15" spans="1:29" ht="15">
      <c r="A15" s="440" t="s">
        <v>2548</v>
      </c>
      <c r="B15" s="629" t="s">
        <v>2676</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6" t="s">
        <v>2549</v>
      </c>
      <c r="Q15" s="1813" t="str">
        <f t="shared" si="6"/>
        <v>办公集聚程度</v>
      </c>
      <c r="R15" s="774" t="s">
        <v>17</v>
      </c>
      <c r="S15" s="775">
        <f t="shared" si="0"/>
        <v>100</v>
      </c>
      <c r="T15" s="774" t="s">
        <v>17</v>
      </c>
      <c r="U15" s="775">
        <f t="shared" si="1"/>
        <v>100</v>
      </c>
      <c r="V15" s="774" t="s">
        <v>17</v>
      </c>
      <c r="W15" s="775">
        <f t="shared" si="2"/>
        <v>100</v>
      </c>
      <c r="X15" s="1816"/>
      <c r="Y15" s="3149" t="s">
        <v>2549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27"/>
      <c r="Q16" s="1813"/>
      <c r="R16" s="774"/>
      <c r="S16" s="775"/>
      <c r="T16" s="774"/>
      <c r="U16" s="775"/>
      <c r="V16" s="774"/>
      <c r="W16" s="775"/>
      <c r="X16" s="1816"/>
      <c r="Y16" s="3150"/>
      <c r="Z16" s="1817"/>
      <c r="AA16" s="1814">
        <v>1</v>
      </c>
      <c r="AB16" s="1814">
        <v>1</v>
      </c>
      <c r="AC16" s="2677">
        <v>1</v>
      </c>
    </row>
    <row r="17" spans="1:29" ht="15">
      <c r="A17" s="428"/>
      <c r="B17" s="631" t="s">
        <v>2088</v>
      </c>
      <c r="C17" s="267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7"/>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27"/>
      <c r="Q18" s="1813"/>
      <c r="R18" s="774"/>
      <c r="S18" s="775"/>
      <c r="T18" s="774"/>
      <c r="U18" s="775"/>
      <c r="V18" s="774"/>
      <c r="W18" s="775"/>
      <c r="X18" s="1816"/>
      <c r="Y18" s="3150"/>
      <c r="Z18" s="1817"/>
      <c r="AA18" s="1814">
        <v>1</v>
      </c>
      <c r="AB18" s="1814">
        <v>1</v>
      </c>
      <c r="AC18" s="2677">
        <v>1</v>
      </c>
    </row>
    <row r="19" spans="1:29" ht="15">
      <c r="A19" s="428"/>
      <c r="B19" s="631" t="s">
        <v>2677</v>
      </c>
      <c r="C19" s="267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7"/>
      <c r="Q19" s="1813" t="str">
        <f>B19</f>
        <v>公共配套设施</v>
      </c>
      <c r="R19" s="774" t="s">
        <v>17</v>
      </c>
      <c r="S19" s="775">
        <f>F19</f>
        <v>100</v>
      </c>
      <c r="T19" s="774" t="s">
        <v>17</v>
      </c>
      <c r="U19" s="775">
        <f>H19</f>
        <v>100</v>
      </c>
      <c r="V19" s="774" t="s">
        <v>17</v>
      </c>
      <c r="W19" s="775">
        <f>J19</f>
        <v>100</v>
      </c>
      <c r="X19" s="1816"/>
      <c r="Y19" s="315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27"/>
      <c r="Q20" s="1813"/>
      <c r="R20" s="774"/>
      <c r="S20" s="775"/>
      <c r="T20" s="774"/>
      <c r="U20" s="775"/>
      <c r="V20" s="774"/>
      <c r="W20" s="775"/>
      <c r="X20" s="1816"/>
      <c r="Y20" s="3150"/>
      <c r="Z20" s="1817"/>
      <c r="AA20" s="1814">
        <v>1</v>
      </c>
      <c r="AB20" s="1814">
        <v>1</v>
      </c>
      <c r="AC20" s="2677">
        <v>1</v>
      </c>
    </row>
    <row r="21" spans="1:29" ht="15">
      <c r="A21" s="428"/>
      <c r="B21" s="633" t="s">
        <v>2678</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7"/>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27"/>
      <c r="Q22" s="1813"/>
      <c r="R22" s="774"/>
      <c r="S22" s="775"/>
      <c r="T22" s="774"/>
      <c r="U22" s="775"/>
      <c r="V22" s="774"/>
      <c r="W22" s="775"/>
      <c r="X22" s="1816"/>
      <c r="Y22" s="3150"/>
      <c r="Z22" s="1817"/>
      <c r="AA22" s="1814">
        <v>1</v>
      </c>
      <c r="AB22" s="1814">
        <v>1</v>
      </c>
      <c r="AC22" s="2677">
        <v>1</v>
      </c>
    </row>
    <row r="23" spans="1:29" ht="15">
      <c r="A23" s="428"/>
      <c r="B23" s="631" t="s">
        <v>2679</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7"/>
      <c r="Q23" s="1813" t="str">
        <f>B23</f>
        <v>环境质量</v>
      </c>
      <c r="R23" s="774" t="s">
        <v>17</v>
      </c>
      <c r="S23" s="775">
        <f>F23</f>
        <v>100</v>
      </c>
      <c r="T23" s="774" t="s">
        <v>17</v>
      </c>
      <c r="U23" s="775">
        <f>H23</f>
        <v>100</v>
      </c>
      <c r="V23" s="774" t="s">
        <v>17</v>
      </c>
      <c r="W23" s="775">
        <f>J23</f>
        <v>100</v>
      </c>
      <c r="X23" s="1816"/>
      <c r="Y23" s="315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27"/>
      <c r="Q24" s="1813"/>
      <c r="R24" s="774"/>
      <c r="S24" s="775"/>
      <c r="T24" s="774"/>
      <c r="U24" s="775"/>
      <c r="V24" s="774"/>
      <c r="W24" s="775"/>
      <c r="X24" s="1816"/>
      <c r="Y24" s="3150"/>
      <c r="Z24" s="1817"/>
      <c r="AA24" s="1814">
        <v>1</v>
      </c>
      <c r="AB24" s="1814">
        <v>1</v>
      </c>
      <c r="AC24" s="2677">
        <v>1</v>
      </c>
    </row>
    <row r="25" spans="1:29" ht="27">
      <c r="A25" s="404"/>
      <c r="B25" s="631" t="s">
        <v>2680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27"/>
      <c r="Q25" s="1813" t="str">
        <f>B25</f>
        <v>毗邻道路的类型与等级</v>
      </c>
      <c r="R25" s="774" t="s">
        <v>17</v>
      </c>
      <c r="S25" s="775">
        <f>F25</f>
        <v>100</v>
      </c>
      <c r="T25" s="774" t="s">
        <v>17</v>
      </c>
      <c r="U25" s="775">
        <f>H25</f>
        <v>100</v>
      </c>
      <c r="V25" s="774" t="s">
        <v>17</v>
      </c>
      <c r="W25" s="775">
        <f>J25</f>
        <v>100</v>
      </c>
      <c r="X25" s="1816"/>
      <c r="Y25" s="315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27"/>
      <c r="Q26" s="1813"/>
      <c r="R26" s="774"/>
      <c r="S26" s="775"/>
      <c r="T26" s="774"/>
      <c r="U26" s="775"/>
      <c r="V26" s="774"/>
      <c r="W26" s="775"/>
      <c r="X26" s="1816"/>
      <c r="Y26" s="3150"/>
      <c r="Z26" s="1817"/>
      <c r="AA26" s="1814">
        <v>1</v>
      </c>
      <c r="AB26" s="1814">
        <v>1</v>
      </c>
      <c r="AC26" s="2677">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7"/>
      <c r="Q27" s="1813" t="str">
        <f t="shared" ref="Q27:Q47" si="11">B27</f>
        <v>楼层</v>
      </c>
      <c r="R27" s="774" t="s">
        <v>17</v>
      </c>
      <c r="S27" s="775">
        <f>F27</f>
        <v>100</v>
      </c>
      <c r="T27" s="774" t="s">
        <v>17</v>
      </c>
      <c r="U27" s="775">
        <f>H27</f>
        <v>100</v>
      </c>
      <c r="V27" s="774" t="s">
        <v>17</v>
      </c>
      <c r="W27" s="775">
        <f>J27</f>
        <v>100</v>
      </c>
      <c r="X27" s="1816"/>
      <c r="Y27" s="3150"/>
      <c r="Z27" s="1817" t="str">
        <f>Q27</f>
        <v>楼层</v>
      </c>
      <c r="AA27" s="1814">
        <f t="shared" si="3"/>
        <v>1</v>
      </c>
      <c r="AB27" s="1814">
        <f t="shared" si="4"/>
        <v>1</v>
      </c>
      <c r="AC27" s="2677">
        <f t="shared" si="5"/>
        <v>1</v>
      </c>
    </row>
    <row r="28" spans="1:29" s="117" customFormat="1" ht="15">
      <c r="A28" s="431"/>
      <c r="B28" s="631" t="s">
        <v>2681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7"/>
      <c r="Q28" s="1798" t="str">
        <f t="shared" si="11"/>
        <v>朝向</v>
      </c>
      <c r="R28" s="770" t="s">
        <v>17</v>
      </c>
      <c r="S28" s="771">
        <f>F28</f>
        <v>100</v>
      </c>
      <c r="T28" s="770" t="s">
        <v>17</v>
      </c>
      <c r="U28" s="771">
        <f>H28</f>
        <v>100</v>
      </c>
      <c r="V28" s="770" t="s">
        <v>17</v>
      </c>
      <c r="W28" s="771">
        <f>J28</f>
        <v>100</v>
      </c>
      <c r="X28" s="772"/>
      <c r="Y28" s="315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7"/>
      <c r="Q29" s="1813">
        <f t="shared" si="11"/>
        <v>111</v>
      </c>
      <c r="R29" s="774" t="s">
        <v>17</v>
      </c>
      <c r="S29" s="775">
        <f t="shared" ref="S29:S47" si="12">F29</f>
        <v>100</v>
      </c>
      <c r="T29" s="774" t="s">
        <v>17</v>
      </c>
      <c r="U29" s="775">
        <f t="shared" ref="U29:U47" si="13">H29</f>
        <v>100</v>
      </c>
      <c r="V29" s="774" t="s">
        <v>17</v>
      </c>
      <c r="W29" s="775">
        <f t="shared" ref="W29:W47" si="14">J29</f>
        <v>100</v>
      </c>
      <c r="X29" s="1816"/>
      <c r="Y29" s="315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7"/>
      <c r="Q30" s="1813">
        <f t="shared" si="11"/>
        <v>111</v>
      </c>
      <c r="R30" s="774" t="s">
        <v>17</v>
      </c>
      <c r="S30" s="775">
        <f t="shared" si="12"/>
        <v>100</v>
      </c>
      <c r="T30" s="774" t="s">
        <v>17</v>
      </c>
      <c r="U30" s="775">
        <f t="shared" si="13"/>
        <v>100</v>
      </c>
      <c r="V30" s="774" t="s">
        <v>17</v>
      </c>
      <c r="W30" s="775">
        <f t="shared" si="14"/>
        <v>100</v>
      </c>
      <c r="X30" s="1816"/>
      <c r="Y30" s="315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7"/>
      <c r="Q31" s="1813">
        <f t="shared" si="11"/>
        <v>111</v>
      </c>
      <c r="R31" s="774" t="s">
        <v>17</v>
      </c>
      <c r="S31" s="775">
        <f t="shared" si="12"/>
        <v>100</v>
      </c>
      <c r="T31" s="774" t="s">
        <v>17</v>
      </c>
      <c r="U31" s="775">
        <f t="shared" si="13"/>
        <v>100</v>
      </c>
      <c r="V31" s="774" t="s">
        <v>17</v>
      </c>
      <c r="W31" s="775">
        <f t="shared" si="14"/>
        <v>100</v>
      </c>
      <c r="X31" s="1816"/>
      <c r="Y31" s="315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7"/>
      <c r="Q32" s="1813">
        <f t="shared" si="11"/>
        <v>111</v>
      </c>
      <c r="R32" s="774" t="s">
        <v>17</v>
      </c>
      <c r="S32" s="775">
        <f t="shared" si="12"/>
        <v>100</v>
      </c>
      <c r="T32" s="774" t="s">
        <v>17</v>
      </c>
      <c r="U32" s="775">
        <f t="shared" si="13"/>
        <v>100</v>
      </c>
      <c r="V32" s="774" t="s">
        <v>17</v>
      </c>
      <c r="W32" s="775">
        <f t="shared" si="14"/>
        <v>100</v>
      </c>
      <c r="X32" s="1816"/>
      <c r="Y32" s="3150"/>
      <c r="Z32" s="1817">
        <f t="shared" si="15"/>
        <v>111</v>
      </c>
      <c r="AA32" s="1814">
        <f t="shared" si="3"/>
        <v>1</v>
      </c>
      <c r="AB32" s="1814">
        <f t="shared" si="4"/>
        <v>1</v>
      </c>
      <c r="AC32" s="2677">
        <f t="shared" si="5"/>
        <v>1</v>
      </c>
    </row>
    <row r="33" spans="1:29" ht="15">
      <c r="A33" s="440" t="s">
        <v>2552</v>
      </c>
      <c r="B33" s="71" t="s">
        <v>2682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22" t="s">
        <v>2554</v>
      </c>
      <c r="Q33" s="1813" t="str">
        <f t="shared" si="11"/>
        <v>建筑类型</v>
      </c>
      <c r="R33" s="774" t="s">
        <v>17</v>
      </c>
      <c r="S33" s="775">
        <f t="shared" si="12"/>
        <v>100</v>
      </c>
      <c r="T33" s="774" t="s">
        <v>17</v>
      </c>
      <c r="U33" s="775">
        <f t="shared" si="13"/>
        <v>100</v>
      </c>
      <c r="V33" s="774" t="s">
        <v>17</v>
      </c>
      <c r="W33" s="775">
        <f t="shared" si="14"/>
        <v>100</v>
      </c>
      <c r="X33" s="1816"/>
      <c r="Y33" s="3152" t="s">
        <v>2554</v>
      </c>
      <c r="Z33" s="1817" t="str">
        <f t="shared" si="15"/>
        <v>建筑类型</v>
      </c>
      <c r="AA33" s="1814">
        <f t="shared" si="3"/>
        <v>1</v>
      </c>
      <c r="AB33" s="1814">
        <f t="shared" si="4"/>
        <v>1</v>
      </c>
      <c r="AC33" s="2677">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3"/>
      <c r="Q34" s="776" t="str">
        <f t="shared" si="11"/>
        <v>项目建筑规模</v>
      </c>
      <c r="R34" s="777" t="s">
        <v>17</v>
      </c>
      <c r="S34" s="778" t="e">
        <f t="shared" si="12"/>
        <v>#N/A</v>
      </c>
      <c r="T34" s="777" t="s">
        <v>17</v>
      </c>
      <c r="U34" s="778" t="e">
        <f t="shared" si="13"/>
        <v>#N/A</v>
      </c>
      <c r="V34" s="777" t="s">
        <v>17</v>
      </c>
      <c r="W34" s="778" t="e">
        <f t="shared" si="14"/>
        <v>#N/A</v>
      </c>
      <c r="X34" s="779"/>
      <c r="Y34" s="3152"/>
      <c r="Z34" s="780" t="str">
        <f t="shared" si="15"/>
        <v>项目建筑规模</v>
      </c>
      <c r="AA34" s="1814" t="e">
        <f t="shared" si="3"/>
        <v>#N/A</v>
      </c>
      <c r="AB34" s="1814" t="e">
        <f t="shared" si="4"/>
        <v>#N/A</v>
      </c>
      <c r="AC34" s="2677"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3"/>
      <c r="Q35" s="1813" t="str">
        <f t="shared" si="11"/>
        <v>建筑结构</v>
      </c>
      <c r="R35" s="774" t="s">
        <v>17</v>
      </c>
      <c r="S35" s="775">
        <f t="shared" si="12"/>
        <v>100</v>
      </c>
      <c r="T35" s="774" t="s">
        <v>17</v>
      </c>
      <c r="U35" s="775">
        <f t="shared" si="13"/>
        <v>100</v>
      </c>
      <c r="V35" s="774" t="s">
        <v>17</v>
      </c>
      <c r="W35" s="775">
        <f t="shared" si="14"/>
        <v>100</v>
      </c>
      <c r="X35" s="1816"/>
      <c r="Y35" s="3152"/>
      <c r="Z35" s="1817" t="str">
        <f t="shared" si="15"/>
        <v>建筑结构</v>
      </c>
      <c r="AA35" s="1814">
        <f t="shared" si="3"/>
        <v>1</v>
      </c>
      <c r="AB35" s="1814">
        <f t="shared" si="4"/>
        <v>1</v>
      </c>
      <c r="AC35" s="2677">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3"/>
      <c r="Q36" s="1813" t="str">
        <f t="shared" si="11"/>
        <v>公共部分装修</v>
      </c>
      <c r="R36" s="774" t="s">
        <v>17</v>
      </c>
      <c r="S36" s="775">
        <f t="shared" si="12"/>
        <v>100</v>
      </c>
      <c r="T36" s="774" t="s">
        <v>17</v>
      </c>
      <c r="U36" s="775">
        <f t="shared" si="13"/>
        <v>100</v>
      </c>
      <c r="V36" s="774" t="s">
        <v>17</v>
      </c>
      <c r="W36" s="775">
        <f t="shared" si="14"/>
        <v>100</v>
      </c>
      <c r="X36" s="1816"/>
      <c r="Y36" s="3152"/>
      <c r="Z36" s="1817" t="str">
        <f t="shared" si="15"/>
        <v>公共部分装修</v>
      </c>
      <c r="AA36" s="1814">
        <f t="shared" si="3"/>
        <v>1</v>
      </c>
      <c r="AB36" s="1814">
        <f t="shared" si="4"/>
        <v>1</v>
      </c>
      <c r="AC36" s="2677">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3"/>
      <c r="Q37" s="1813" t="str">
        <f t="shared" si="11"/>
        <v>成新度</v>
      </c>
      <c r="R37" s="774" t="s">
        <v>17</v>
      </c>
      <c r="S37" s="775" t="e">
        <f t="shared" si="12"/>
        <v>#N/A</v>
      </c>
      <c r="T37" s="774" t="s">
        <v>17</v>
      </c>
      <c r="U37" s="775" t="e">
        <f t="shared" si="13"/>
        <v>#N/A</v>
      </c>
      <c r="V37" s="774" t="s">
        <v>17</v>
      </c>
      <c r="W37" s="775" t="e">
        <f t="shared" si="14"/>
        <v>#N/A</v>
      </c>
      <c r="X37" s="1816"/>
      <c r="Y37" s="3152"/>
      <c r="Z37" s="1817" t="str">
        <f t="shared" si="15"/>
        <v>成新度</v>
      </c>
      <c r="AA37" s="1814" t="e">
        <f t="shared" si="3"/>
        <v>#N/A</v>
      </c>
      <c r="AB37" s="1814" t="e">
        <f t="shared" si="4"/>
        <v>#N/A</v>
      </c>
      <c r="AC37" s="2677"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3"/>
      <c r="Q38" s="1798" t="str">
        <f t="shared" si="11"/>
        <v>写字楼等级</v>
      </c>
      <c r="R38" s="770" t="s">
        <v>17</v>
      </c>
      <c r="S38" s="771">
        <f t="shared" si="12"/>
        <v>100</v>
      </c>
      <c r="T38" s="770" t="s">
        <v>17</v>
      </c>
      <c r="U38" s="771">
        <f t="shared" si="13"/>
        <v>100</v>
      </c>
      <c r="V38" s="770" t="s">
        <v>17</v>
      </c>
      <c r="W38" s="771">
        <f t="shared" si="14"/>
        <v>100</v>
      </c>
      <c r="X38" s="772"/>
      <c r="Y38" s="3152"/>
      <c r="Z38" s="55" t="str">
        <f t="shared" si="15"/>
        <v>写字楼等级</v>
      </c>
      <c r="AA38" s="773">
        <f t="shared" si="3"/>
        <v>1</v>
      </c>
      <c r="AB38" s="773">
        <f t="shared" si="4"/>
        <v>1</v>
      </c>
      <c r="AC38" s="2674">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3" t="s">
        <v>2554</v>
      </c>
      <c r="Q39" s="1813" t="str">
        <f t="shared" si="11"/>
        <v>物业管理</v>
      </c>
      <c r="R39" s="774" t="s">
        <v>17</v>
      </c>
      <c r="S39" s="775">
        <f t="shared" si="12"/>
        <v>100</v>
      </c>
      <c r="T39" s="774" t="s">
        <v>17</v>
      </c>
      <c r="U39" s="775">
        <f t="shared" si="13"/>
        <v>100</v>
      </c>
      <c r="V39" s="774" t="s">
        <v>17</v>
      </c>
      <c r="W39" s="775">
        <f t="shared" si="14"/>
        <v>100</v>
      </c>
      <c r="X39" s="1816"/>
      <c r="Y39" s="3152" t="s">
        <v>2554</v>
      </c>
      <c r="Z39" s="1817" t="str">
        <f t="shared" si="15"/>
        <v>物业管理</v>
      </c>
      <c r="AA39" s="1814">
        <f t="shared" si="3"/>
        <v>1</v>
      </c>
      <c r="AB39" s="1814">
        <f t="shared" si="4"/>
        <v>1</v>
      </c>
      <c r="AC39" s="2677">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3"/>
      <c r="Q40" s="1813" t="str">
        <f t="shared" si="11"/>
        <v>市政基础设施</v>
      </c>
      <c r="R40" s="774" t="s">
        <v>17</v>
      </c>
      <c r="S40" s="775">
        <f t="shared" si="12"/>
        <v>100</v>
      </c>
      <c r="T40" s="774" t="s">
        <v>17</v>
      </c>
      <c r="U40" s="775">
        <f t="shared" si="13"/>
        <v>100</v>
      </c>
      <c r="V40" s="774" t="s">
        <v>17</v>
      </c>
      <c r="W40" s="775">
        <f t="shared" si="14"/>
        <v>100</v>
      </c>
      <c r="X40" s="1816"/>
      <c r="Y40" s="3152"/>
      <c r="Z40" s="1817" t="str">
        <f t="shared" si="15"/>
        <v>市政基础设施</v>
      </c>
      <c r="AA40" s="1814">
        <f t="shared" si="3"/>
        <v>1</v>
      </c>
      <c r="AB40" s="1814">
        <f t="shared" si="4"/>
        <v>1</v>
      </c>
      <c r="AC40" s="2677">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1813" t="str">
        <f t="shared" si="11"/>
        <v>层高</v>
      </c>
      <c r="R41" s="774" t="s">
        <v>17</v>
      </c>
      <c r="S41" s="775">
        <f t="shared" si="12"/>
        <v>100</v>
      </c>
      <c r="T41" s="774" t="s">
        <v>17</v>
      </c>
      <c r="U41" s="775">
        <f t="shared" si="13"/>
        <v>100</v>
      </c>
      <c r="V41" s="774" t="s">
        <v>17</v>
      </c>
      <c r="W41" s="775">
        <f t="shared" si="14"/>
        <v>100</v>
      </c>
      <c r="X41" s="1816"/>
      <c r="Y41" s="3152"/>
      <c r="Z41" s="1817" t="str">
        <f t="shared" si="15"/>
        <v>层高</v>
      </c>
      <c r="AA41" s="1814">
        <f t="shared" si="3"/>
        <v>1</v>
      </c>
      <c r="AB41" s="1814">
        <f t="shared" si="4"/>
        <v>1</v>
      </c>
      <c r="AC41" s="2677">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152"/>
      <c r="Z42" s="780" t="str">
        <f t="shared" si="15"/>
        <v>单套建筑面积</v>
      </c>
      <c r="AA42" s="1814">
        <f t="shared" si="3"/>
        <v>1</v>
      </c>
      <c r="AB42" s="1814">
        <f t="shared" si="4"/>
        <v>1</v>
      </c>
      <c r="AC42" s="2677">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3"/>
      <c r="Q43" s="1813" t="str">
        <f t="shared" si="11"/>
        <v>内部装修</v>
      </c>
      <c r="R43" s="774" t="s">
        <v>17</v>
      </c>
      <c r="S43" s="775">
        <f t="shared" si="12"/>
        <v>100</v>
      </c>
      <c r="T43" s="774" t="s">
        <v>17</v>
      </c>
      <c r="U43" s="775">
        <f t="shared" si="13"/>
        <v>100</v>
      </c>
      <c r="V43" s="774" t="s">
        <v>17</v>
      </c>
      <c r="W43" s="775">
        <f t="shared" si="14"/>
        <v>100</v>
      </c>
      <c r="X43" s="1816"/>
      <c r="Y43" s="3152"/>
      <c r="Z43" s="1817" t="str">
        <f t="shared" si="15"/>
        <v>内部装修</v>
      </c>
      <c r="AA43" s="1814">
        <f t="shared" si="3"/>
        <v>1</v>
      </c>
      <c r="AB43" s="1814">
        <f t="shared" si="4"/>
        <v>1</v>
      </c>
      <c r="AC43" s="2677">
        <f t="shared" si="5"/>
        <v>1</v>
      </c>
    </row>
    <row r="44" spans="1:29" ht="15">
      <c r="A44" s="472"/>
      <c r="B44" s="422" t="s">
        <v>2565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23"/>
      <c r="Q44" s="1813" t="str">
        <f t="shared" si="11"/>
        <v>内部装修维护情况</v>
      </c>
      <c r="R44" s="774" t="s">
        <v>17</v>
      </c>
      <c r="S44" s="775">
        <f t="shared" si="12"/>
        <v>100</v>
      </c>
      <c r="T44" s="774" t="s">
        <v>17</v>
      </c>
      <c r="U44" s="775">
        <f t="shared" si="13"/>
        <v>100</v>
      </c>
      <c r="V44" s="774" t="s">
        <v>17</v>
      </c>
      <c r="W44" s="775">
        <f t="shared" si="14"/>
        <v>100</v>
      </c>
      <c r="X44" s="1816"/>
      <c r="Y44" s="315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1798">
        <f t="shared" si="11"/>
        <v>111</v>
      </c>
      <c r="R45" s="770" t="s">
        <v>17</v>
      </c>
      <c r="S45" s="771">
        <f t="shared" si="12"/>
        <v>100</v>
      </c>
      <c r="T45" s="770" t="s">
        <v>17</v>
      </c>
      <c r="U45" s="771">
        <f t="shared" si="13"/>
        <v>100</v>
      </c>
      <c r="V45" s="770" t="s">
        <v>17</v>
      </c>
      <c r="W45" s="771">
        <f t="shared" si="14"/>
        <v>100</v>
      </c>
      <c r="X45" s="772"/>
      <c r="Y45" s="315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15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1813">
        <f t="shared" si="11"/>
        <v>111</v>
      </c>
      <c r="R47" s="774" t="s">
        <v>17</v>
      </c>
      <c r="S47" s="775">
        <f t="shared" si="12"/>
        <v>100</v>
      </c>
      <c r="T47" s="774" t="s">
        <v>17</v>
      </c>
      <c r="U47" s="775">
        <f t="shared" si="13"/>
        <v>100</v>
      </c>
      <c r="V47" s="774" t="s">
        <v>17</v>
      </c>
      <c r="W47" s="775">
        <f t="shared" si="14"/>
        <v>100</v>
      </c>
      <c r="X47" s="1816"/>
      <c r="Y47" s="3225"/>
      <c r="Z47" s="1817">
        <f t="shared" si="15"/>
        <v>111</v>
      </c>
      <c r="AA47" s="1814">
        <f t="shared" si="3"/>
        <v>1</v>
      </c>
      <c r="AB47" s="1814">
        <f t="shared" si="4"/>
        <v>1</v>
      </c>
      <c r="AC47" s="2677">
        <f t="shared" si="5"/>
        <v>1</v>
      </c>
    </row>
    <row r="48" spans="1:29" ht="15">
      <c r="A48" s="479" t="s">
        <v>2566</v>
      </c>
      <c r="B48" s="480"/>
      <c r="C48" s="1410" t="s">
        <v>1</v>
      </c>
      <c r="D48" s="1411"/>
      <c r="E48" s="1412"/>
      <c r="F48" s="1413"/>
      <c r="G48" s="1414"/>
      <c r="H48" s="1415"/>
      <c r="I48" s="1412"/>
      <c r="J48" s="485"/>
      <c r="K48" s="783"/>
      <c r="L48" s="1146"/>
      <c r="M48" s="1134"/>
      <c r="N48" s="1134"/>
      <c r="O48" s="1134"/>
      <c r="P48" s="3171" t="str">
        <f>A48</f>
        <v>成交单价（元/平方米）</v>
      </c>
      <c r="Q48" s="3146"/>
      <c r="R48" s="3221">
        <f>E48</f>
        <v>0</v>
      </c>
      <c r="S48" s="3221"/>
      <c r="T48" s="3221">
        <f>G48</f>
        <v>0</v>
      </c>
      <c r="U48" s="3221"/>
      <c r="V48" s="3221">
        <f>I48</f>
        <v>0</v>
      </c>
      <c r="W48" s="3221"/>
      <c r="X48" s="446"/>
      <c r="Y48" s="781"/>
      <c r="Z48" s="446"/>
      <c r="AA48" s="446"/>
      <c r="AB48" s="446"/>
      <c r="AC48" s="630"/>
    </row>
    <row r="49" spans="1:29" ht="15.7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46"/>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2659</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4"/>
      <c r="Q58" s="504"/>
    </row>
    <row r="59" spans="1:29" s="508" customFormat="1" ht="15">
      <c r="A59" s="505" t="s">
        <v>2537</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2574</v>
      </c>
      <c r="B61" s="516"/>
      <c r="C61" s="517"/>
      <c r="D61" s="518"/>
      <c r="E61" s="518"/>
      <c r="F61" s="518"/>
      <c r="G61" s="518"/>
      <c r="H61" s="518"/>
      <c r="I61" s="518"/>
      <c r="J61" s="518"/>
      <c r="K61" s="518"/>
      <c r="L61" s="518"/>
      <c r="M61" s="519"/>
      <c r="N61" s="518"/>
      <c r="O61" s="519"/>
      <c r="P61" s="2685"/>
      <c r="Q61" s="504"/>
    </row>
    <row r="62" spans="1:29" s="117" customFormat="1" ht="15">
      <c r="A62" s="521" t="s">
        <v>2539</v>
      </c>
      <c r="B62" s="510"/>
      <c r="C62" s="522" t="s">
        <v>2641</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2577</v>
      </c>
      <c r="B64" s="528" t="s">
        <v>2543</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2688</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2552</v>
      </c>
      <c r="B101" s="528" t="s">
        <v>2601</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2603</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2605</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2606</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2607</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2690</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2609</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受贵公司委托，我公司对上海市山阳镇阳乐路188号房地产抵押价值进行了预评估。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估价对象为上海市山阳镇阳乐路188号房地产，为上海同百投资管理有限公司所有。根据《房屋所有权证》，估价对象（分摊）出让国有建设用地使用权面积为35092平方米，建筑面积为17787.51平方米。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山阳镇阳乐路188号房地产,为上海同百投资管理有限公司开发建设的工业项目，该项目尚在开发建设中。根据《房屋所有权证》，估价对象（分摊）出让国有建设用地使用权面积为35092平方米，规划建筑面积为17787.51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上海市山阳镇阳乐路188号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2018年4月27日（评估专业人员实地查勘之日）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27日，估价对象规划用途为工业，土地取得方式为出让，出让国有建设用地使用权剩余土地使用年限为38.36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38.36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2" t="s">
        <v>2691</v>
      </c>
      <c r="C1" s="1623" t="s">
        <v>2519</v>
      </c>
      <c r="D1" s="1624"/>
      <c r="E1" s="1633"/>
      <c r="F1" s="2587"/>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89"/>
      <c r="D2" s="1127" t="e">
        <f ca="1">SUMIF(INDIRECT("'"&amp;F2&amp;"'"&amp;"!A:A"),"承租人权益价值",INDIRECT("'"&amp;F2&amp;"'"&amp;"!c:c"))</f>
        <v>#REF!</v>
      </c>
      <c r="E2" s="2590" t="s">
        <v>2317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17787.509999999998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56" t="s">
        <v>2635</v>
      </c>
      <c r="D4" s="3157"/>
      <c r="E4" s="3158" t="s">
        <v>2636</v>
      </c>
      <c r="F4" s="3159"/>
      <c r="G4" s="3156" t="s">
        <v>2637</v>
      </c>
      <c r="H4" s="3157"/>
      <c r="I4" s="3156" t="s">
        <v>2638</v>
      </c>
      <c r="J4" s="3157"/>
      <c r="K4" s="610" t="s">
        <v>2639</v>
      </c>
      <c r="L4" s="1133"/>
      <c r="M4" s="1134"/>
      <c r="N4" s="1134"/>
      <c r="O4" s="1134"/>
      <c r="P4" s="3160" t="s">
        <v>2640</v>
      </c>
      <c r="Q4" s="3161"/>
      <c r="R4" s="3173" t="s">
        <v>2636</v>
      </c>
      <c r="S4" s="3174"/>
      <c r="T4" s="3173" t="s">
        <v>2637</v>
      </c>
      <c r="U4" s="3174"/>
      <c r="V4" s="3148" t="s">
        <v>2638</v>
      </c>
      <c r="W4" s="3148"/>
      <c r="X4" s="1816"/>
      <c r="Y4" s="3173" t="s">
        <v>2640</v>
      </c>
      <c r="Z4" s="3174"/>
      <c r="AA4" s="3153" t="s">
        <v>2636</v>
      </c>
      <c r="AB4" s="3154" t="s">
        <v>2637</v>
      </c>
      <c r="AC4" s="3153" t="s">
        <v>2638</v>
      </c>
    </row>
    <row r="5" spans="1:29" ht="15">
      <c r="A5" s="404"/>
      <c r="B5" s="405"/>
      <c r="C5" s="3177" t="s">
        <v>2531</v>
      </c>
      <c r="D5" s="3178"/>
      <c r="E5" s="3166" t="s">
        <v>2532</v>
      </c>
      <c r="F5" s="3167"/>
      <c r="G5" s="3177" t="s">
        <v>2533</v>
      </c>
      <c r="H5" s="3178"/>
      <c r="I5" s="3177" t="s">
        <v>2534</v>
      </c>
      <c r="J5" s="3178"/>
      <c r="K5" s="610"/>
      <c r="L5" s="1133"/>
      <c r="M5" s="1134"/>
      <c r="N5" s="1134"/>
      <c r="O5" s="1134"/>
      <c r="P5" s="3162"/>
      <c r="Q5" s="3163"/>
      <c r="R5" s="3175"/>
      <c r="S5" s="3176"/>
      <c r="T5" s="3175"/>
      <c r="U5" s="3176"/>
      <c r="V5" s="3148"/>
      <c r="W5" s="3148"/>
      <c r="X5" s="1816"/>
      <c r="Y5" s="3175"/>
      <c r="Z5" s="3176"/>
      <c r="AA5" s="3154"/>
      <c r="AB5" s="3154"/>
      <c r="AC5" s="3154"/>
    </row>
    <row r="6" spans="1:29" ht="15.75" thickBot="1">
      <c r="A6" s="406"/>
      <c r="B6" s="407"/>
      <c r="C6" s="3216" t="s">
        <v>2535</v>
      </c>
      <c r="D6" s="3217"/>
      <c r="E6" s="3218" t="s">
        <v>2535</v>
      </c>
      <c r="F6" s="3219"/>
      <c r="G6" s="3216" t="s">
        <v>2535</v>
      </c>
      <c r="H6" s="3217"/>
      <c r="I6" s="3216" t="s">
        <v>2535</v>
      </c>
      <c r="J6" s="3217"/>
      <c r="K6" s="610" t="s">
        <v>2536</v>
      </c>
      <c r="L6" s="1133"/>
      <c r="M6" s="1134"/>
      <c r="N6" s="1134"/>
      <c r="O6" s="1134"/>
      <c r="P6" s="3164"/>
      <c r="Q6" s="3165"/>
      <c r="R6" s="3175"/>
      <c r="S6" s="3176"/>
      <c r="T6" s="3184"/>
      <c r="U6" s="3185"/>
      <c r="V6" s="3148"/>
      <c r="W6" s="3148"/>
      <c r="X6" s="1816"/>
      <c r="Y6" s="3184"/>
      <c r="Z6" s="3185"/>
      <c r="AA6" s="3155"/>
      <c r="AB6" s="3155"/>
      <c r="AC6" s="3155"/>
    </row>
    <row r="7" spans="1:29" s="117" customFormat="1" ht="15.75" thickBot="1">
      <c r="A7" s="408" t="s">
        <v>2537</v>
      </c>
      <c r="B7" s="409"/>
      <c r="C7" s="410">
        <f>'数据-取费表'!B2</f>
        <v>43217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2538</v>
      </c>
      <c r="Q7" s="3181"/>
      <c r="R7" s="770" t="s">
        <v>17</v>
      </c>
      <c r="S7" s="771">
        <f t="shared" ref="S7:S15" si="0">F7</f>
        <v>0</v>
      </c>
      <c r="T7" s="770" t="s">
        <v>17</v>
      </c>
      <c r="U7" s="771">
        <f t="shared" ref="U7:U15" si="1">H7</f>
        <v>0</v>
      </c>
      <c r="V7" s="770" t="s">
        <v>17</v>
      </c>
      <c r="W7" s="771">
        <f t="shared" ref="W7:W15" si="2">J7</f>
        <v>0</v>
      </c>
      <c r="X7" s="772"/>
      <c r="Y7" s="3168" t="s">
        <v>2538</v>
      </c>
      <c r="Z7" s="3169"/>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2541</v>
      </c>
      <c r="Q8" s="3169"/>
      <c r="R8" s="770" t="s">
        <v>17</v>
      </c>
      <c r="S8" s="771">
        <f t="shared" si="0"/>
        <v>0</v>
      </c>
      <c r="T8" s="770" t="s">
        <v>17</v>
      </c>
      <c r="U8" s="771">
        <f t="shared" si="1"/>
        <v>0</v>
      </c>
      <c r="V8" s="770" t="s">
        <v>17</v>
      </c>
      <c r="W8" s="771">
        <f t="shared" si="2"/>
        <v>0</v>
      </c>
      <c r="X8" s="772"/>
      <c r="Y8" s="3168" t="s">
        <v>2541</v>
      </c>
      <c r="Z8" s="3169"/>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46" t="s">
        <v>2544</v>
      </c>
      <c r="Q9" s="1798" t="str">
        <f t="shared" ref="Q9:Q15" si="6">B9</f>
        <v>用途</v>
      </c>
      <c r="R9" s="770" t="s">
        <v>17</v>
      </c>
      <c r="S9" s="771">
        <f t="shared" si="0"/>
        <v>100</v>
      </c>
      <c r="T9" s="770" t="s">
        <v>17</v>
      </c>
      <c r="U9" s="771">
        <f t="shared" si="1"/>
        <v>100</v>
      </c>
      <c r="V9" s="770" t="s">
        <v>17</v>
      </c>
      <c r="W9" s="771">
        <f t="shared" si="2"/>
        <v>100</v>
      </c>
      <c r="X9" s="772"/>
      <c r="Y9" s="302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46"/>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46"/>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46"/>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46"/>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46"/>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2548</v>
      </c>
      <c r="B15" s="69" t="s">
        <v>2692</v>
      </c>
      <c r="C15" s="2696"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49" t="s">
        <v>2549</v>
      </c>
      <c r="Q15" s="1813" t="str">
        <f t="shared" si="6"/>
        <v>产业集聚程度</v>
      </c>
      <c r="R15" s="774" t="s">
        <v>17</v>
      </c>
      <c r="S15" s="775">
        <f t="shared" si="0"/>
        <v>100</v>
      </c>
      <c r="T15" s="774" t="s">
        <v>17</v>
      </c>
      <c r="U15" s="775">
        <f t="shared" si="1"/>
        <v>100</v>
      </c>
      <c r="V15" s="774" t="s">
        <v>17</v>
      </c>
      <c r="W15" s="775">
        <f t="shared" si="2"/>
        <v>100</v>
      </c>
      <c r="X15" s="1816"/>
      <c r="Y15" s="3149"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0"/>
      <c r="Q16" s="1813"/>
      <c r="R16" s="774"/>
      <c r="S16" s="775"/>
      <c r="T16" s="774"/>
      <c r="U16" s="775"/>
      <c r="V16" s="774"/>
      <c r="W16" s="775"/>
      <c r="X16" s="1816"/>
      <c r="Y16" s="3150"/>
      <c r="Z16" s="1817"/>
      <c r="AA16" s="1814">
        <v>1</v>
      </c>
      <c r="AB16" s="1814">
        <v>1</v>
      </c>
      <c r="AC16" s="1814">
        <v>1</v>
      </c>
    </row>
    <row r="17" spans="1:29" ht="15">
      <c r="A17" s="428"/>
      <c r="B17" s="451" t="s">
        <v>2088</v>
      </c>
      <c r="C17" s="2610"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0"/>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50"/>
      <c r="Q18" s="1813"/>
      <c r="R18" s="774"/>
      <c r="S18" s="775"/>
      <c r="T18" s="774"/>
      <c r="U18" s="775"/>
      <c r="V18" s="774"/>
      <c r="W18" s="775"/>
      <c r="X18" s="1816"/>
      <c r="Y18" s="3150"/>
      <c r="Z18" s="1817"/>
      <c r="AA18" s="1814">
        <v>1</v>
      </c>
      <c r="AB18" s="1814">
        <v>1</v>
      </c>
      <c r="AC18" s="1814">
        <v>1</v>
      </c>
    </row>
    <row r="19" spans="1:29" ht="15">
      <c r="A19" s="428"/>
      <c r="B19" s="451" t="s">
        <v>2677</v>
      </c>
      <c r="C19" s="2610" t="str">
        <f>估价对象房地状况!G5</f>
        <v>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0"/>
      <c r="Q19" s="1813" t="str">
        <f>B19</f>
        <v>公共配套设施</v>
      </c>
      <c r="R19" s="774" t="s">
        <v>17</v>
      </c>
      <c r="S19" s="775">
        <f>F19</f>
        <v>100</v>
      </c>
      <c r="T19" s="774" t="s">
        <v>17</v>
      </c>
      <c r="U19" s="775">
        <f>H19</f>
        <v>100</v>
      </c>
      <c r="V19" s="774" t="s">
        <v>17</v>
      </c>
      <c r="W19" s="775">
        <f>J19</f>
        <v>100</v>
      </c>
      <c r="X19" s="1816"/>
      <c r="Y19" s="315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50"/>
      <c r="Q20" s="1813"/>
      <c r="R20" s="774"/>
      <c r="S20" s="775"/>
      <c r="T20" s="774"/>
      <c r="U20" s="775"/>
      <c r="V20" s="774"/>
      <c r="W20" s="775"/>
      <c r="X20" s="1816"/>
      <c r="Y20" s="3150"/>
      <c r="Z20" s="1817"/>
      <c r="AA20" s="1814">
        <v>1</v>
      </c>
      <c r="AB20" s="1814">
        <v>1</v>
      </c>
      <c r="AC20" s="1814">
        <v>1</v>
      </c>
    </row>
    <row r="21" spans="1:29" ht="15">
      <c r="A21" s="428"/>
      <c r="B21" s="1387" t="s">
        <v>2678</v>
      </c>
      <c r="C21" s="2610" t="str">
        <f>估价对象房地状况!G6</f>
        <v>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0"/>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50"/>
      <c r="Q22" s="1813"/>
      <c r="R22" s="774"/>
      <c r="S22" s="775"/>
      <c r="T22" s="774"/>
      <c r="U22" s="775"/>
      <c r="V22" s="774"/>
      <c r="W22" s="775"/>
      <c r="X22" s="1816"/>
      <c r="Y22" s="3150"/>
      <c r="Z22" s="1817"/>
      <c r="AA22" s="1814">
        <v>1</v>
      </c>
      <c r="AB22" s="1814">
        <v>1</v>
      </c>
      <c r="AC22" s="1814">
        <v>1</v>
      </c>
    </row>
    <row r="23" spans="1:29" ht="15">
      <c r="A23" s="428"/>
      <c r="B23" s="451" t="s">
        <v>2679</v>
      </c>
      <c r="C23" s="2610"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0"/>
      <c r="Q23" s="1813" t="str">
        <f>B23</f>
        <v>环境质量</v>
      </c>
      <c r="R23" s="774" t="s">
        <v>17</v>
      </c>
      <c r="S23" s="775">
        <f>F23</f>
        <v>100</v>
      </c>
      <c r="T23" s="774" t="s">
        <v>17</v>
      </c>
      <c r="U23" s="775">
        <f>H23</f>
        <v>100</v>
      </c>
      <c r="V23" s="774" t="s">
        <v>17</v>
      </c>
      <c r="W23" s="775">
        <f>J23</f>
        <v>100</v>
      </c>
      <c r="X23" s="1816"/>
      <c r="Y23" s="3150"/>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50"/>
      <c r="Q24" s="1813"/>
      <c r="R24" s="774"/>
      <c r="S24" s="775"/>
      <c r="T24" s="774"/>
      <c r="U24" s="775"/>
      <c r="V24" s="774"/>
      <c r="W24" s="775"/>
      <c r="X24" s="1816"/>
      <c r="Y24" s="315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0"/>
      <c r="Q25" s="1813">
        <f>B25</f>
        <v>111</v>
      </c>
      <c r="R25" s="774" t="s">
        <v>17</v>
      </c>
      <c r="S25" s="775">
        <f>F25</f>
        <v>100</v>
      </c>
      <c r="T25" s="774" t="s">
        <v>17</v>
      </c>
      <c r="U25" s="775">
        <f>H25</f>
        <v>100</v>
      </c>
      <c r="V25" s="774" t="s">
        <v>17</v>
      </c>
      <c r="W25" s="775">
        <f>J25</f>
        <v>100</v>
      </c>
      <c r="X25" s="1816"/>
      <c r="Y25" s="315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0"/>
      <c r="Q26" s="1813">
        <f t="shared" ref="Q26:Q40" si="11">B26</f>
        <v>111</v>
      </c>
      <c r="R26" s="774" t="s">
        <v>17</v>
      </c>
      <c r="S26" s="775">
        <f>F26</f>
        <v>100</v>
      </c>
      <c r="T26" s="774" t="s">
        <v>17</v>
      </c>
      <c r="U26" s="775">
        <f>H26</f>
        <v>100</v>
      </c>
      <c r="V26" s="774" t="s">
        <v>17</v>
      </c>
      <c r="W26" s="775">
        <f>J26</f>
        <v>100</v>
      </c>
      <c r="X26" s="1816"/>
      <c r="Y26" s="315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0"/>
      <c r="Q27" s="1798">
        <f t="shared" si="11"/>
        <v>111</v>
      </c>
      <c r="R27" s="770" t="s">
        <v>17</v>
      </c>
      <c r="S27" s="771">
        <f>F27</f>
        <v>100</v>
      </c>
      <c r="T27" s="770" t="s">
        <v>17</v>
      </c>
      <c r="U27" s="771">
        <f>H27</f>
        <v>100</v>
      </c>
      <c r="V27" s="770" t="s">
        <v>17</v>
      </c>
      <c r="W27" s="771">
        <f>J27</f>
        <v>100</v>
      </c>
      <c r="X27" s="772"/>
      <c r="Y27" s="315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0"/>
      <c r="Q28" s="1813">
        <f t="shared" si="11"/>
        <v>111</v>
      </c>
      <c r="R28" s="774" t="s">
        <v>17</v>
      </c>
      <c r="S28" s="775">
        <f t="shared" ref="S28:S40" si="12">F28</f>
        <v>100</v>
      </c>
      <c r="T28" s="774" t="s">
        <v>17</v>
      </c>
      <c r="U28" s="775">
        <f t="shared" ref="U28:U40" si="13">H28</f>
        <v>100</v>
      </c>
      <c r="V28" s="774" t="s">
        <v>17</v>
      </c>
      <c r="W28" s="775">
        <f t="shared" ref="W28:W40" si="14">J28</f>
        <v>100</v>
      </c>
      <c r="X28" s="1816"/>
      <c r="Y28" s="3150"/>
      <c r="Z28" s="1817">
        <f t="shared" ref="Z28:Z40" si="15">Q28</f>
        <v>111</v>
      </c>
      <c r="AA28" s="1814">
        <f t="shared" si="3"/>
        <v>1</v>
      </c>
      <c r="AB28" s="1814">
        <f t="shared" si="4"/>
        <v>1</v>
      </c>
      <c r="AC28" s="1814">
        <f t="shared" si="5"/>
        <v>1</v>
      </c>
    </row>
    <row r="29" spans="1:29" ht="15">
      <c r="A29" s="466" t="s">
        <v>2552</v>
      </c>
      <c r="B29" s="71" t="s">
        <v>2682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51" t="s">
        <v>2554</v>
      </c>
      <c r="Q29" s="1813" t="str">
        <f t="shared" si="11"/>
        <v>建筑类型</v>
      </c>
      <c r="R29" s="774" t="s">
        <v>17</v>
      </c>
      <c r="S29" s="775">
        <f t="shared" si="12"/>
        <v>100</v>
      </c>
      <c r="T29" s="774" t="s">
        <v>17</v>
      </c>
      <c r="U29" s="775">
        <f t="shared" si="13"/>
        <v>100</v>
      </c>
      <c r="V29" s="774" t="s">
        <v>17</v>
      </c>
      <c r="W29" s="775">
        <f t="shared" si="14"/>
        <v>100</v>
      </c>
      <c r="X29" s="1816"/>
      <c r="Y29" s="3152"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2"/>
      <c r="Q30" s="776" t="str">
        <f t="shared" si="11"/>
        <v>项目建筑规模</v>
      </c>
      <c r="R30" s="777" t="s">
        <v>17</v>
      </c>
      <c r="S30" s="778" t="e">
        <f t="shared" si="12"/>
        <v>#N/A</v>
      </c>
      <c r="T30" s="777" t="s">
        <v>17</v>
      </c>
      <c r="U30" s="778" t="e">
        <f t="shared" si="13"/>
        <v>#N/A</v>
      </c>
      <c r="V30" s="777" t="s">
        <v>17</v>
      </c>
      <c r="W30" s="778" t="e">
        <f t="shared" si="14"/>
        <v>#N/A</v>
      </c>
      <c r="X30" s="779"/>
      <c r="Y30" s="3152"/>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2"/>
      <c r="Q31" s="1813" t="str">
        <f t="shared" si="11"/>
        <v>建筑结构</v>
      </c>
      <c r="R31" s="774" t="s">
        <v>17</v>
      </c>
      <c r="S31" s="775">
        <f t="shared" si="12"/>
        <v>100</v>
      </c>
      <c r="T31" s="774" t="s">
        <v>17</v>
      </c>
      <c r="U31" s="775">
        <f t="shared" si="13"/>
        <v>100</v>
      </c>
      <c r="V31" s="774" t="s">
        <v>17</v>
      </c>
      <c r="W31" s="775">
        <f t="shared" si="14"/>
        <v>100</v>
      </c>
      <c r="X31" s="1816"/>
      <c r="Y31" s="3152"/>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2"/>
      <c r="Q32" s="1813" t="str">
        <f t="shared" si="11"/>
        <v>公共部分装修</v>
      </c>
      <c r="R32" s="774" t="s">
        <v>17</v>
      </c>
      <c r="S32" s="775">
        <f t="shared" si="12"/>
        <v>100</v>
      </c>
      <c r="T32" s="774" t="s">
        <v>17</v>
      </c>
      <c r="U32" s="775">
        <f t="shared" si="13"/>
        <v>100</v>
      </c>
      <c r="V32" s="774" t="s">
        <v>17</v>
      </c>
      <c r="W32" s="775">
        <f t="shared" si="14"/>
        <v>100</v>
      </c>
      <c r="X32" s="1816"/>
      <c r="Y32" s="3152"/>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2"/>
      <c r="Q33" s="1813" t="str">
        <f t="shared" si="11"/>
        <v>成新度</v>
      </c>
      <c r="R33" s="774" t="s">
        <v>17</v>
      </c>
      <c r="S33" s="775" t="e">
        <f t="shared" si="12"/>
        <v>#N/A</v>
      </c>
      <c r="T33" s="774" t="s">
        <v>17</v>
      </c>
      <c r="U33" s="775" t="e">
        <f t="shared" si="13"/>
        <v>#N/A</v>
      </c>
      <c r="V33" s="774" t="s">
        <v>17</v>
      </c>
      <c r="W33" s="775" t="e">
        <f t="shared" si="14"/>
        <v>#N/A</v>
      </c>
      <c r="X33" s="1816"/>
      <c r="Y33" s="3152"/>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2"/>
      <c r="Q34" s="1798" t="str">
        <f t="shared" si="11"/>
        <v>物业管理</v>
      </c>
      <c r="R34" s="770" t="s">
        <v>17</v>
      </c>
      <c r="S34" s="771">
        <f t="shared" si="12"/>
        <v>100</v>
      </c>
      <c r="T34" s="770" t="s">
        <v>17</v>
      </c>
      <c r="U34" s="771">
        <f t="shared" si="13"/>
        <v>100</v>
      </c>
      <c r="V34" s="770" t="s">
        <v>17</v>
      </c>
      <c r="W34" s="771">
        <f t="shared" si="14"/>
        <v>100</v>
      </c>
      <c r="X34" s="772"/>
      <c r="Y34" s="3152"/>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2" t="s">
        <v>2554</v>
      </c>
      <c r="Q35" s="1813" t="str">
        <f t="shared" si="11"/>
        <v>市政基础设施</v>
      </c>
      <c r="R35" s="774" t="s">
        <v>17</v>
      </c>
      <c r="S35" s="775">
        <f t="shared" si="12"/>
        <v>100</v>
      </c>
      <c r="T35" s="774" t="s">
        <v>17</v>
      </c>
      <c r="U35" s="775">
        <f t="shared" si="13"/>
        <v>100</v>
      </c>
      <c r="V35" s="774" t="s">
        <v>17</v>
      </c>
      <c r="W35" s="775">
        <f t="shared" si="14"/>
        <v>100</v>
      </c>
      <c r="X35" s="1816"/>
      <c r="Y35" s="3152"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2"/>
      <c r="Q36" s="1813" t="str">
        <f t="shared" si="11"/>
        <v>内部装修</v>
      </c>
      <c r="R36" s="774" t="s">
        <v>17</v>
      </c>
      <c r="S36" s="775">
        <f t="shared" si="12"/>
        <v>100</v>
      </c>
      <c r="T36" s="774" t="s">
        <v>17</v>
      </c>
      <c r="U36" s="775">
        <f t="shared" si="13"/>
        <v>100</v>
      </c>
      <c r="V36" s="774" t="s">
        <v>17</v>
      </c>
      <c r="W36" s="775">
        <f t="shared" si="14"/>
        <v>100</v>
      </c>
      <c r="X36" s="1816"/>
      <c r="Y36" s="3152"/>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2"/>
      <c r="Q37" s="1813" t="str">
        <f t="shared" si="11"/>
        <v>内部装修状况</v>
      </c>
      <c r="R37" s="774" t="s">
        <v>17</v>
      </c>
      <c r="S37" s="775">
        <f t="shared" si="12"/>
        <v>100</v>
      </c>
      <c r="T37" s="774" t="s">
        <v>17</v>
      </c>
      <c r="U37" s="775">
        <f t="shared" si="13"/>
        <v>100</v>
      </c>
      <c r="V37" s="774" t="s">
        <v>17</v>
      </c>
      <c r="W37" s="775">
        <f t="shared" si="14"/>
        <v>100</v>
      </c>
      <c r="X37" s="1816"/>
      <c r="Y37" s="315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2"/>
      <c r="Q38" s="776">
        <f t="shared" si="11"/>
        <v>111</v>
      </c>
      <c r="R38" s="777" t="s">
        <v>17</v>
      </c>
      <c r="S38" s="778">
        <f t="shared" si="12"/>
        <v>100</v>
      </c>
      <c r="T38" s="777" t="s">
        <v>17</v>
      </c>
      <c r="U38" s="778">
        <f t="shared" si="13"/>
        <v>100</v>
      </c>
      <c r="V38" s="777" t="s">
        <v>17</v>
      </c>
      <c r="W38" s="778">
        <f t="shared" si="14"/>
        <v>100</v>
      </c>
      <c r="X38" s="779"/>
      <c r="Y38" s="315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2"/>
      <c r="Q39" s="1813">
        <f t="shared" si="11"/>
        <v>111</v>
      </c>
      <c r="R39" s="774" t="s">
        <v>17</v>
      </c>
      <c r="S39" s="775">
        <f t="shared" si="12"/>
        <v>100</v>
      </c>
      <c r="T39" s="774" t="s">
        <v>17</v>
      </c>
      <c r="U39" s="775">
        <f t="shared" si="13"/>
        <v>100</v>
      </c>
      <c r="V39" s="774" t="s">
        <v>17</v>
      </c>
      <c r="W39" s="775">
        <f t="shared" si="14"/>
        <v>100</v>
      </c>
      <c r="X39" s="1816"/>
      <c r="Y39" s="315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5"/>
      <c r="Q40" s="1813">
        <f t="shared" si="11"/>
        <v>111</v>
      </c>
      <c r="R40" s="774" t="s">
        <v>17</v>
      </c>
      <c r="S40" s="775">
        <f t="shared" si="12"/>
        <v>100</v>
      </c>
      <c r="T40" s="774" t="s">
        <v>17</v>
      </c>
      <c r="U40" s="775">
        <f t="shared" si="13"/>
        <v>100</v>
      </c>
      <c r="V40" s="774" t="s">
        <v>17</v>
      </c>
      <c r="W40" s="775">
        <f t="shared" si="14"/>
        <v>100</v>
      </c>
      <c r="X40" s="1816"/>
      <c r="Y40" s="3225"/>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146" t="str">
        <f>A41</f>
        <v>成交单价（元/平方米）</v>
      </c>
      <c r="Q41" s="3146"/>
      <c r="R41" s="3221">
        <f>E41</f>
        <v>0</v>
      </c>
      <c r="S41" s="3221"/>
      <c r="T41" s="3221">
        <f>G41</f>
        <v>0</v>
      </c>
      <c r="U41" s="3221"/>
      <c r="V41" s="3221">
        <f>I41</f>
        <v>0</v>
      </c>
      <c r="W41" s="3221"/>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46" t="str">
        <f>A42</f>
        <v>比较价值（元/平方米）</v>
      </c>
      <c r="Q42" s="3146"/>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143" t="str">
        <f>A43</f>
        <v>估价对象XX用房的比较价值（楼面单价，元/平方米）</v>
      </c>
      <c r="Q43" s="3144"/>
      <c r="R43" s="3220" t="e">
        <f>IF(F1="售价",ROUND(AVERAGE(R42:V42),0),ROUND(AVERAGE(R42:V42),1))</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87"/>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89"/>
      <c r="D2" s="1127" t="e">
        <f ca="1">SUMIF(INDIRECT("'"&amp;F2&amp;"'"&amp;"!A:A"),"承租人权益价值",INDIRECT("'"&amp;F2&amp;"'"&amp;"!c:c"))</f>
        <v>#REF!</v>
      </c>
      <c r="E2" s="2590" t="s">
        <v>2317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156" t="s">
        <v>2635</v>
      </c>
      <c r="D4" s="3157"/>
      <c r="E4" s="3158" t="s">
        <v>2636</v>
      </c>
      <c r="F4" s="3159"/>
      <c r="G4" s="3156" t="s">
        <v>2637</v>
      </c>
      <c r="H4" s="3157"/>
      <c r="I4" s="3156" t="s">
        <v>2638</v>
      </c>
      <c r="J4" s="3157"/>
      <c r="K4" s="610" t="s">
        <v>2639</v>
      </c>
      <c r="L4" s="1133"/>
      <c r="M4" s="1134"/>
      <c r="N4" s="1134"/>
      <c r="O4" s="1134"/>
      <c r="P4" s="3160" t="s">
        <v>2640</v>
      </c>
      <c r="Q4" s="3161"/>
      <c r="R4" s="3173" t="s">
        <v>2636</v>
      </c>
      <c r="S4" s="3174"/>
      <c r="T4" s="3173" t="s">
        <v>2637</v>
      </c>
      <c r="U4" s="3174"/>
      <c r="V4" s="3148" t="s">
        <v>2638</v>
      </c>
      <c r="W4" s="3148"/>
      <c r="X4" s="1816"/>
      <c r="Y4" s="3173" t="s">
        <v>2640</v>
      </c>
      <c r="Z4" s="3174"/>
      <c r="AA4" s="3153" t="s">
        <v>2636</v>
      </c>
      <c r="AB4" s="3154" t="s">
        <v>2637</v>
      </c>
      <c r="AC4" s="3153" t="s">
        <v>2638</v>
      </c>
    </row>
    <row r="5" spans="1:29" ht="15">
      <c r="A5" s="404"/>
      <c r="B5" s="405"/>
      <c r="C5" s="3177" t="s">
        <v>2531</v>
      </c>
      <c r="D5" s="3178"/>
      <c r="E5" s="3166" t="s">
        <v>2532</v>
      </c>
      <c r="F5" s="3167"/>
      <c r="G5" s="3177" t="s">
        <v>2533</v>
      </c>
      <c r="H5" s="3178"/>
      <c r="I5" s="3177" t="s">
        <v>2534</v>
      </c>
      <c r="J5" s="3178"/>
      <c r="K5" s="610"/>
      <c r="L5" s="1133"/>
      <c r="M5" s="1134"/>
      <c r="N5" s="1134"/>
      <c r="O5" s="1134"/>
      <c r="P5" s="3162"/>
      <c r="Q5" s="3163"/>
      <c r="R5" s="3175"/>
      <c r="S5" s="3176"/>
      <c r="T5" s="3175"/>
      <c r="U5" s="3176"/>
      <c r="V5" s="3148"/>
      <c r="W5" s="3148"/>
      <c r="X5" s="1816"/>
      <c r="Y5" s="3175"/>
      <c r="Z5" s="3176"/>
      <c r="AA5" s="3154"/>
      <c r="AB5" s="3154"/>
      <c r="AC5" s="3154"/>
    </row>
    <row r="6" spans="1:29" ht="15.75" thickBot="1">
      <c r="A6" s="406"/>
      <c r="B6" s="407"/>
      <c r="C6" s="3216" t="s">
        <v>2535</v>
      </c>
      <c r="D6" s="3217"/>
      <c r="E6" s="3218" t="s">
        <v>2535</v>
      </c>
      <c r="F6" s="3219"/>
      <c r="G6" s="3216" t="s">
        <v>2535</v>
      </c>
      <c r="H6" s="3217"/>
      <c r="I6" s="3216" t="s">
        <v>2535</v>
      </c>
      <c r="J6" s="3217"/>
      <c r="K6" s="610" t="s">
        <v>2536</v>
      </c>
      <c r="L6" s="1133"/>
      <c r="M6" s="1134"/>
      <c r="N6" s="1134"/>
      <c r="O6" s="1134"/>
      <c r="P6" s="3164"/>
      <c r="Q6" s="3165"/>
      <c r="R6" s="3175"/>
      <c r="S6" s="3176"/>
      <c r="T6" s="3184"/>
      <c r="U6" s="3185"/>
      <c r="V6" s="3148"/>
      <c r="W6" s="3148"/>
      <c r="X6" s="1816"/>
      <c r="Y6" s="3184"/>
      <c r="Z6" s="3185"/>
      <c r="AA6" s="3155"/>
      <c r="AB6" s="3155"/>
      <c r="AC6" s="3155"/>
    </row>
    <row r="7" spans="1:29" s="117" customFormat="1" ht="15.75" thickBot="1">
      <c r="A7" s="408" t="s">
        <v>2537</v>
      </c>
      <c r="B7" s="409"/>
      <c r="C7" s="410">
        <f>'数据-取费表'!B2</f>
        <v>43217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2538</v>
      </c>
      <c r="Q7" s="3181"/>
      <c r="R7" s="770" t="s">
        <v>17</v>
      </c>
      <c r="S7" s="771">
        <f t="shared" ref="S7:S14" si="0">F7</f>
        <v>0</v>
      </c>
      <c r="T7" s="770" t="s">
        <v>17</v>
      </c>
      <c r="U7" s="771">
        <f t="shared" ref="U7:U14" si="1">H7</f>
        <v>0</v>
      </c>
      <c r="V7" s="770" t="s">
        <v>17</v>
      </c>
      <c r="W7" s="771">
        <f t="shared" ref="W7:W14" si="2">J7</f>
        <v>0</v>
      </c>
      <c r="X7" s="772"/>
      <c r="Y7" s="3168" t="s">
        <v>2538</v>
      </c>
      <c r="Z7" s="3169"/>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2541</v>
      </c>
      <c r="Q8" s="3169"/>
      <c r="R8" s="770" t="s">
        <v>17</v>
      </c>
      <c r="S8" s="771">
        <f t="shared" si="0"/>
        <v>0</v>
      </c>
      <c r="T8" s="770" t="s">
        <v>17</v>
      </c>
      <c r="U8" s="771">
        <f t="shared" si="1"/>
        <v>0</v>
      </c>
      <c r="V8" s="770" t="s">
        <v>17</v>
      </c>
      <c r="W8" s="771">
        <f t="shared" si="2"/>
        <v>0</v>
      </c>
      <c r="X8" s="772"/>
      <c r="Y8" s="3168" t="s">
        <v>2541</v>
      </c>
      <c r="Z8" s="3169"/>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46" t="s">
        <v>2544</v>
      </c>
      <c r="Q9" s="1798" t="str">
        <f t="shared" ref="Q9:Q14" si="6">B9</f>
        <v>用途</v>
      </c>
      <c r="R9" s="770" t="s">
        <v>17</v>
      </c>
      <c r="S9" s="771">
        <f t="shared" si="0"/>
        <v>100</v>
      </c>
      <c r="T9" s="770" t="s">
        <v>17</v>
      </c>
      <c r="U9" s="771">
        <f t="shared" si="1"/>
        <v>100</v>
      </c>
      <c r="V9" s="770" t="s">
        <v>17</v>
      </c>
      <c r="W9" s="771">
        <f t="shared" si="2"/>
        <v>100</v>
      </c>
      <c r="X9" s="772"/>
      <c r="Y9" s="3023"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46"/>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46"/>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46"/>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46"/>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
      <c r="A14" s="401" t="s">
        <v>2548</v>
      </c>
      <c r="B14" s="629" t="s">
        <v>2698</v>
      </c>
      <c r="C14" s="269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49" t="s">
        <v>2549</v>
      </c>
      <c r="Q14" s="1813" t="str">
        <f t="shared" si="6"/>
        <v>交通便捷度</v>
      </c>
      <c r="R14" s="774" t="s">
        <v>17</v>
      </c>
      <c r="S14" s="775">
        <f t="shared" si="0"/>
        <v>100</v>
      </c>
      <c r="T14" s="774" t="s">
        <v>17</v>
      </c>
      <c r="U14" s="775">
        <f t="shared" si="1"/>
        <v>100</v>
      </c>
      <c r="V14" s="774" t="s">
        <v>17</v>
      </c>
      <c r="W14" s="775">
        <f t="shared" si="2"/>
        <v>100</v>
      </c>
      <c r="X14" s="1816"/>
      <c r="Y14" s="3149"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0"/>
      <c r="Q15" s="1813"/>
      <c r="R15" s="774"/>
      <c r="S15" s="775"/>
      <c r="T15" s="774"/>
      <c r="U15" s="775"/>
      <c r="V15" s="774"/>
      <c r="W15" s="775"/>
      <c r="X15" s="1816"/>
      <c r="Y15" s="3150"/>
      <c r="Z15" s="1817"/>
      <c r="AA15" s="1814">
        <v>1</v>
      </c>
      <c r="AB15" s="1814">
        <v>1</v>
      </c>
      <c r="AC15" s="1814">
        <v>1</v>
      </c>
    </row>
    <row r="16" spans="1:29" ht="15">
      <c r="A16" s="404"/>
      <c r="B16" s="631" t="s">
        <v>2677</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0"/>
      <c r="Q16" s="1813" t="str">
        <f>B16</f>
        <v>公共配套设施</v>
      </c>
      <c r="R16" s="774" t="s">
        <v>17</v>
      </c>
      <c r="S16" s="775">
        <f>F16</f>
        <v>100</v>
      </c>
      <c r="T16" s="774" t="s">
        <v>17</v>
      </c>
      <c r="U16" s="775">
        <f>H16</f>
        <v>100</v>
      </c>
      <c r="V16" s="774" t="s">
        <v>17</v>
      </c>
      <c r="W16" s="775">
        <f>J16</f>
        <v>100</v>
      </c>
      <c r="X16" s="1816"/>
      <c r="Y16" s="315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50"/>
      <c r="Q17" s="1813"/>
      <c r="R17" s="774"/>
      <c r="S17" s="775"/>
      <c r="T17" s="774"/>
      <c r="U17" s="775"/>
      <c r="V17" s="774"/>
      <c r="W17" s="775"/>
      <c r="X17" s="1816"/>
      <c r="Y17" s="3150"/>
      <c r="Z17" s="1817"/>
      <c r="AA17" s="1814">
        <v>1</v>
      </c>
      <c r="AB17" s="1814">
        <v>1</v>
      </c>
      <c r="AC17" s="1814">
        <v>1</v>
      </c>
    </row>
    <row r="18" spans="1:29" ht="15">
      <c r="A18" s="404"/>
      <c r="B18" s="633" t="s">
        <v>2678</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0"/>
      <c r="Q18" s="1813" t="str">
        <f>B18</f>
        <v>基础设施水平</v>
      </c>
      <c r="R18" s="774" t="s">
        <v>17</v>
      </c>
      <c r="S18" s="775">
        <f>F18</f>
        <v>100</v>
      </c>
      <c r="T18" s="774" t="s">
        <v>17</v>
      </c>
      <c r="U18" s="775">
        <f>H18</f>
        <v>100</v>
      </c>
      <c r="V18" s="774" t="s">
        <v>17</v>
      </c>
      <c r="W18" s="775">
        <f>J18</f>
        <v>100</v>
      </c>
      <c r="X18" s="1816"/>
      <c r="Y18" s="315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50"/>
      <c r="Q19" s="1813"/>
      <c r="R19" s="774"/>
      <c r="S19" s="775"/>
      <c r="T19" s="774"/>
      <c r="U19" s="775"/>
      <c r="V19" s="774"/>
      <c r="W19" s="775"/>
      <c r="X19" s="1816"/>
      <c r="Y19" s="3150"/>
      <c r="Z19" s="1817"/>
      <c r="AA19" s="1814">
        <v>1</v>
      </c>
      <c r="AB19" s="1814">
        <v>1</v>
      </c>
      <c r="AC19" s="1814">
        <v>1</v>
      </c>
    </row>
    <row r="20" spans="1:29" ht="15">
      <c r="A20" s="404"/>
      <c r="B20" s="631" t="s">
        <v>2699</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0"/>
      <c r="Q20" s="1813" t="str">
        <f>B20</f>
        <v>自然及人文环境</v>
      </c>
      <c r="R20" s="774" t="s">
        <v>17</v>
      </c>
      <c r="S20" s="775">
        <f>F20</f>
        <v>100</v>
      </c>
      <c r="T20" s="774" t="s">
        <v>17</v>
      </c>
      <c r="U20" s="775">
        <f>H20</f>
        <v>100</v>
      </c>
      <c r="V20" s="774" t="s">
        <v>17</v>
      </c>
      <c r="W20" s="775">
        <f>J20</f>
        <v>100</v>
      </c>
      <c r="X20" s="1816"/>
      <c r="Y20" s="315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0"/>
      <c r="Q21" s="1813"/>
      <c r="R21" s="774"/>
      <c r="S21" s="775"/>
      <c r="T21" s="774"/>
      <c r="U21" s="775"/>
      <c r="V21" s="774"/>
      <c r="W21" s="775"/>
      <c r="X21" s="1816"/>
      <c r="Y21" s="3150"/>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0"/>
      <c r="Q22" s="1813" t="str">
        <f>B22</f>
        <v>楼层</v>
      </c>
      <c r="R22" s="774" t="s">
        <v>17</v>
      </c>
      <c r="S22" s="775">
        <f>F22</f>
        <v>100</v>
      </c>
      <c r="T22" s="774" t="s">
        <v>17</v>
      </c>
      <c r="U22" s="775">
        <f>H22</f>
        <v>100</v>
      </c>
      <c r="V22" s="774" t="s">
        <v>17</v>
      </c>
      <c r="W22" s="775">
        <f>J22</f>
        <v>100</v>
      </c>
      <c r="X22" s="1816"/>
      <c r="Y22" s="315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0"/>
      <c r="Q23" s="1813">
        <f>B23</f>
        <v>111</v>
      </c>
      <c r="R23" s="774" t="s">
        <v>17</v>
      </c>
      <c r="S23" s="775">
        <f>F23</f>
        <v>100</v>
      </c>
      <c r="T23" s="774" t="s">
        <v>17</v>
      </c>
      <c r="U23" s="775">
        <f>H23</f>
        <v>100</v>
      </c>
      <c r="V23" s="774" t="s">
        <v>17</v>
      </c>
      <c r="W23" s="775">
        <f>J23</f>
        <v>100</v>
      </c>
      <c r="X23" s="1816"/>
      <c r="Y23" s="315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0"/>
      <c r="Q24" s="1813">
        <f t="shared" ref="Q24:Q36" si="11">B24</f>
        <v>111</v>
      </c>
      <c r="R24" s="774" t="s">
        <v>17</v>
      </c>
      <c r="S24" s="775">
        <f>F24</f>
        <v>100</v>
      </c>
      <c r="T24" s="774" t="s">
        <v>17</v>
      </c>
      <c r="U24" s="775">
        <f>H24</f>
        <v>100</v>
      </c>
      <c r="V24" s="774" t="s">
        <v>17</v>
      </c>
      <c r="W24" s="775">
        <f>J24</f>
        <v>100</v>
      </c>
      <c r="X24" s="1816"/>
      <c r="Y24" s="315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0"/>
      <c r="Q25" s="1798">
        <f t="shared" si="11"/>
        <v>111</v>
      </c>
      <c r="R25" s="770" t="s">
        <v>17</v>
      </c>
      <c r="S25" s="771">
        <f>F25</f>
        <v>100</v>
      </c>
      <c r="T25" s="770" t="s">
        <v>17</v>
      </c>
      <c r="U25" s="771">
        <f>H25</f>
        <v>100</v>
      </c>
      <c r="V25" s="770" t="s">
        <v>17</v>
      </c>
      <c r="W25" s="771">
        <f>J25</f>
        <v>100</v>
      </c>
      <c r="X25" s="772"/>
      <c r="Y25" s="3150"/>
      <c r="Z25" s="55">
        <f>Q25</f>
        <v>111</v>
      </c>
      <c r="AA25" s="1814">
        <f>D25/F25</f>
        <v>1</v>
      </c>
      <c r="AB25" s="1814">
        <f>D25/H25</f>
        <v>1</v>
      </c>
      <c r="AC25" s="1814">
        <f>D25/J25</f>
        <v>1</v>
      </c>
    </row>
    <row r="26" spans="1:29" ht="15">
      <c r="A26" s="652" t="s">
        <v>2552</v>
      </c>
      <c r="B26" s="70" t="s">
        <v>2701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1"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2"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2"/>
      <c r="Q27" s="776" t="str">
        <f t="shared" si="11"/>
        <v>项目停车位配比</v>
      </c>
      <c r="R27" s="777" t="s">
        <v>17</v>
      </c>
      <c r="S27" s="778">
        <f t="shared" si="12"/>
        <v>100</v>
      </c>
      <c r="T27" s="777" t="s">
        <v>17</v>
      </c>
      <c r="U27" s="778">
        <f t="shared" si="13"/>
        <v>100</v>
      </c>
      <c r="V27" s="777" t="s">
        <v>17</v>
      </c>
      <c r="W27" s="778">
        <f t="shared" si="14"/>
        <v>100</v>
      </c>
      <c r="X27" s="779"/>
      <c r="Y27" s="3152"/>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2"/>
      <c r="Q28" s="1813" t="str">
        <f t="shared" si="11"/>
        <v>公共部分装修</v>
      </c>
      <c r="R28" s="774" t="s">
        <v>17</v>
      </c>
      <c r="S28" s="775">
        <f t="shared" si="12"/>
        <v>100</v>
      </c>
      <c r="T28" s="774" t="s">
        <v>17</v>
      </c>
      <c r="U28" s="775">
        <f t="shared" si="13"/>
        <v>100</v>
      </c>
      <c r="V28" s="774" t="s">
        <v>17</v>
      </c>
      <c r="W28" s="775">
        <f t="shared" si="14"/>
        <v>100</v>
      </c>
      <c r="X28" s="1816"/>
      <c r="Y28" s="3152"/>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2"/>
      <c r="Q29" s="1813" t="str">
        <f t="shared" si="11"/>
        <v>成新率</v>
      </c>
      <c r="R29" s="774" t="s">
        <v>17</v>
      </c>
      <c r="S29" s="775" t="e">
        <f t="shared" si="12"/>
        <v>#N/A</v>
      </c>
      <c r="T29" s="774" t="s">
        <v>17</v>
      </c>
      <c r="U29" s="775" t="e">
        <f t="shared" si="13"/>
        <v>#N/A</v>
      </c>
      <c r="V29" s="774" t="s">
        <v>17</v>
      </c>
      <c r="W29" s="775" t="e">
        <f t="shared" si="14"/>
        <v>#N/A</v>
      </c>
      <c r="X29" s="1816"/>
      <c r="Y29" s="3152"/>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2"/>
      <c r="Q30" s="1813" t="str">
        <f t="shared" si="11"/>
        <v>物业等级</v>
      </c>
      <c r="R30" s="774" t="s">
        <v>17</v>
      </c>
      <c r="S30" s="775">
        <f t="shared" si="12"/>
        <v>100</v>
      </c>
      <c r="T30" s="774" t="s">
        <v>17</v>
      </c>
      <c r="U30" s="775">
        <f t="shared" si="13"/>
        <v>100</v>
      </c>
      <c r="V30" s="774" t="s">
        <v>17</v>
      </c>
      <c r="W30" s="775">
        <f t="shared" si="14"/>
        <v>100</v>
      </c>
      <c r="X30" s="1816"/>
      <c r="Y30" s="3152"/>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2"/>
      <c r="Q31" s="1798" t="str">
        <f t="shared" si="11"/>
        <v>停车位面积</v>
      </c>
      <c r="R31" s="770" t="s">
        <v>17</v>
      </c>
      <c r="S31" s="771" t="e">
        <f t="shared" si="12"/>
        <v>#N/A</v>
      </c>
      <c r="T31" s="770" t="s">
        <v>17</v>
      </c>
      <c r="U31" s="771" t="e">
        <f t="shared" si="13"/>
        <v>#N/A</v>
      </c>
      <c r="V31" s="770" t="s">
        <v>17</v>
      </c>
      <c r="W31" s="771" t="e">
        <f t="shared" si="14"/>
        <v>#N/A</v>
      </c>
      <c r="X31" s="772"/>
      <c r="Y31" s="3152"/>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2" t="s">
        <v>2554</v>
      </c>
      <c r="Q32" s="1813" t="str">
        <f t="shared" si="11"/>
        <v>车位类型</v>
      </c>
      <c r="R32" s="774" t="s">
        <v>17</v>
      </c>
      <c r="S32" s="775">
        <f t="shared" si="12"/>
        <v>100</v>
      </c>
      <c r="T32" s="774" t="s">
        <v>17</v>
      </c>
      <c r="U32" s="775">
        <f t="shared" si="13"/>
        <v>100</v>
      </c>
      <c r="V32" s="774" t="s">
        <v>17</v>
      </c>
      <c r="W32" s="775">
        <f t="shared" si="14"/>
        <v>100</v>
      </c>
      <c r="X32" s="1816"/>
      <c r="Y32" s="3152"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2"/>
      <c r="Q33" s="1813" t="str">
        <f t="shared" si="11"/>
        <v>是否直接入户</v>
      </c>
      <c r="R33" s="774" t="s">
        <v>17</v>
      </c>
      <c r="S33" s="775">
        <f t="shared" si="12"/>
        <v>100</v>
      </c>
      <c r="T33" s="774" t="s">
        <v>17</v>
      </c>
      <c r="U33" s="775">
        <f t="shared" si="13"/>
        <v>100</v>
      </c>
      <c r="V33" s="774" t="s">
        <v>17</v>
      </c>
      <c r="W33" s="775">
        <f t="shared" si="14"/>
        <v>100</v>
      </c>
      <c r="X33" s="1816"/>
      <c r="Y33" s="315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2"/>
      <c r="Q34" s="1813">
        <f t="shared" si="11"/>
        <v>111</v>
      </c>
      <c r="R34" s="774" t="s">
        <v>17</v>
      </c>
      <c r="S34" s="775">
        <f t="shared" si="12"/>
        <v>100</v>
      </c>
      <c r="T34" s="774" t="s">
        <v>17</v>
      </c>
      <c r="U34" s="775">
        <f t="shared" si="13"/>
        <v>100</v>
      </c>
      <c r="V34" s="774" t="s">
        <v>17</v>
      </c>
      <c r="W34" s="775">
        <f t="shared" si="14"/>
        <v>100</v>
      </c>
      <c r="X34" s="1816"/>
      <c r="Y34" s="315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2"/>
      <c r="Q35" s="776">
        <f t="shared" si="11"/>
        <v>111</v>
      </c>
      <c r="R35" s="777" t="s">
        <v>17</v>
      </c>
      <c r="S35" s="778">
        <f t="shared" si="12"/>
        <v>100</v>
      </c>
      <c r="T35" s="777" t="s">
        <v>17</v>
      </c>
      <c r="U35" s="778">
        <f t="shared" si="13"/>
        <v>100</v>
      </c>
      <c r="V35" s="777" t="s">
        <v>17</v>
      </c>
      <c r="W35" s="778">
        <f t="shared" si="14"/>
        <v>100</v>
      </c>
      <c r="X35" s="779"/>
      <c r="Y35" s="315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2"/>
      <c r="Q36" s="1813">
        <f t="shared" si="11"/>
        <v>111</v>
      </c>
      <c r="R36" s="774" t="s">
        <v>17</v>
      </c>
      <c r="S36" s="775">
        <f t="shared" si="12"/>
        <v>100</v>
      </c>
      <c r="T36" s="774" t="s">
        <v>17</v>
      </c>
      <c r="U36" s="775">
        <f t="shared" si="13"/>
        <v>100</v>
      </c>
      <c r="V36" s="774" t="s">
        <v>17</v>
      </c>
      <c r="W36" s="775">
        <f t="shared" si="14"/>
        <v>100</v>
      </c>
      <c r="X36" s="1816"/>
      <c r="Y36" s="3152"/>
      <c r="Z36" s="1817">
        <f t="shared" si="15"/>
        <v>111</v>
      </c>
      <c r="AA36" s="1814">
        <f t="shared" si="3"/>
        <v>1</v>
      </c>
      <c r="AB36" s="1814">
        <f t="shared" si="4"/>
        <v>1</v>
      </c>
      <c r="AC36" s="1814">
        <f t="shared" si="5"/>
        <v>1</v>
      </c>
    </row>
    <row r="37" spans="1:29" ht="15">
      <c r="A37" s="479" t="s">
        <v>2709</v>
      </c>
      <c r="B37" s="2698" t="s">
        <v>2710</v>
      </c>
      <c r="C37" s="1410" t="s">
        <v>1</v>
      </c>
      <c r="D37" s="1411"/>
      <c r="E37" s="1412"/>
      <c r="F37" s="1413"/>
      <c r="G37" s="1414"/>
      <c r="H37" s="1415"/>
      <c r="I37" s="1412"/>
      <c r="J37" s="1415"/>
      <c r="K37" s="619"/>
      <c r="L37" s="1146"/>
      <c r="M37" s="1147"/>
      <c r="N37" s="1134"/>
      <c r="O37" s="1147"/>
      <c r="P37" s="3146" t="str">
        <f>A37</f>
        <v>成交单价</v>
      </c>
      <c r="Q37" s="3146"/>
      <c r="R37" s="3221">
        <f>E37</f>
        <v>0</v>
      </c>
      <c r="S37" s="3221"/>
      <c r="T37" s="3221">
        <f>G37</f>
        <v>0</v>
      </c>
      <c r="U37" s="3221"/>
      <c r="V37" s="3221">
        <f>I37</f>
        <v>0</v>
      </c>
      <c r="W37" s="3221"/>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46" t="str">
        <f>A38</f>
        <v>比较价值（元/平方米）</v>
      </c>
      <c r="Q38" s="3146"/>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143" t="str">
        <f>A39</f>
        <v>估价对象XX用房的比较价值（楼面单价，元/平方米）</v>
      </c>
      <c r="Q39" s="3144"/>
      <c r="R39" s="3220" t="e">
        <f>IF(F1="售价",ROUND(AVERAGE(R38:V38),0),ROUND(AVERAGE(R38:V38),1))</f>
        <v>#DIV/0!</v>
      </c>
      <c r="S39" s="3220"/>
      <c r="T39" s="3220"/>
      <c r="U39" s="3220"/>
      <c r="V39" s="3220"/>
      <c r="W39" s="322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87"/>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89"/>
      <c r="D2" s="1127" t="e">
        <f ca="1">SUMIF(INDIRECT("'"&amp;F2&amp;"'"&amp;"!A:A"),"承租人权益价值",INDIRECT("'"&amp;F2&amp;"'"&amp;"!c:c"))</f>
        <v>#REF!</v>
      </c>
      <c r="E2" s="2590" t="s">
        <v>2317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56" t="s">
        <v>2635</v>
      </c>
      <c r="D4" s="3157"/>
      <c r="E4" s="3158" t="s">
        <v>2636</v>
      </c>
      <c r="F4" s="3159"/>
      <c r="G4" s="3156" t="s">
        <v>2637</v>
      </c>
      <c r="H4" s="3157"/>
      <c r="I4" s="3156" t="s">
        <v>2638</v>
      </c>
      <c r="J4" s="3157"/>
      <c r="K4" s="610" t="s">
        <v>2639</v>
      </c>
      <c r="L4" s="1133"/>
      <c r="M4" s="1134"/>
      <c r="N4" s="1134"/>
      <c r="O4" s="1134"/>
      <c r="P4" s="3160" t="s">
        <v>2640</v>
      </c>
      <c r="Q4" s="3161"/>
      <c r="R4" s="3173" t="s">
        <v>2636</v>
      </c>
      <c r="S4" s="3174"/>
      <c r="T4" s="3173" t="s">
        <v>2637</v>
      </c>
      <c r="U4" s="3174"/>
      <c r="V4" s="3148" t="s">
        <v>2638</v>
      </c>
      <c r="W4" s="3148"/>
      <c r="X4" s="1816"/>
      <c r="Y4" s="3173" t="s">
        <v>2640</v>
      </c>
      <c r="Z4" s="3174"/>
      <c r="AA4" s="3153" t="s">
        <v>2636</v>
      </c>
      <c r="AB4" s="3154" t="s">
        <v>2637</v>
      </c>
      <c r="AC4" s="3153" t="s">
        <v>2638</v>
      </c>
    </row>
    <row r="5" spans="1:29" ht="15">
      <c r="A5" s="404"/>
      <c r="B5" s="405"/>
      <c r="C5" s="3177" t="s">
        <v>2531</v>
      </c>
      <c r="D5" s="3178"/>
      <c r="E5" s="3166" t="s">
        <v>2532</v>
      </c>
      <c r="F5" s="3167"/>
      <c r="G5" s="3177" t="s">
        <v>2533</v>
      </c>
      <c r="H5" s="3178"/>
      <c r="I5" s="3177" t="s">
        <v>2534</v>
      </c>
      <c r="J5" s="3178"/>
      <c r="K5" s="610"/>
      <c r="L5" s="1133"/>
      <c r="M5" s="1134"/>
      <c r="N5" s="1134"/>
      <c r="O5" s="1134"/>
      <c r="P5" s="3162"/>
      <c r="Q5" s="3163"/>
      <c r="R5" s="3175"/>
      <c r="S5" s="3176"/>
      <c r="T5" s="3175"/>
      <c r="U5" s="3176"/>
      <c r="V5" s="3148"/>
      <c r="W5" s="3148"/>
      <c r="X5" s="1816"/>
      <c r="Y5" s="3175"/>
      <c r="Z5" s="3176"/>
      <c r="AA5" s="3154"/>
      <c r="AB5" s="3154"/>
      <c r="AC5" s="3154"/>
    </row>
    <row r="6" spans="1:29" ht="15.75" thickBot="1">
      <c r="A6" s="406"/>
      <c r="B6" s="407"/>
      <c r="C6" s="3216" t="s">
        <v>2535</v>
      </c>
      <c r="D6" s="3217"/>
      <c r="E6" s="3218" t="s">
        <v>2535</v>
      </c>
      <c r="F6" s="3219"/>
      <c r="G6" s="3216" t="s">
        <v>2535</v>
      </c>
      <c r="H6" s="3217"/>
      <c r="I6" s="3216" t="s">
        <v>2535</v>
      </c>
      <c r="J6" s="3217"/>
      <c r="K6" s="610" t="s">
        <v>2536</v>
      </c>
      <c r="L6" s="1133"/>
      <c r="M6" s="1134"/>
      <c r="N6" s="1134"/>
      <c r="O6" s="1134"/>
      <c r="P6" s="3164"/>
      <c r="Q6" s="3165"/>
      <c r="R6" s="3175"/>
      <c r="S6" s="3176"/>
      <c r="T6" s="3184"/>
      <c r="U6" s="3185"/>
      <c r="V6" s="3148"/>
      <c r="W6" s="3148"/>
      <c r="X6" s="1816"/>
      <c r="Y6" s="3184"/>
      <c r="Z6" s="3185"/>
      <c r="AA6" s="3155"/>
      <c r="AB6" s="3155"/>
      <c r="AC6" s="3155"/>
    </row>
    <row r="7" spans="1:29" s="117" customFormat="1" ht="15.75" thickBot="1">
      <c r="A7" s="408" t="s">
        <v>2537</v>
      </c>
      <c r="B7" s="409"/>
      <c r="C7" s="410">
        <f>'数据-取费表'!B2</f>
        <v>43217</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68" t="s">
        <v>2538</v>
      </c>
      <c r="Q7" s="3181"/>
      <c r="R7" s="770" t="s">
        <v>17</v>
      </c>
      <c r="S7" s="771">
        <f t="shared" ref="S7:S14" si="0">F7</f>
        <v>0</v>
      </c>
      <c r="T7" s="770" t="s">
        <v>17</v>
      </c>
      <c r="U7" s="771">
        <f t="shared" ref="U7:U14" si="1">H7</f>
        <v>0</v>
      </c>
      <c r="V7" s="770" t="s">
        <v>17</v>
      </c>
      <c r="W7" s="771">
        <f t="shared" ref="W7:W14" si="2">J7</f>
        <v>0</v>
      </c>
      <c r="X7" s="772"/>
      <c r="Y7" s="3168" t="s">
        <v>2538</v>
      </c>
      <c r="Z7" s="3169"/>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2541</v>
      </c>
      <c r="Q8" s="3169"/>
      <c r="R8" s="770" t="s">
        <v>17</v>
      </c>
      <c r="S8" s="771">
        <f t="shared" si="0"/>
        <v>0</v>
      </c>
      <c r="T8" s="770" t="s">
        <v>17</v>
      </c>
      <c r="U8" s="771">
        <f t="shared" si="1"/>
        <v>0</v>
      </c>
      <c r="V8" s="770" t="s">
        <v>17</v>
      </c>
      <c r="W8" s="771">
        <f t="shared" si="2"/>
        <v>0</v>
      </c>
      <c r="X8" s="772"/>
      <c r="Y8" s="3168" t="s">
        <v>2541</v>
      </c>
      <c r="Z8" s="3169"/>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46" t="s">
        <v>2544</v>
      </c>
      <c r="Q9" s="1798" t="str">
        <f t="shared" ref="Q9:Q14" si="6">B9</f>
        <v>用途</v>
      </c>
      <c r="R9" s="770" t="s">
        <v>17</v>
      </c>
      <c r="S9" s="771">
        <f t="shared" si="0"/>
        <v>100</v>
      </c>
      <c r="T9" s="770" t="s">
        <v>17</v>
      </c>
      <c r="U9" s="771">
        <f t="shared" si="1"/>
        <v>100</v>
      </c>
      <c r="V9" s="770" t="s">
        <v>17</v>
      </c>
      <c r="W9" s="771">
        <f t="shared" si="2"/>
        <v>100</v>
      </c>
      <c r="X9" s="772"/>
      <c r="Y9" s="3023"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46"/>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46"/>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46"/>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46"/>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
      <c r="A14" s="440" t="s">
        <v>2548</v>
      </c>
      <c r="B14" s="69" t="s">
        <v>2698</v>
      </c>
      <c r="C14" s="269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49" t="s">
        <v>2549</v>
      </c>
      <c r="Q14" s="1813" t="str">
        <f t="shared" si="6"/>
        <v>交通便捷度</v>
      </c>
      <c r="R14" s="774" t="s">
        <v>17</v>
      </c>
      <c r="S14" s="775">
        <f t="shared" si="0"/>
        <v>100</v>
      </c>
      <c r="T14" s="774" t="s">
        <v>17</v>
      </c>
      <c r="U14" s="775">
        <f t="shared" si="1"/>
        <v>100</v>
      </c>
      <c r="V14" s="774" t="s">
        <v>17</v>
      </c>
      <c r="W14" s="775">
        <f t="shared" si="2"/>
        <v>100</v>
      </c>
      <c r="X14" s="1816"/>
      <c r="Y14" s="3149"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0"/>
      <c r="Q15" s="1813"/>
      <c r="R15" s="774"/>
      <c r="S15" s="775"/>
      <c r="T15" s="774"/>
      <c r="U15" s="775"/>
      <c r="V15" s="774"/>
      <c r="W15" s="775"/>
      <c r="X15" s="1816"/>
      <c r="Y15" s="3150"/>
      <c r="Z15" s="1817"/>
      <c r="AA15" s="1814">
        <v>1</v>
      </c>
      <c r="AB15" s="1814">
        <v>1</v>
      </c>
      <c r="AC15" s="1814">
        <v>1</v>
      </c>
    </row>
    <row r="16" spans="1:29" ht="15">
      <c r="A16" s="428"/>
      <c r="B16" s="451" t="s">
        <v>2677</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0"/>
      <c r="Q16" s="1813" t="str">
        <f>B16</f>
        <v>公共配套设施</v>
      </c>
      <c r="R16" s="774" t="s">
        <v>17</v>
      </c>
      <c r="S16" s="775">
        <f>F16</f>
        <v>100</v>
      </c>
      <c r="T16" s="774" t="s">
        <v>17</v>
      </c>
      <c r="U16" s="775">
        <f>H16</f>
        <v>100</v>
      </c>
      <c r="V16" s="774" t="s">
        <v>17</v>
      </c>
      <c r="W16" s="775">
        <f>J16</f>
        <v>100</v>
      </c>
      <c r="X16" s="1816"/>
      <c r="Y16" s="315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50"/>
      <c r="Q17" s="1813"/>
      <c r="R17" s="774"/>
      <c r="S17" s="775"/>
      <c r="T17" s="774"/>
      <c r="U17" s="775"/>
      <c r="V17" s="774"/>
      <c r="W17" s="775"/>
      <c r="X17" s="1816"/>
      <c r="Y17" s="3150"/>
      <c r="Z17" s="1817"/>
      <c r="AA17" s="1814">
        <v>1</v>
      </c>
      <c r="AB17" s="1814">
        <v>1</v>
      </c>
      <c r="AC17" s="1814">
        <v>1</v>
      </c>
    </row>
    <row r="18" spans="1:29" ht="15">
      <c r="A18" s="428"/>
      <c r="B18" s="1387" t="s">
        <v>2678</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0"/>
      <c r="Q18" s="1813" t="str">
        <f>B18</f>
        <v>基础设施水平</v>
      </c>
      <c r="R18" s="774" t="s">
        <v>17</v>
      </c>
      <c r="S18" s="775">
        <f>F18</f>
        <v>100</v>
      </c>
      <c r="T18" s="774" t="s">
        <v>17</v>
      </c>
      <c r="U18" s="775">
        <f>H18</f>
        <v>100</v>
      </c>
      <c r="V18" s="774" t="s">
        <v>17</v>
      </c>
      <c r="W18" s="775">
        <f>J18</f>
        <v>100</v>
      </c>
      <c r="X18" s="1816"/>
      <c r="Y18" s="315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50"/>
      <c r="Q19" s="1813"/>
      <c r="R19" s="774"/>
      <c r="S19" s="775"/>
      <c r="T19" s="774"/>
      <c r="U19" s="775"/>
      <c r="V19" s="774"/>
      <c r="W19" s="775"/>
      <c r="X19" s="1816"/>
      <c r="Y19" s="3150"/>
      <c r="Z19" s="1817"/>
      <c r="AA19" s="1814">
        <v>1</v>
      </c>
      <c r="AB19" s="1814">
        <v>1</v>
      </c>
      <c r="AC19" s="1814">
        <v>1</v>
      </c>
    </row>
    <row r="20" spans="1:29" ht="15">
      <c r="A20" s="428"/>
      <c r="B20" s="451" t="s">
        <v>2699</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0"/>
      <c r="Q20" s="1813" t="str">
        <f>B20</f>
        <v>自然及人文环境</v>
      </c>
      <c r="R20" s="774" t="s">
        <v>17</v>
      </c>
      <c r="S20" s="775">
        <f>F20</f>
        <v>100</v>
      </c>
      <c r="T20" s="774" t="s">
        <v>17</v>
      </c>
      <c r="U20" s="775">
        <f>H20</f>
        <v>100</v>
      </c>
      <c r="V20" s="774" t="s">
        <v>17</v>
      </c>
      <c r="W20" s="775">
        <f>J20</f>
        <v>100</v>
      </c>
      <c r="X20" s="1816"/>
      <c r="Y20" s="315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0"/>
      <c r="Q21" s="1813"/>
      <c r="R21" s="774"/>
      <c r="S21" s="775"/>
      <c r="T21" s="774"/>
      <c r="U21" s="775"/>
      <c r="V21" s="774"/>
      <c r="W21" s="775"/>
      <c r="X21" s="1816"/>
      <c r="Y21" s="3150"/>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0"/>
      <c r="Q22" s="1813" t="str">
        <f>B22</f>
        <v>楼层</v>
      </c>
      <c r="R22" s="774" t="s">
        <v>17</v>
      </c>
      <c r="S22" s="775">
        <f>F22</f>
        <v>100</v>
      </c>
      <c r="T22" s="774" t="s">
        <v>17</v>
      </c>
      <c r="U22" s="775">
        <f>H22</f>
        <v>100</v>
      </c>
      <c r="V22" s="774" t="s">
        <v>17</v>
      </c>
      <c r="W22" s="775">
        <f>J22</f>
        <v>100</v>
      </c>
      <c r="X22" s="1816"/>
      <c r="Y22" s="315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0"/>
      <c r="Q23" s="1813">
        <f>B23</f>
        <v>111</v>
      </c>
      <c r="R23" s="774" t="s">
        <v>17</v>
      </c>
      <c r="S23" s="775">
        <f>F23</f>
        <v>100</v>
      </c>
      <c r="T23" s="774" t="s">
        <v>17</v>
      </c>
      <c r="U23" s="775">
        <f>H23</f>
        <v>100</v>
      </c>
      <c r="V23" s="774" t="s">
        <v>17</v>
      </c>
      <c r="W23" s="775">
        <f>J23</f>
        <v>100</v>
      </c>
      <c r="X23" s="1816"/>
      <c r="Y23" s="315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0"/>
      <c r="Q24" s="1813">
        <f t="shared" ref="Q24:Q34" si="11">B24</f>
        <v>111</v>
      </c>
      <c r="R24" s="774" t="s">
        <v>17</v>
      </c>
      <c r="S24" s="775">
        <f>F24</f>
        <v>100</v>
      </c>
      <c r="T24" s="774" t="s">
        <v>17</v>
      </c>
      <c r="U24" s="775">
        <f>H24</f>
        <v>100</v>
      </c>
      <c r="V24" s="774" t="s">
        <v>17</v>
      </c>
      <c r="W24" s="775">
        <f>J24</f>
        <v>100</v>
      </c>
      <c r="X24" s="1816"/>
      <c r="Y24" s="315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50"/>
      <c r="Q25" s="1798">
        <f t="shared" si="11"/>
        <v>111</v>
      </c>
      <c r="R25" s="770" t="s">
        <v>17</v>
      </c>
      <c r="S25" s="771">
        <f>F25</f>
        <v>100</v>
      </c>
      <c r="T25" s="770" t="s">
        <v>17</v>
      </c>
      <c r="U25" s="771">
        <f>H25</f>
        <v>100</v>
      </c>
      <c r="V25" s="770" t="s">
        <v>17</v>
      </c>
      <c r="W25" s="771">
        <f>J25</f>
        <v>100</v>
      </c>
      <c r="X25" s="772"/>
      <c r="Y25" s="3150"/>
      <c r="Z25" s="55">
        <f>Q25</f>
        <v>111</v>
      </c>
      <c r="AA25" s="1814">
        <f>D25/F25</f>
        <v>1</v>
      </c>
      <c r="AB25" s="1814">
        <f>D25/H25</f>
        <v>1</v>
      </c>
      <c r="AC25" s="1814">
        <f>D25/J25</f>
        <v>1</v>
      </c>
    </row>
    <row r="26" spans="1:29" ht="15">
      <c r="A26" s="466" t="s">
        <v>2552</v>
      </c>
      <c r="B26" s="71" t="s">
        <v>2703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51"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2"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2"/>
      <c r="Q27" s="776" t="str">
        <f t="shared" si="11"/>
        <v>成新率</v>
      </c>
      <c r="R27" s="777" t="s">
        <v>17</v>
      </c>
      <c r="S27" s="778" t="e">
        <f t="shared" si="12"/>
        <v>#N/A</v>
      </c>
      <c r="T27" s="777" t="s">
        <v>17</v>
      </c>
      <c r="U27" s="778" t="e">
        <f t="shared" si="13"/>
        <v>#N/A</v>
      </c>
      <c r="V27" s="777" t="s">
        <v>17</v>
      </c>
      <c r="W27" s="778" t="e">
        <f t="shared" si="14"/>
        <v>#N/A</v>
      </c>
      <c r="X27" s="779"/>
      <c r="Y27" s="3152"/>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2"/>
      <c r="Q28" s="1813" t="str">
        <f t="shared" si="11"/>
        <v>物业等级</v>
      </c>
      <c r="R28" s="774" t="s">
        <v>17</v>
      </c>
      <c r="S28" s="775">
        <f t="shared" si="12"/>
        <v>100</v>
      </c>
      <c r="T28" s="774" t="s">
        <v>17</v>
      </c>
      <c r="U28" s="775">
        <f t="shared" si="13"/>
        <v>100</v>
      </c>
      <c r="V28" s="774" t="s">
        <v>17</v>
      </c>
      <c r="W28" s="775">
        <f t="shared" si="14"/>
        <v>100</v>
      </c>
      <c r="X28" s="1816"/>
      <c r="Y28" s="3152"/>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2"/>
      <c r="Q29" s="1813" t="str">
        <f t="shared" si="11"/>
        <v>有无电梯</v>
      </c>
      <c r="R29" s="774" t="s">
        <v>17</v>
      </c>
      <c r="S29" s="775">
        <f t="shared" si="12"/>
        <v>100</v>
      </c>
      <c r="T29" s="774" t="s">
        <v>17</v>
      </c>
      <c r="U29" s="775">
        <f t="shared" si="13"/>
        <v>100</v>
      </c>
      <c r="V29" s="774" t="s">
        <v>17</v>
      </c>
      <c r="W29" s="775">
        <f t="shared" si="14"/>
        <v>100</v>
      </c>
      <c r="X29" s="1816"/>
      <c r="Y29" s="3152"/>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2"/>
      <c r="Q30" s="1813" t="str">
        <f t="shared" si="11"/>
        <v>建筑面积</v>
      </c>
      <c r="R30" s="774" t="s">
        <v>17</v>
      </c>
      <c r="S30" s="775" t="e">
        <f t="shared" si="12"/>
        <v>#N/A</v>
      </c>
      <c r="T30" s="774" t="s">
        <v>17</v>
      </c>
      <c r="U30" s="775" t="e">
        <f t="shared" si="13"/>
        <v>#N/A</v>
      </c>
      <c r="V30" s="774" t="s">
        <v>17</v>
      </c>
      <c r="W30" s="775" t="e">
        <f t="shared" si="14"/>
        <v>#N/A</v>
      </c>
      <c r="X30" s="1816"/>
      <c r="Y30" s="3152"/>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2"/>
      <c r="Q31" s="1798" t="str">
        <f t="shared" si="11"/>
        <v>是否封闭</v>
      </c>
      <c r="R31" s="770" t="s">
        <v>17</v>
      </c>
      <c r="S31" s="771">
        <f t="shared" si="12"/>
        <v>100</v>
      </c>
      <c r="T31" s="770" t="s">
        <v>17</v>
      </c>
      <c r="U31" s="771">
        <f t="shared" si="13"/>
        <v>100</v>
      </c>
      <c r="V31" s="770" t="s">
        <v>17</v>
      </c>
      <c r="W31" s="771">
        <f t="shared" si="14"/>
        <v>100</v>
      </c>
      <c r="X31" s="772"/>
      <c r="Y31" s="315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2" t="s">
        <v>2554</v>
      </c>
      <c r="Q32" s="1813">
        <f t="shared" si="11"/>
        <v>111</v>
      </c>
      <c r="R32" s="774" t="s">
        <v>17</v>
      </c>
      <c r="S32" s="775">
        <f t="shared" si="12"/>
        <v>100</v>
      </c>
      <c r="T32" s="774" t="s">
        <v>17</v>
      </c>
      <c r="U32" s="775">
        <f t="shared" si="13"/>
        <v>100</v>
      </c>
      <c r="V32" s="774" t="s">
        <v>17</v>
      </c>
      <c r="W32" s="775">
        <f t="shared" si="14"/>
        <v>100</v>
      </c>
      <c r="X32" s="1816"/>
      <c r="Y32" s="3152" t="s">
        <v>2554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2"/>
      <c r="Q33" s="1813">
        <f t="shared" si="11"/>
        <v>111</v>
      </c>
      <c r="R33" s="774" t="s">
        <v>17</v>
      </c>
      <c r="S33" s="775">
        <f t="shared" si="12"/>
        <v>100</v>
      </c>
      <c r="T33" s="774" t="s">
        <v>17</v>
      </c>
      <c r="U33" s="775">
        <f t="shared" si="13"/>
        <v>100</v>
      </c>
      <c r="V33" s="774" t="s">
        <v>17</v>
      </c>
      <c r="W33" s="775">
        <f t="shared" si="14"/>
        <v>100</v>
      </c>
      <c r="X33" s="1816"/>
      <c r="Y33" s="315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52"/>
      <c r="Q34" s="1813">
        <f t="shared" si="11"/>
        <v>111</v>
      </c>
      <c r="R34" s="774" t="s">
        <v>17</v>
      </c>
      <c r="S34" s="775">
        <f t="shared" si="12"/>
        <v>100</v>
      </c>
      <c r="T34" s="774" t="s">
        <v>17</v>
      </c>
      <c r="U34" s="775">
        <f t="shared" si="13"/>
        <v>100</v>
      </c>
      <c r="V34" s="774" t="s">
        <v>17</v>
      </c>
      <c r="W34" s="775">
        <f t="shared" si="14"/>
        <v>100</v>
      </c>
      <c r="X34" s="1816"/>
      <c r="Y34" s="3152"/>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146" t="str">
        <f>A35</f>
        <v>成交单价（元/平方米）</v>
      </c>
      <c r="Q35" s="3146"/>
      <c r="R35" s="3221">
        <f>E35</f>
        <v>0</v>
      </c>
      <c r="S35" s="3221"/>
      <c r="T35" s="3221">
        <f>G35</f>
        <v>0</v>
      </c>
      <c r="U35" s="3221"/>
      <c r="V35" s="3221">
        <f>I35</f>
        <v>0</v>
      </c>
      <c r="W35" s="3221"/>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46" t="str">
        <f>A36</f>
        <v>比较价值（元/平方米）</v>
      </c>
      <c r="Q36" s="3146"/>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143" t="str">
        <f>A37</f>
        <v>估价对象XX用房的比较价值（楼面单价，元/平方米）</v>
      </c>
      <c r="Q37" s="3144"/>
      <c r="R37" s="3220" t="e">
        <f>IF(F1="售价",ROUND(AVERAGE(R36:V36),0),ROUND(AVERAGE(R36:V36),1))</f>
        <v>#DIV/0!</v>
      </c>
      <c r="S37" s="3220"/>
      <c r="T37" s="3220"/>
      <c r="U37" s="3220"/>
      <c r="V37" s="3220"/>
      <c r="W37" s="322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156" t="s">
        <v>2635</v>
      </c>
      <c r="D4" s="3157"/>
      <c r="E4" s="3158" t="s">
        <v>2636</v>
      </c>
      <c r="F4" s="3159"/>
      <c r="G4" s="3156" t="s">
        <v>2637</v>
      </c>
      <c r="H4" s="3157"/>
      <c r="I4" s="3156" t="s">
        <v>2638</v>
      </c>
      <c r="J4" s="3157"/>
      <c r="K4" s="610" t="s">
        <v>2639</v>
      </c>
      <c r="L4" s="1133"/>
      <c r="M4" s="1134"/>
      <c r="N4" s="1134"/>
      <c r="O4" s="1134"/>
      <c r="P4" s="3160" t="s">
        <v>2640</v>
      </c>
      <c r="Q4" s="3161"/>
      <c r="R4" s="3173" t="s">
        <v>2636</v>
      </c>
      <c r="S4" s="3174"/>
      <c r="T4" s="3173" t="s">
        <v>2637</v>
      </c>
      <c r="U4" s="3174"/>
      <c r="V4" s="3148" t="s">
        <v>2638</v>
      </c>
      <c r="W4" s="3148"/>
      <c r="X4" s="1816"/>
      <c r="Y4" s="3173" t="s">
        <v>2640</v>
      </c>
      <c r="Z4" s="3174"/>
      <c r="AA4" s="3153" t="s">
        <v>2636</v>
      </c>
      <c r="AB4" s="3154" t="s">
        <v>2637</v>
      </c>
      <c r="AC4" s="3153" t="s">
        <v>2638</v>
      </c>
    </row>
    <row r="5" spans="1:30" ht="15">
      <c r="A5" s="404"/>
      <c r="B5" s="405"/>
      <c r="C5" s="3177" t="s">
        <v>2531</v>
      </c>
      <c r="D5" s="3178"/>
      <c r="E5" s="3166" t="s">
        <v>2532</v>
      </c>
      <c r="F5" s="3167"/>
      <c r="G5" s="3177" t="s">
        <v>2533</v>
      </c>
      <c r="H5" s="3178"/>
      <c r="I5" s="3177" t="s">
        <v>2534</v>
      </c>
      <c r="J5" s="3178"/>
      <c r="K5" s="610"/>
      <c r="L5" s="1133"/>
      <c r="M5" s="1134"/>
      <c r="N5" s="1134"/>
      <c r="O5" s="1134"/>
      <c r="P5" s="3162"/>
      <c r="Q5" s="3163"/>
      <c r="R5" s="3175"/>
      <c r="S5" s="3176"/>
      <c r="T5" s="3175"/>
      <c r="U5" s="3176"/>
      <c r="V5" s="3148"/>
      <c r="W5" s="3148"/>
      <c r="X5" s="1816"/>
      <c r="Y5" s="3175"/>
      <c r="Z5" s="3176"/>
      <c r="AA5" s="3154"/>
      <c r="AB5" s="3154"/>
      <c r="AC5" s="3154"/>
    </row>
    <row r="6" spans="1:30" ht="15.75" thickBot="1">
      <c r="A6" s="406"/>
      <c r="B6" s="407"/>
      <c r="C6" s="3216" t="s">
        <v>2535</v>
      </c>
      <c r="D6" s="3217"/>
      <c r="E6" s="3218" t="s">
        <v>2535</v>
      </c>
      <c r="F6" s="3219"/>
      <c r="G6" s="3216" t="s">
        <v>2535</v>
      </c>
      <c r="H6" s="3217"/>
      <c r="I6" s="3216" t="s">
        <v>2535</v>
      </c>
      <c r="J6" s="3217"/>
      <c r="K6" s="610" t="s">
        <v>2536</v>
      </c>
      <c r="L6" s="1133"/>
      <c r="M6" s="1134"/>
      <c r="N6" s="1134"/>
      <c r="O6" s="1134"/>
      <c r="P6" s="3164"/>
      <c r="Q6" s="3165"/>
      <c r="R6" s="3175"/>
      <c r="S6" s="3176"/>
      <c r="T6" s="3184"/>
      <c r="U6" s="3185"/>
      <c r="V6" s="3148"/>
      <c r="W6" s="3148"/>
      <c r="X6" s="1816"/>
      <c r="Y6" s="3184"/>
      <c r="Z6" s="3185"/>
      <c r="AA6" s="3155"/>
      <c r="AB6" s="3155"/>
      <c r="AC6" s="3155"/>
    </row>
    <row r="7" spans="1:30" s="117" customFormat="1" ht="15.75" thickBot="1">
      <c r="A7" s="408" t="s">
        <v>2537</v>
      </c>
      <c r="B7" s="409"/>
      <c r="C7" s="410">
        <f>'数据-取费表'!B2</f>
        <v>43217</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68" t="s">
        <v>2538</v>
      </c>
      <c r="Q7" s="3181"/>
      <c r="R7" s="770" t="s">
        <v>17</v>
      </c>
      <c r="S7" s="771">
        <f t="shared" ref="S7:S15" si="0">F7</f>
        <v>0</v>
      </c>
      <c r="T7" s="770" t="s">
        <v>17</v>
      </c>
      <c r="U7" s="771">
        <f t="shared" ref="U7:U15" si="1">H7</f>
        <v>0</v>
      </c>
      <c r="V7" s="770" t="s">
        <v>17</v>
      </c>
      <c r="W7" s="771">
        <f t="shared" ref="W7:W15" si="2">J7</f>
        <v>0</v>
      </c>
      <c r="X7" s="772"/>
      <c r="Y7" s="3168" t="s">
        <v>2538</v>
      </c>
      <c r="Z7" s="3169"/>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8" t="s">
        <v>2541</v>
      </c>
      <c r="Q8" s="3169"/>
      <c r="R8" s="770" t="s">
        <v>17</v>
      </c>
      <c r="S8" s="771">
        <f t="shared" si="0"/>
        <v>0</v>
      </c>
      <c r="T8" s="770" t="s">
        <v>17</v>
      </c>
      <c r="U8" s="771">
        <f t="shared" si="1"/>
        <v>0</v>
      </c>
      <c r="V8" s="770" t="s">
        <v>17</v>
      </c>
      <c r="W8" s="771">
        <f t="shared" si="2"/>
        <v>0</v>
      </c>
      <c r="X8" s="772"/>
      <c r="Y8" s="3168" t="s">
        <v>2541</v>
      </c>
      <c r="Z8" s="3169"/>
      <c r="AA8" s="773" t="e">
        <f t="shared" ref="AA8:AA45" si="3">D8/F8</f>
        <v>#DIV/0!</v>
      </c>
      <c r="AB8" s="773" t="e">
        <f t="shared" ref="AB8:AB45" si="4">D8/H8</f>
        <v>#DIV/0!</v>
      </c>
      <c r="AC8" s="773" t="e">
        <f t="shared" ref="AC8:AC45" si="5">D8/J8</f>
        <v>#DIV/0!</v>
      </c>
    </row>
    <row r="9" spans="1:30" s="117" customFormat="1">
      <c r="A9" s="415" t="s">
        <v>2542</v>
      </c>
      <c r="B9" s="71" t="s">
        <v>2543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46" t="s">
        <v>2544</v>
      </c>
      <c r="Q9" s="1798" t="str">
        <f t="shared" ref="Q9:Q15" si="6">B9</f>
        <v>用途</v>
      </c>
      <c r="R9" s="770" t="s">
        <v>17</v>
      </c>
      <c r="S9" s="771">
        <f t="shared" si="0"/>
        <v>100</v>
      </c>
      <c r="T9" s="770" t="s">
        <v>17</v>
      </c>
      <c r="U9" s="771">
        <f t="shared" si="1"/>
        <v>100</v>
      </c>
      <c r="V9" s="770" t="s">
        <v>17</v>
      </c>
      <c r="W9" s="771">
        <f t="shared" si="2"/>
        <v>100</v>
      </c>
      <c r="X9" s="772"/>
      <c r="Y9" s="3023"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46"/>
      <c r="Q10" s="1798" t="str">
        <f t="shared" si="6"/>
        <v>土地使用年限（年）</v>
      </c>
      <c r="R10" s="770" t="s">
        <v>17</v>
      </c>
      <c r="S10" s="771">
        <f t="shared" si="0"/>
        <v>109</v>
      </c>
      <c r="T10" s="770" t="s">
        <v>17</v>
      </c>
      <c r="U10" s="771">
        <f t="shared" si="1"/>
        <v>109</v>
      </c>
      <c r="V10" s="770" t="s">
        <v>17</v>
      </c>
      <c r="W10" s="771">
        <f t="shared" si="2"/>
        <v>109</v>
      </c>
      <c r="X10" s="772"/>
      <c r="Y10" s="3023"/>
      <c r="Z10" s="55" t="str">
        <f t="shared" si="7"/>
        <v>土地使用年限（年）</v>
      </c>
      <c r="AA10" s="773">
        <f t="shared" si="3"/>
        <v>0.91743119266055051</v>
      </c>
      <c r="AB10" s="773">
        <f t="shared" si="4"/>
        <v>0.91743119266055051</v>
      </c>
      <c r="AC10" s="773">
        <f t="shared" si="5"/>
        <v>0.91743119266055051</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46"/>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3"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46"/>
      <c r="Q12" s="1798"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46"/>
      <c r="Q13" s="1798">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46"/>
      <c r="Q14" s="1798">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15">
      <c r="A15" s="440" t="s">
        <v>2548</v>
      </c>
      <c r="B15" s="69" t="s">
        <v>2082</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49" t="s">
        <v>2549</v>
      </c>
      <c r="Q15" s="1813" t="str">
        <f t="shared" si="6"/>
        <v>居住社区成熟度</v>
      </c>
      <c r="R15" s="774" t="s">
        <v>17</v>
      </c>
      <c r="S15" s="775">
        <f t="shared" si="0"/>
        <v>100</v>
      </c>
      <c r="T15" s="774" t="s">
        <v>17</v>
      </c>
      <c r="U15" s="775">
        <f t="shared" si="1"/>
        <v>100</v>
      </c>
      <c r="V15" s="774" t="s">
        <v>17</v>
      </c>
      <c r="W15" s="775">
        <f t="shared" si="2"/>
        <v>100</v>
      </c>
      <c r="X15" s="1816"/>
      <c r="Y15" s="3149" t="s">
        <v>2549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50"/>
      <c r="Q16" s="1813"/>
      <c r="R16" s="774"/>
      <c r="S16" s="775"/>
      <c r="T16" s="774"/>
      <c r="U16" s="775"/>
      <c r="V16" s="774"/>
      <c r="W16" s="775"/>
      <c r="X16" s="1816"/>
      <c r="Y16" s="3150"/>
      <c r="Z16" s="1817"/>
      <c r="AA16" s="1814">
        <v>1</v>
      </c>
      <c r="AB16" s="1814">
        <v>1</v>
      </c>
      <c r="AC16" s="1814">
        <v>1</v>
      </c>
    </row>
    <row r="17" spans="1:29" ht="15">
      <c r="A17" s="428"/>
      <c r="B17" s="451" t="s">
        <v>2642</v>
      </c>
      <c r="C17" s="266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0"/>
      <c r="Q17" s="1813" t="str">
        <f>B17</f>
        <v>商业繁华度</v>
      </c>
      <c r="R17" s="774" t="s">
        <v>17</v>
      </c>
      <c r="S17" s="775">
        <f>F17</f>
        <v>100</v>
      </c>
      <c r="T17" s="774" t="s">
        <v>17</v>
      </c>
      <c r="U17" s="775">
        <f>H17</f>
        <v>100</v>
      </c>
      <c r="V17" s="774" t="s">
        <v>17</v>
      </c>
      <c r="W17" s="775">
        <f>J17</f>
        <v>100</v>
      </c>
      <c r="X17" s="1816"/>
      <c r="Y17" s="315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50"/>
      <c r="Q18" s="1813"/>
      <c r="R18" s="774"/>
      <c r="S18" s="775"/>
      <c r="T18" s="774"/>
      <c r="U18" s="775"/>
      <c r="V18" s="774"/>
      <c r="W18" s="775"/>
      <c r="X18" s="1816"/>
      <c r="Y18" s="3150"/>
      <c r="Z18" s="1817"/>
      <c r="AA18" s="1814">
        <v>1</v>
      </c>
      <c r="AB18" s="1814">
        <v>1</v>
      </c>
      <c r="AC18" s="1814">
        <v>1</v>
      </c>
    </row>
    <row r="19" spans="1:29" ht="15">
      <c r="A19" s="428"/>
      <c r="B19" s="451" t="s">
        <v>2676</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0"/>
      <c r="Q19" s="1813" t="str">
        <f>B19</f>
        <v>办公集聚程度</v>
      </c>
      <c r="R19" s="774" t="s">
        <v>17</v>
      </c>
      <c r="S19" s="775">
        <f>F19</f>
        <v>100</v>
      </c>
      <c r="T19" s="774" t="s">
        <v>17</v>
      </c>
      <c r="U19" s="775">
        <f>H19</f>
        <v>100</v>
      </c>
      <c r="V19" s="774" t="s">
        <v>17</v>
      </c>
      <c r="W19" s="775">
        <f>J19</f>
        <v>100</v>
      </c>
      <c r="X19" s="1816"/>
      <c r="Y19" s="315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50"/>
      <c r="Q20" s="1813"/>
      <c r="R20" s="774"/>
      <c r="S20" s="775"/>
      <c r="T20" s="774"/>
      <c r="U20" s="775"/>
      <c r="V20" s="774"/>
      <c r="W20" s="775"/>
      <c r="X20" s="1816"/>
      <c r="Y20" s="3150"/>
      <c r="Z20" s="1817"/>
      <c r="AA20" s="1814">
        <v>1</v>
      </c>
      <c r="AB20" s="1814">
        <v>1</v>
      </c>
      <c r="AC20" s="1814">
        <v>1</v>
      </c>
    </row>
    <row r="21" spans="1:29" ht="15">
      <c r="A21" s="428"/>
      <c r="B21" s="451" t="s">
        <v>2698</v>
      </c>
      <c r="C21" s="261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0"/>
      <c r="Q21" s="1813" t="str">
        <f>B21</f>
        <v>交通便捷度</v>
      </c>
      <c r="R21" s="774" t="s">
        <v>17</v>
      </c>
      <c r="S21" s="775">
        <f>F21</f>
        <v>100</v>
      </c>
      <c r="T21" s="774" t="s">
        <v>17</v>
      </c>
      <c r="U21" s="775">
        <f>H21</f>
        <v>100</v>
      </c>
      <c r="V21" s="774" t="s">
        <v>17</v>
      </c>
      <c r="W21" s="775">
        <f>J21</f>
        <v>100</v>
      </c>
      <c r="X21" s="1816"/>
      <c r="Y21" s="315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50"/>
      <c r="Q22" s="1813"/>
      <c r="R22" s="774"/>
      <c r="S22" s="775"/>
      <c r="T22" s="774"/>
      <c r="U22" s="775"/>
      <c r="V22" s="774"/>
      <c r="W22" s="775"/>
      <c r="X22" s="1816"/>
      <c r="Y22" s="3150"/>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0"/>
      <c r="Q23" s="1813" t="str">
        <f t="shared" ref="Q23:Q37" si="8">B23</f>
        <v>区域土地利用方向</v>
      </c>
      <c r="R23" s="774" t="s">
        <v>17</v>
      </c>
      <c r="S23" s="775">
        <f>F23</f>
        <v>100</v>
      </c>
      <c r="T23" s="774" t="s">
        <v>17</v>
      </c>
      <c r="U23" s="775">
        <f>H23</f>
        <v>100</v>
      </c>
      <c r="V23" s="774" t="s">
        <v>17</v>
      </c>
      <c r="W23" s="775">
        <f>J23</f>
        <v>100</v>
      </c>
      <c r="X23" s="1816"/>
      <c r="Y23" s="315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50"/>
      <c r="Q24" s="1813"/>
      <c r="R24" s="774"/>
      <c r="S24" s="775"/>
      <c r="T24" s="774"/>
      <c r="U24" s="775"/>
      <c r="V24" s="774"/>
      <c r="W24" s="775"/>
      <c r="X24" s="1816"/>
      <c r="Y24" s="3150"/>
      <c r="Z24" s="1817"/>
      <c r="AA24" s="1814"/>
      <c r="AB24" s="1814"/>
      <c r="AC24" s="1814"/>
    </row>
    <row r="25" spans="1:29" ht="27">
      <c r="A25" s="404"/>
      <c r="B25" s="1387" t="s">
        <v>2738</v>
      </c>
      <c r="C25" s="266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0"/>
      <c r="Q25" s="1813" t="str">
        <f t="shared" si="8"/>
        <v>自然及人文环境状况</v>
      </c>
      <c r="R25" s="774" t="s">
        <v>17</v>
      </c>
      <c r="S25" s="775">
        <f>F25</f>
        <v>100</v>
      </c>
      <c r="T25" s="774" t="s">
        <v>17</v>
      </c>
      <c r="U25" s="775">
        <f>H25</f>
        <v>100</v>
      </c>
      <c r="V25" s="774" t="s">
        <v>17</v>
      </c>
      <c r="W25" s="775">
        <f>J25</f>
        <v>100</v>
      </c>
      <c r="X25" s="1816"/>
      <c r="Y25" s="315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50"/>
      <c r="Q26" s="1813"/>
      <c r="R26" s="774"/>
      <c r="S26" s="775"/>
      <c r="T26" s="774"/>
      <c r="U26" s="775"/>
      <c r="V26" s="774"/>
      <c r="W26" s="775"/>
      <c r="X26" s="1816"/>
      <c r="Y26" s="3150"/>
      <c r="Z26" s="1817"/>
      <c r="AA26" s="1814">
        <v>1</v>
      </c>
      <c r="AB26" s="1814">
        <v>1</v>
      </c>
      <c r="AC26" s="1814">
        <v>1</v>
      </c>
    </row>
    <row r="27" spans="1:29" s="117" customFormat="1" ht="15">
      <c r="A27" s="649"/>
      <c r="B27" s="1387" t="s">
        <v>2643</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0"/>
      <c r="Q27" s="1798" t="str">
        <f t="shared" si="8"/>
        <v>公共配套设施</v>
      </c>
      <c r="R27" s="770" t="s">
        <v>17</v>
      </c>
      <c r="S27" s="771">
        <f>F27</f>
        <v>100</v>
      </c>
      <c r="T27" s="770" t="s">
        <v>17</v>
      </c>
      <c r="U27" s="771">
        <f>H27</f>
        <v>100</v>
      </c>
      <c r="V27" s="770" t="s">
        <v>17</v>
      </c>
      <c r="W27" s="771">
        <f>J27</f>
        <v>100</v>
      </c>
      <c r="X27" s="772"/>
      <c r="Y27" s="315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50"/>
      <c r="Q28" s="1798"/>
      <c r="R28" s="770"/>
      <c r="S28" s="771"/>
      <c r="T28" s="770"/>
      <c r="U28" s="771"/>
      <c r="V28" s="770"/>
      <c r="W28" s="771"/>
      <c r="X28" s="772"/>
      <c r="Y28" s="3150"/>
      <c r="Z28" s="55"/>
      <c r="AA28" s="1814">
        <v>1</v>
      </c>
      <c r="AB28" s="1814">
        <v>1</v>
      </c>
      <c r="AC28" s="1814">
        <v>1</v>
      </c>
    </row>
    <row r="29" spans="1:29" s="117" customFormat="1" ht="15">
      <c r="A29" s="649"/>
      <c r="B29" s="1387" t="s">
        <v>2644</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0"/>
      <c r="Q29" s="1798" t="str">
        <f t="shared" ref="Q29" si="9">B29</f>
        <v>基础设施水平</v>
      </c>
      <c r="R29" s="770" t="s">
        <v>17</v>
      </c>
      <c r="S29" s="771">
        <f>F29</f>
        <v>100</v>
      </c>
      <c r="T29" s="770" t="s">
        <v>17</v>
      </c>
      <c r="U29" s="771">
        <f>H29</f>
        <v>100</v>
      </c>
      <c r="V29" s="770" t="s">
        <v>17</v>
      </c>
      <c r="W29" s="771">
        <f>J29</f>
        <v>100</v>
      </c>
      <c r="X29" s="772"/>
      <c r="Y29" s="315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50"/>
      <c r="Q30" s="1798"/>
      <c r="R30" s="770"/>
      <c r="S30" s="771"/>
      <c r="T30" s="770"/>
      <c r="U30" s="771"/>
      <c r="V30" s="770"/>
      <c r="W30" s="771"/>
      <c r="X30" s="772"/>
      <c r="Y30" s="3150"/>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0"/>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0"/>
      <c r="Q32" s="1813" t="str">
        <f t="shared" si="8"/>
        <v>毗邻道路的类型与等级</v>
      </c>
      <c r="R32" s="774" t="s">
        <v>17</v>
      </c>
      <c r="S32" s="775">
        <f t="shared" si="10"/>
        <v>100</v>
      </c>
      <c r="T32" s="774" t="s">
        <v>17</v>
      </c>
      <c r="U32" s="775">
        <f t="shared" si="11"/>
        <v>100</v>
      </c>
      <c r="V32" s="774" t="s">
        <v>17</v>
      </c>
      <c r="W32" s="775">
        <f t="shared" si="12"/>
        <v>100</v>
      </c>
      <c r="X32" s="1816"/>
      <c r="Y32" s="315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50"/>
      <c r="Q33" s="1813"/>
      <c r="R33" s="774"/>
      <c r="S33" s="775"/>
      <c r="T33" s="774"/>
      <c r="U33" s="775"/>
      <c r="V33" s="774"/>
      <c r="W33" s="775"/>
      <c r="X33" s="1816"/>
      <c r="Y33" s="3150"/>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0"/>
      <c r="Q34" s="1813" t="str">
        <f t="shared" si="8"/>
        <v>土地级别</v>
      </c>
      <c r="R34" s="774" t="s">
        <v>17</v>
      </c>
      <c r="S34" s="775">
        <f t="shared" si="10"/>
        <v>100</v>
      </c>
      <c r="T34" s="774" t="s">
        <v>17</v>
      </c>
      <c r="U34" s="775">
        <f t="shared" si="11"/>
        <v>100</v>
      </c>
      <c r="V34" s="774" t="s">
        <v>17</v>
      </c>
      <c r="W34" s="775">
        <f t="shared" si="12"/>
        <v>100</v>
      </c>
      <c r="X34" s="1816"/>
      <c r="Y34" s="315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0"/>
      <c r="Q35" s="1813">
        <f t="shared" si="8"/>
        <v>111</v>
      </c>
      <c r="R35" s="774" t="s">
        <v>17</v>
      </c>
      <c r="S35" s="775">
        <f t="shared" si="10"/>
        <v>100</v>
      </c>
      <c r="T35" s="774" t="s">
        <v>17</v>
      </c>
      <c r="U35" s="775">
        <f t="shared" si="11"/>
        <v>100</v>
      </c>
      <c r="V35" s="774" t="s">
        <v>17</v>
      </c>
      <c r="W35" s="775">
        <f t="shared" si="12"/>
        <v>100</v>
      </c>
      <c r="X35" s="1816"/>
      <c r="Y35" s="315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1" t="s">
        <v>2554</v>
      </c>
      <c r="Q36" s="1813">
        <f t="shared" si="8"/>
        <v>111</v>
      </c>
      <c r="R36" s="774" t="s">
        <v>17</v>
      </c>
      <c r="S36" s="775">
        <f t="shared" si="10"/>
        <v>100</v>
      </c>
      <c r="T36" s="774" t="s">
        <v>17</v>
      </c>
      <c r="U36" s="775">
        <f t="shared" si="11"/>
        <v>100</v>
      </c>
      <c r="V36" s="774" t="s">
        <v>17</v>
      </c>
      <c r="W36" s="775">
        <f t="shared" si="12"/>
        <v>100</v>
      </c>
      <c r="X36" s="1816"/>
      <c r="Y36" s="3152"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2"/>
      <c r="Q37" s="1813">
        <f t="shared" si="8"/>
        <v>111</v>
      </c>
      <c r="R37" s="777" t="s">
        <v>17</v>
      </c>
      <c r="S37" s="778">
        <f t="shared" si="10"/>
        <v>100</v>
      </c>
      <c r="T37" s="777" t="s">
        <v>17</v>
      </c>
      <c r="U37" s="778">
        <f t="shared" si="11"/>
        <v>100</v>
      </c>
      <c r="V37" s="777" t="s">
        <v>17</v>
      </c>
      <c r="W37" s="778">
        <f t="shared" si="12"/>
        <v>100</v>
      </c>
      <c r="X37" s="779"/>
      <c r="Y37" s="3152"/>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52"/>
      <c r="Q38" s="1813" t="str">
        <f>B38</f>
        <v>宗地面积</v>
      </c>
      <c r="R38" s="774" t="s">
        <v>17</v>
      </c>
      <c r="S38" s="775" t="e">
        <f t="shared" si="10"/>
        <v>#N/A</v>
      </c>
      <c r="T38" s="774" t="s">
        <v>17</v>
      </c>
      <c r="U38" s="775" t="e">
        <f t="shared" si="11"/>
        <v>#N/A</v>
      </c>
      <c r="V38" s="774" t="s">
        <v>17</v>
      </c>
      <c r="W38" s="775" t="e">
        <f t="shared" si="12"/>
        <v>#N/A</v>
      </c>
      <c r="X38" s="1816"/>
      <c r="Y38" s="3152"/>
      <c r="Z38" s="1817" t="str">
        <f t="shared" si="13"/>
        <v>宗地面积</v>
      </c>
      <c r="AA38" s="1814" t="e">
        <f t="shared" si="3"/>
        <v>#N/A</v>
      </c>
      <c r="AB38" s="1814" t="e">
        <f t="shared" si="4"/>
        <v>#N/A</v>
      </c>
      <c r="AC38" s="1814" t="e">
        <f t="shared" si="5"/>
        <v>#N/A</v>
      </c>
    </row>
    <row r="39" spans="1:29" ht="15">
      <c r="A39" s="472"/>
      <c r="B39" s="422" t="s">
        <v>2741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52"/>
      <c r="Q39" s="1813" t="str">
        <f t="shared" ref="Q39:Q45" si="14">B39</f>
        <v>宗地形状</v>
      </c>
      <c r="R39" s="774" t="s">
        <v>17</v>
      </c>
      <c r="S39" s="775">
        <f t="shared" si="10"/>
        <v>100</v>
      </c>
      <c r="T39" s="774" t="s">
        <v>17</v>
      </c>
      <c r="U39" s="775">
        <f t="shared" si="11"/>
        <v>100</v>
      </c>
      <c r="V39" s="774" t="s">
        <v>17</v>
      </c>
      <c r="W39" s="775">
        <f t="shared" si="12"/>
        <v>100</v>
      </c>
      <c r="X39" s="1816"/>
      <c r="Y39" s="3152"/>
      <c r="Z39" s="1817" t="str">
        <f t="shared" si="13"/>
        <v>宗地形状</v>
      </c>
      <c r="AA39" s="1814">
        <f t="shared" si="3"/>
        <v>1</v>
      </c>
      <c r="AB39" s="1814">
        <f t="shared" si="4"/>
        <v>1</v>
      </c>
      <c r="AC39" s="1814">
        <f t="shared" si="5"/>
        <v>1</v>
      </c>
    </row>
    <row r="40" spans="1:29" ht="15">
      <c r="A40" s="472"/>
      <c r="B40" s="422" t="s">
        <v>2742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52"/>
      <c r="Q40" s="1813" t="str">
        <f t="shared" si="14"/>
        <v>临街宽度及深度</v>
      </c>
      <c r="R40" s="774" t="s">
        <v>17</v>
      </c>
      <c r="S40" s="775">
        <f t="shared" si="10"/>
        <v>100</v>
      </c>
      <c r="T40" s="774" t="s">
        <v>17</v>
      </c>
      <c r="U40" s="775">
        <f t="shared" si="11"/>
        <v>100</v>
      </c>
      <c r="V40" s="774" t="s">
        <v>17</v>
      </c>
      <c r="W40" s="775">
        <f t="shared" si="12"/>
        <v>100</v>
      </c>
      <c r="X40" s="1816"/>
      <c r="Y40" s="3152"/>
      <c r="Z40" s="1817" t="str">
        <f t="shared" si="13"/>
        <v>临街宽度及深度</v>
      </c>
      <c r="AA40" s="1814">
        <f t="shared" si="3"/>
        <v>1</v>
      </c>
      <c r="AB40" s="1814">
        <f t="shared" si="4"/>
        <v>1</v>
      </c>
      <c r="AC40" s="1814">
        <f t="shared" si="5"/>
        <v>1</v>
      </c>
    </row>
    <row r="41" spans="1:29" s="117" customFormat="1" ht="15">
      <c r="A41" s="473"/>
      <c r="B41" s="422" t="s">
        <v>2743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52"/>
      <c r="Q41" s="1813" t="str">
        <f t="shared" si="14"/>
        <v>宗地开发程度</v>
      </c>
      <c r="R41" s="770" t="s">
        <v>17</v>
      </c>
      <c r="S41" s="771">
        <f t="shared" si="10"/>
        <v>100</v>
      </c>
      <c r="T41" s="770" t="s">
        <v>17</v>
      </c>
      <c r="U41" s="771">
        <f t="shared" si="11"/>
        <v>100</v>
      </c>
      <c r="V41" s="770" t="s">
        <v>17</v>
      </c>
      <c r="W41" s="771">
        <f t="shared" si="12"/>
        <v>100</v>
      </c>
      <c r="X41" s="772"/>
      <c r="Y41" s="3152"/>
      <c r="Z41" s="55" t="str">
        <f t="shared" si="13"/>
        <v>宗地开发程度</v>
      </c>
      <c r="AA41" s="773">
        <f t="shared" si="3"/>
        <v>1</v>
      </c>
      <c r="AB41" s="773">
        <f t="shared" si="4"/>
        <v>1</v>
      </c>
      <c r="AC41" s="773">
        <f t="shared" si="5"/>
        <v>1</v>
      </c>
    </row>
    <row r="42" spans="1:29" ht="15">
      <c r="A42" s="472"/>
      <c r="B42" s="422" t="s">
        <v>2744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52" t="s">
        <v>2554</v>
      </c>
      <c r="Q42" s="1813" t="str">
        <f t="shared" si="14"/>
        <v>工程地质条件</v>
      </c>
      <c r="R42" s="774" t="s">
        <v>17</v>
      </c>
      <c r="S42" s="775">
        <f t="shared" si="10"/>
        <v>100</v>
      </c>
      <c r="T42" s="774" t="s">
        <v>17</v>
      </c>
      <c r="U42" s="775">
        <f t="shared" si="11"/>
        <v>100</v>
      </c>
      <c r="V42" s="774" t="s">
        <v>17</v>
      </c>
      <c r="W42" s="775">
        <f t="shared" si="12"/>
        <v>100</v>
      </c>
      <c r="X42" s="1816"/>
      <c r="Y42" s="3152"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2"/>
      <c r="Q43" s="1813">
        <f t="shared" si="14"/>
        <v>111</v>
      </c>
      <c r="R43" s="774" t="s">
        <v>17</v>
      </c>
      <c r="S43" s="775">
        <f t="shared" si="10"/>
        <v>100</v>
      </c>
      <c r="T43" s="774" t="s">
        <v>17</v>
      </c>
      <c r="U43" s="775">
        <f t="shared" si="11"/>
        <v>100</v>
      </c>
      <c r="V43" s="774" t="s">
        <v>17</v>
      </c>
      <c r="W43" s="775">
        <f t="shared" si="12"/>
        <v>100</v>
      </c>
      <c r="X43" s="1816"/>
      <c r="Y43" s="315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2"/>
      <c r="Q44" s="1813">
        <f t="shared" si="14"/>
        <v>111</v>
      </c>
      <c r="R44" s="774" t="s">
        <v>17</v>
      </c>
      <c r="S44" s="775">
        <f t="shared" si="10"/>
        <v>100</v>
      </c>
      <c r="T44" s="774" t="s">
        <v>17</v>
      </c>
      <c r="U44" s="775">
        <f t="shared" si="11"/>
        <v>100</v>
      </c>
      <c r="V44" s="774" t="s">
        <v>17</v>
      </c>
      <c r="W44" s="775">
        <f t="shared" si="12"/>
        <v>100</v>
      </c>
      <c r="X44" s="1816"/>
      <c r="Y44" s="315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2"/>
      <c r="Q45" s="1813">
        <f t="shared" si="14"/>
        <v>111</v>
      </c>
      <c r="R45" s="777" t="s">
        <v>17</v>
      </c>
      <c r="S45" s="778">
        <f t="shared" si="10"/>
        <v>100</v>
      </c>
      <c r="T45" s="777" t="s">
        <v>17</v>
      </c>
      <c r="U45" s="778">
        <f t="shared" si="11"/>
        <v>100</v>
      </c>
      <c r="V45" s="777" t="s">
        <v>17</v>
      </c>
      <c r="W45" s="778">
        <f t="shared" si="12"/>
        <v>100</v>
      </c>
      <c r="X45" s="779"/>
      <c r="Y45" s="3152"/>
      <c r="Z45" s="780">
        <f t="shared" si="13"/>
        <v>111</v>
      </c>
      <c r="AA45" s="1814">
        <f t="shared" si="3"/>
        <v>1</v>
      </c>
      <c r="AB45" s="1814">
        <f t="shared" si="4"/>
        <v>1</v>
      </c>
      <c r="AC45" s="1814">
        <f t="shared" si="5"/>
        <v>1</v>
      </c>
    </row>
    <row r="46" spans="1:29" ht="15">
      <c r="A46" s="479" t="s">
        <v>2709</v>
      </c>
      <c r="B46" s="2707" t="s">
        <v>2745</v>
      </c>
      <c r="C46" s="682" t="s">
        <v>1</v>
      </c>
      <c r="D46" s="481"/>
      <c r="E46" s="482"/>
      <c r="F46" s="483"/>
      <c r="G46" s="484"/>
      <c r="H46" s="485"/>
      <c r="I46" s="482"/>
      <c r="J46" s="485"/>
      <c r="K46" s="783"/>
      <c r="L46" s="1146"/>
      <c r="M46" s="1147"/>
      <c r="N46" s="1134"/>
      <c r="O46" s="1147"/>
      <c r="P46" s="3146" t="str">
        <f>A46</f>
        <v>成交单价</v>
      </c>
      <c r="Q46" s="3146"/>
      <c r="R46" s="3148">
        <f>E46</f>
        <v>0</v>
      </c>
      <c r="S46" s="3148"/>
      <c r="T46" s="3148">
        <f>G46</f>
        <v>0</v>
      </c>
      <c r="U46" s="3148"/>
      <c r="V46" s="3148">
        <f>I46</f>
        <v>0</v>
      </c>
      <c r="W46" s="3148"/>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146" t="str">
        <f>A47</f>
        <v>比较价值（元/平方米）</v>
      </c>
      <c r="Q47" s="3146"/>
      <c r="R47" s="3147" t="e">
        <f>ROUND(PRODUCT(R46,AA7:AA45),0)</f>
        <v>#DIV/0!</v>
      </c>
      <c r="S47" s="3147"/>
      <c r="T47" s="3147" t="e">
        <f>ROUND(PRODUCT(T46,AB7:AB45),0)</f>
        <v>#DIV/0!</v>
      </c>
      <c r="U47" s="3147"/>
      <c r="V47" s="3147" t="e">
        <f>ROUND(PRODUCT(V46,AC7:AC45),0)</f>
        <v>#DIV/0!</v>
      </c>
      <c r="W47" s="3147"/>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143" t="str">
        <f>A48</f>
        <v>估价对象XX用房的比较价值（楼面单价，元/平方米）</v>
      </c>
      <c r="Q48" s="3144"/>
      <c r="R48" s="3145" t="e">
        <f>ROUND(AVERAGE(R47:V47),0)</f>
        <v>#DIV/0!</v>
      </c>
      <c r="S48" s="3145"/>
      <c r="T48" s="3145"/>
      <c r="U48" s="3145"/>
      <c r="V48" s="3145"/>
      <c r="W48" s="314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8" t="s">
        <v>2749</v>
      </c>
      <c r="D55" s="2709" t="s">
        <v>2750</v>
      </c>
      <c r="E55" s="686" t="s">
        <v>2751</v>
      </c>
      <c r="F55" s="1110" t="s">
        <v>2752</v>
      </c>
      <c r="G55" s="3156" t="s">
        <v>2753</v>
      </c>
      <c r="H55" s="3170"/>
      <c r="I55" s="144" t="s">
        <v>2754</v>
      </c>
      <c r="J55" s="2710" t="str">
        <f>项目基本情况!F35</f>
        <v>上海市</v>
      </c>
      <c r="K55" s="2711" t="s">
        <v>2755</v>
      </c>
      <c r="L55" s="1109"/>
      <c r="M55" s="1147"/>
      <c r="N55" s="1147"/>
      <c r="O55" s="1147"/>
    </row>
    <row r="56" spans="1:15" s="692" customFormat="1">
      <c r="A56" s="688" t="s">
        <v>2756</v>
      </c>
      <c r="B56" s="689" t="e">
        <f>C48</f>
        <v>#DIV/0!</v>
      </c>
      <c r="C56" s="690">
        <v>1</v>
      </c>
      <c r="D56" s="1166">
        <v>1</v>
      </c>
      <c r="E56" s="690">
        <f>'数据-汇总表'!E8+'数据-汇总表'!E9</f>
        <v>17787.509999999998</v>
      </c>
      <c r="F56" s="1106" t="e">
        <f t="shared" ref="F56:F65" si="15">ROUND(B56*E56/10000,0)</f>
        <v>#DIV/0!</v>
      </c>
      <c r="G56" s="3171"/>
      <c r="H56" s="3146"/>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172"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172"/>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172"/>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172"/>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v>
      </c>
      <c r="D61" s="1167">
        <v>0.25</v>
      </c>
      <c r="E61" s="261">
        <f>'数据-汇总表'!E11</f>
        <v>0</v>
      </c>
      <c r="F61" s="1106" t="e">
        <f t="shared" si="15"/>
        <v>#DIV/0!</v>
      </c>
      <c r="G61" s="2712" t="s">
        <v>2763</v>
      </c>
      <c r="H61" s="1107">
        <f>项目基本情况!C37</f>
        <v>0</v>
      </c>
      <c r="I61" s="1111">
        <f>SUMIF(修正!A45:A56,H61,修正!F45:F56)</f>
        <v>0</v>
      </c>
      <c r="J61" s="1115"/>
      <c r="K61" s="1147"/>
      <c r="L61" s="944"/>
      <c r="M61" s="944"/>
      <c r="N61" s="944"/>
      <c r="O61" s="944"/>
    </row>
    <row r="62" spans="1:15" s="692" customFormat="1">
      <c r="A62" s="693" t="s">
        <v>2764</v>
      </c>
      <c r="B62" s="262" t="e">
        <f t="shared" si="17"/>
        <v>#DIV/0!</v>
      </c>
      <c r="C62" s="200">
        <f t="shared" si="16"/>
        <v>0</v>
      </c>
      <c r="D62" s="1167">
        <v>0.25</v>
      </c>
      <c r="E62" s="261">
        <f>'数据-汇总表'!E12</f>
        <v>0</v>
      </c>
      <c r="F62" s="1106" t="e">
        <f t="shared" si="15"/>
        <v>#DIV/0!</v>
      </c>
      <c r="G62" s="1112" t="s">
        <v>2765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2"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v>
      </c>
      <c r="D65" s="1167">
        <v>0.25</v>
      </c>
      <c r="E65" s="261">
        <f>'数据-汇总表'!E15</f>
        <v>0</v>
      </c>
      <c r="F65" s="1106" t="e">
        <f t="shared" si="15"/>
        <v>#DIV/0!</v>
      </c>
      <c r="G65" s="2713" t="s">
        <v>2763</v>
      </c>
      <c r="H65" s="1117">
        <f>项目基本情况!C37</f>
        <v>0</v>
      </c>
      <c r="I65" s="1113">
        <f>SUMIF(修正!A45:A56,H65,修正!H45:H56)</f>
        <v>0</v>
      </c>
      <c r="J65" s="1116"/>
      <c r="K65" s="1147"/>
      <c r="L65" s="944"/>
      <c r="M65" s="944"/>
      <c r="N65" s="944"/>
      <c r="O65" s="944"/>
    </row>
    <row r="66" spans="1:17" s="692" customFormat="1" ht="13.5" thickBot="1">
      <c r="A66" s="695" t="s">
        <v>2770</v>
      </c>
      <c r="B66" s="696" t="s">
        <v>28</v>
      </c>
      <c r="C66" s="696" t="s">
        <v>29</v>
      </c>
      <c r="D66" s="696" t="s">
        <v>1029</v>
      </c>
      <c r="E66" s="696">
        <f>IF(B46="楼面地价",SUM(E56:E65),'数据-汇总表'!D3)</f>
        <v>17787.509999999998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4" t="s">
        <v>2771</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2772</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2792</v>
      </c>
      <c r="B1" s="241"/>
      <c r="C1" s="245" t="s">
        <v>2793</v>
      </c>
      <c r="D1" s="388">
        <f>SUM(D29:D30,D33:D39)</f>
        <v>0</v>
      </c>
      <c r="E1" s="2720"/>
      <c r="F1" s="2720"/>
      <c r="G1" s="2720"/>
      <c r="H1" s="2720"/>
      <c r="I1" s="2720"/>
      <c r="J1" s="2720"/>
      <c r="K1" s="1373"/>
      <c r="L1" s="2721" t="s">
        <v>2794</v>
      </c>
      <c r="M1" s="1083">
        <f>SUMPRODUCT((区片价!B5:B9=I2)*(区片价!C3:F3=E2)*(区片价!C5:F9))</f>
        <v>0</v>
      </c>
      <c r="N1" s="1086">
        <f>SUMPRODUCT((因素修正幅度!B5:B9=I2)*(因素修正幅度!C3:F3=E2)*(因素修正幅度!C5:F9))</f>
        <v>0</v>
      </c>
      <c r="O1" s="2722"/>
      <c r="P1" s="2722"/>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24" t="s">
        <v>2801</v>
      </c>
      <c r="D2" s="2725" t="s">
        <v>2802</v>
      </c>
      <c r="E2" s="2726"/>
      <c r="F2" s="2725" t="s">
        <v>2803</v>
      </c>
      <c r="G2" s="2727">
        <f>IF(E2="商业",项目基本情况!B37,IF(E2="办公",项目基本情况!C37,IF(E2="住宅",项目基本情况!D37,项目基本情况!E37)))</f>
        <v>0</v>
      </c>
      <c r="H2" s="2725" t="s">
        <v>2804</v>
      </c>
      <c r="I2" s="2727">
        <f>IF(E2="商业",项目基本情况!B38,IF(E2="办公",项目基本情况!C38,IF(E2="住宅",项目基本情况!D38,项目基本情况!E38)))</f>
        <v>0</v>
      </c>
      <c r="J2" s="2728"/>
      <c r="K2" s="1373"/>
      <c r="L2" s="2729" t="s">
        <v>2805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24" t="s">
        <v>2807</v>
      </c>
      <c r="D3" s="2725" t="s">
        <v>2808</v>
      </c>
      <c r="E3" s="2730"/>
      <c r="F3" s="2731" t="s">
        <v>2809</v>
      </c>
      <c r="G3" s="916">
        <f>IF(F3="宗地容积率",'数据-汇总表'!I4,IF(F3="估价对象容积率",'数据-汇总表'!I6,'数据-汇总表'!I7))</f>
        <v>0.51</v>
      </c>
      <c r="H3" s="198" t="s">
        <v>2810</v>
      </c>
      <c r="I3" s="947"/>
      <c r="J3" s="2728" t="s">
        <v>2811</v>
      </c>
      <c r="K3" s="1373"/>
      <c r="L3" s="2729" t="s">
        <v>2812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7"/>
      <c r="B4" s="3258"/>
      <c r="C4" s="3258"/>
      <c r="D4" s="3259"/>
      <c r="E4" s="3259"/>
      <c r="F4" s="3259"/>
      <c r="G4" s="3259"/>
      <c r="H4" s="3259"/>
      <c r="I4" s="3259"/>
      <c r="J4" s="3260"/>
      <c r="K4" s="1373"/>
      <c r="L4" s="2729" t="s">
        <v>2813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2815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2816</v>
      </c>
      <c r="B6" s="2743" t="s">
        <v>2817</v>
      </c>
      <c r="C6" s="918">
        <f>SUMIF(L1:L12,G2,M1:M12)</f>
        <v>0</v>
      </c>
      <c r="D6" s="2744" t="s">
        <v>2818</v>
      </c>
      <c r="E6" s="2745"/>
      <c r="F6" s="2745"/>
      <c r="G6" s="2746"/>
      <c r="H6" s="2746"/>
      <c r="I6" s="2746"/>
      <c r="J6" s="2747"/>
      <c r="K6" s="1845"/>
      <c r="L6" s="2729" t="s">
        <v>2819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43" t="str">
        <f>IF(E2="商业",IF(C8="不临58条商业街","",2),"")</f>
        <v/>
      </c>
      <c r="B7" s="2748" t="s">
        <v>2820</v>
      </c>
      <c r="C7" s="919" t="e">
        <f>IF(C8="不临58条商业街",1,ROUND(1+(1.6*E8+1.2*E9+0.8*E10+0.4*E11)*C9,4))</f>
        <v>#DIV/0!</v>
      </c>
      <c r="D7" s="2749" t="s">
        <v>2821</v>
      </c>
      <c r="E7" s="948"/>
      <c r="F7" s="2750"/>
      <c r="G7" s="2751"/>
      <c r="H7" s="2751"/>
      <c r="I7" s="2751"/>
      <c r="J7" s="2752"/>
      <c r="K7" s="1845"/>
      <c r="L7" s="2729" t="s">
        <v>2822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2823</v>
      </c>
      <c r="X7" s="1607">
        <f>G2</f>
        <v>0</v>
      </c>
      <c r="Y7" s="1607" t="s">
        <v>2824</v>
      </c>
      <c r="Z7" s="1608">
        <f>G3</f>
        <v>0.51</v>
      </c>
      <c r="AA7" s="1609"/>
      <c r="AB7" s="1609"/>
      <c r="AC7" s="1610"/>
      <c r="AD7" s="1611"/>
      <c r="AE7" s="1611"/>
      <c r="AF7" s="1611"/>
      <c r="AG7" s="1611"/>
      <c r="AH7" s="1611"/>
      <c r="AI7" s="1611"/>
      <c r="AJ7" s="1612"/>
    </row>
    <row r="8" spans="1:36" ht="15">
      <c r="A8" s="3244"/>
      <c r="B8" s="198" t="s">
        <v>2825</v>
      </c>
      <c r="C8" s="2753"/>
      <c r="D8" s="920" t="s">
        <v>139</v>
      </c>
      <c r="E8" s="921" t="e">
        <f>ROUND(C11/E7,4)</f>
        <v>#DIV/0!</v>
      </c>
      <c r="F8" s="2754" t="s">
        <v>2826</v>
      </c>
      <c r="G8" s="2755"/>
      <c r="H8" s="2755"/>
      <c r="I8" s="2755"/>
      <c r="J8" s="2756"/>
      <c r="K8" s="1373"/>
      <c r="L8" s="2729"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4" t="s">
        <v>2828</v>
      </c>
      <c r="X8" s="3255"/>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44"/>
      <c r="B9" s="198" t="s">
        <v>2841</v>
      </c>
      <c r="C9" s="922">
        <f>SUMIF(修正!C59:C119,C8,修正!E59:E119)</f>
        <v>0</v>
      </c>
      <c r="D9" s="200" t="s">
        <v>140</v>
      </c>
      <c r="E9" s="200" t="e">
        <f>ROUND(C11/E7,4)</f>
        <v>#DIV/0!</v>
      </c>
      <c r="F9" s="2754" t="s">
        <v>2842</v>
      </c>
      <c r="G9" s="2755"/>
      <c r="H9" s="2755"/>
      <c r="I9" s="2755"/>
      <c r="J9" s="2756"/>
      <c r="K9" s="1373"/>
      <c r="L9" s="2729"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6" t="s">
        <v>2844</v>
      </c>
      <c r="X9" s="1614" t="s">
        <v>2845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4"/>
      <c r="B10" s="198" t="s">
        <v>2846</v>
      </c>
      <c r="C10" s="200">
        <f>SUMIF(修正!C59:C119,C8,修正!F59:F119)</f>
        <v>0</v>
      </c>
      <c r="D10" s="200" t="s">
        <v>141</v>
      </c>
      <c r="E10" s="200" t="e">
        <f>ROUND(C11/E7,4)</f>
        <v>#DIV/0!</v>
      </c>
      <c r="F10" s="2754" t="s">
        <v>2847</v>
      </c>
      <c r="G10" s="2755"/>
      <c r="H10" s="2755"/>
      <c r="I10" s="2755"/>
      <c r="J10" s="2756"/>
      <c r="K10" s="1373"/>
      <c r="L10" s="2729"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4"/>
      <c r="B11" s="2757" t="s">
        <v>2849</v>
      </c>
      <c r="C11" s="923">
        <f>C10/4</f>
        <v>0</v>
      </c>
      <c r="D11" s="923" t="s">
        <v>142</v>
      </c>
      <c r="E11" s="923" t="e">
        <f>ROUND(C11/E7,4)</f>
        <v>#DIV/0!</v>
      </c>
      <c r="F11" s="2758" t="s">
        <v>2850</v>
      </c>
      <c r="G11" s="2759"/>
      <c r="H11" s="2759"/>
      <c r="I11" s="2759"/>
      <c r="J11" s="2760"/>
      <c r="K11" s="1373"/>
      <c r="L11" s="2729"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6" t="s">
        <v>2852</v>
      </c>
      <c r="X11" s="1617" t="s">
        <v>2853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43" t="s">
        <v>2854</v>
      </c>
      <c r="B12" s="2761" t="s">
        <v>2855</v>
      </c>
      <c r="C12" s="919">
        <f>ROUND(C15*D15*E15*F15*G15*H15*I15*J15,4)</f>
        <v>1</v>
      </c>
      <c r="D12" s="2762" t="s">
        <v>2856</v>
      </c>
      <c r="E12" s="2763"/>
      <c r="F12" s="2763"/>
      <c r="G12" s="2764"/>
      <c r="H12" s="2764"/>
      <c r="I12" s="2764"/>
      <c r="J12" s="2765"/>
      <c r="K12" s="1373"/>
      <c r="L12" s="2766"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6"/>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7" t="s">
        <v>2859</v>
      </c>
      <c r="C13" s="2768" t="s">
        <v>2860</v>
      </c>
      <c r="D13" s="1811" t="s">
        <v>2861</v>
      </c>
      <c r="E13" s="1811" t="s">
        <v>2862</v>
      </c>
      <c r="F13" s="30" t="s">
        <v>2863</v>
      </c>
      <c r="G13" s="2769" t="s">
        <v>2864</v>
      </c>
      <c r="H13" s="2769" t="s">
        <v>2864</v>
      </c>
      <c r="I13" s="2769" t="s">
        <v>2864</v>
      </c>
      <c r="J13" s="2770" t="s">
        <v>2864</v>
      </c>
      <c r="K13" s="1373"/>
      <c r="L13" s="1373"/>
      <c r="M13" s="1373"/>
      <c r="N13" s="1373"/>
      <c r="O13" s="1373"/>
      <c r="P13" s="1373"/>
      <c r="Q13" s="1373"/>
      <c r="R13" s="1605">
        <v>12</v>
      </c>
      <c r="S13" s="1606"/>
      <c r="T13" s="1605" t="e">
        <f t="shared" si="0"/>
        <v>#DIV/0!</v>
      </c>
      <c r="U13" s="1606"/>
      <c r="V13" s="1605" t="e">
        <f t="shared" si="1"/>
        <v>#DIV/0!</v>
      </c>
      <c r="W13" s="3256"/>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61"/>
      <c r="B14" s="2771"/>
      <c r="C14" s="2772"/>
      <c r="D14" s="2773"/>
      <c r="E14" s="2773"/>
      <c r="F14" s="2774"/>
      <c r="G14" s="2775" t="s">
        <v>2865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79" t="s">
        <v>2866</v>
      </c>
      <c r="C15" s="229">
        <f>IF(C14="有",1.1,1)</f>
        <v>1</v>
      </c>
      <c r="D15" s="229">
        <f>IF(D14="有",1.1,1)</f>
        <v>1</v>
      </c>
      <c r="E15" s="229">
        <f>IF(E14="有",1.1,1)</f>
        <v>1</v>
      </c>
      <c r="F15" s="229">
        <f>IF(F14="500米范围内",1.2,IF(F14="500-1000米",1.1,1))</f>
        <v>1</v>
      </c>
      <c r="G15" s="949">
        <v>1</v>
      </c>
      <c r="H15" s="949">
        <v>1</v>
      </c>
      <c r="I15" s="949">
        <v>1</v>
      </c>
      <c r="J15" s="950">
        <v>1</v>
      </c>
      <c r="K15" s="1373"/>
      <c r="L15" s="2780" t="s">
        <v>2802</v>
      </c>
      <c r="M15" s="920" t="s">
        <v>2867</v>
      </c>
      <c r="N15" s="920" t="s">
        <v>2868</v>
      </c>
      <c r="O15" s="920" t="s">
        <v>2869</v>
      </c>
      <c r="P15" s="2781"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3" t="s">
        <v>2871</v>
      </c>
      <c r="B16" s="2748" t="s">
        <v>2872</v>
      </c>
      <c r="C16" s="1804" t="e">
        <f>ROUND(SUM(G17:J17)/C17,0)</f>
        <v>#DIV/0!</v>
      </c>
      <c r="D16" s="2782" t="s">
        <v>2873</v>
      </c>
      <c r="E16" s="2783"/>
      <c r="F16" s="2784"/>
      <c r="G16" s="2785"/>
      <c r="H16" s="2785"/>
      <c r="I16" s="2785"/>
      <c r="J16" s="2786"/>
      <c r="K16" s="1373"/>
      <c r="L16" s="2787"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4"/>
      <c r="B17" s="2788" t="s">
        <v>2875</v>
      </c>
      <c r="C17" s="924">
        <f>SUMPRODUCT((修正!A2:A5=E2)*(修正!B1:M1=G2)*(修正!B2:M5))</f>
        <v>0</v>
      </c>
      <c r="D17" s="2789"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2879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2880</v>
      </c>
      <c r="C19" s="927" t="e">
        <f>ROUND(IF(H19="按公示增长率计算",SUMPRODUCT((地价!A3:A22=YEAR(G19)&amp;"-"&amp;ROUNDUP(MONTH(G19)/3,0))*(地价!X2:AB2=E2)*(地价!X3:AB22)),IF(H19="地价指数",M20/M19,(1+I19)^O19)),4)</f>
        <v>#DIV/0!</v>
      </c>
      <c r="D19" s="2800" t="s">
        <v>2881</v>
      </c>
      <c r="E19" s="928">
        <v>41640</v>
      </c>
      <c r="F19" s="2800" t="s">
        <v>2882</v>
      </c>
      <c r="G19" s="929">
        <f>'数据-取费表'!B2</f>
        <v>43217</v>
      </c>
      <c r="H19" s="2801" t="s">
        <v>2883</v>
      </c>
      <c r="I19" s="930" t="str">
        <f>IF(H19="季度增幅（自定义）",SUMIF(N21:N24,E2,O21:O24),"")</f>
        <v/>
      </c>
      <c r="J19" s="2798"/>
      <c r="K19" s="1380"/>
      <c r="L19" s="2802" t="s">
        <v>2884</v>
      </c>
      <c r="M19" s="1737">
        <f>ROUND(SUMIF(地价!B2:F2,E2,地价!B22:F22),0)</f>
        <v>0</v>
      </c>
      <c r="N19" s="2803"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2886</v>
      </c>
      <c r="C20" s="932" t="e">
        <f>ROUND(POWER(1+G20,J20-I20)*(POWER(1+G20,I20)-1)/(POWER(1+G20,J20)-1),4)</f>
        <v>#DIV/0!</v>
      </c>
      <c r="D20" s="2809" t="s">
        <v>2887</v>
      </c>
      <c r="E20" s="1771">
        <f ca="1">存贷款利率!D4/100</f>
        <v>4.3499999999999997E-2</v>
      </c>
      <c r="F20" s="2809" t="s">
        <v>2878</v>
      </c>
      <c r="G20" s="937">
        <f>SUMIF(M15:P15,E2,M17:P17)</f>
        <v>0</v>
      </c>
      <c r="H20" s="2809" t="s">
        <v>2888</v>
      </c>
      <c r="I20" s="938" t="e">
        <f>SUMIF('数据-取费表'!C6:C15,E2,'数据-取费表'!F6:F15)/COUNTIF('数据-取费表'!C6:C15,E2)</f>
        <v>#DIV/0!</v>
      </c>
      <c r="J20" s="939">
        <f>IF(E2="住宅",70,IF(E2="商业",40,50))</f>
        <v>50</v>
      </c>
      <c r="K20" s="1380"/>
      <c r="L20" s="2810" t="s">
        <v>2889</v>
      </c>
      <c r="M20" s="1738">
        <f>ROUND(SUMPRODUCT((地价!A4:A22=YEAR(G19)&amp;"-"&amp;ROUNDUP(MONTH(G19)/3,0))*(地价!B2:F2=E2)*(地价!B4:F22)),0)</f>
        <v>0</v>
      </c>
      <c r="N20" s="2811" t="s">
        <v>2890</v>
      </c>
      <c r="O20" s="2812" t="s">
        <v>2891</v>
      </c>
      <c r="P20" s="2813" t="s">
        <v>2892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2893</v>
      </c>
      <c r="C21" s="940">
        <f>IF(B21="容积率修正",IF(G3&lt;=10,D22,J22),C23)</f>
        <v>0</v>
      </c>
      <c r="D21" s="2816"/>
      <c r="E21" s="2816"/>
      <c r="F21" s="2816"/>
      <c r="G21" s="2816"/>
      <c r="H21" s="2816"/>
      <c r="I21" s="2816"/>
      <c r="J21" s="2817"/>
      <c r="K21" s="1380"/>
      <c r="N21" s="2818"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2895</v>
      </c>
      <c r="B22" s="2819" t="s">
        <v>2896</v>
      </c>
      <c r="C22" s="1813" t="s">
        <v>2897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7" t="s">
        <v>2899</v>
      </c>
      <c r="B23" s="2820" t="s">
        <v>2900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2902</v>
      </c>
      <c r="C24" s="927">
        <f>SUMIF(A45:A88,E2,B45:B88)</f>
        <v>0</v>
      </c>
      <c r="D24" s="2796"/>
      <c r="E24" s="2826"/>
      <c r="F24" s="2826"/>
      <c r="G24" s="2826"/>
      <c r="H24" s="2826"/>
      <c r="I24" s="2826"/>
      <c r="J24" s="2827"/>
      <c r="K24" s="1380"/>
      <c r="N24" s="2828"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2904</v>
      </c>
      <c r="C25" s="933"/>
      <c r="D25" s="2751"/>
      <c r="E25" s="2751"/>
      <c r="F25" s="2830"/>
      <c r="G25" s="2751"/>
      <c r="H25" s="2751"/>
      <c r="I25" s="2751"/>
      <c r="J25" s="2752"/>
      <c r="K25" s="1373"/>
      <c r="N25" s="2831"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2"/>
      <c r="B26" s="2819" t="s">
        <v>2906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2908</v>
      </c>
      <c r="C28" s="2843" t="s">
        <v>2909</v>
      </c>
      <c r="D28" s="2843" t="s">
        <v>2910</v>
      </c>
      <c r="E28" s="2844" t="s">
        <v>2911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2912</v>
      </c>
      <c r="C29" s="206" t="e">
        <f>ROUND(C5*C18*C19*C20*C21*C24,0)</f>
        <v>#DIV/0!</v>
      </c>
      <c r="D29" s="2848"/>
      <c r="E29" s="945" t="e">
        <f>ROUND(C29*D29/10000,0)</f>
        <v>#DIV/0!</v>
      </c>
      <c r="F29" s="2849" t="s">
        <v>2913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2914</v>
      </c>
      <c r="C30" s="229" t="e">
        <f>ROUND(IF(E2="工业",C29*M39,C29*M38),0)</f>
        <v>#DIV/0!</v>
      </c>
      <c r="D30" s="2854"/>
      <c r="E30" s="945" t="e">
        <f>ROUND(C30*D30/10000,0)</f>
        <v>#DIV/0!</v>
      </c>
      <c r="F30" s="2855" t="s">
        <v>2915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2916</v>
      </c>
      <c r="C31" s="2860" t="s">
        <v>2917</v>
      </c>
      <c r="D31" s="2764"/>
      <c r="E31" s="2860"/>
      <c r="F31" s="2860"/>
      <c r="G31" s="2762" t="s">
        <v>2918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2909</v>
      </c>
      <c r="D32" s="498" t="s">
        <v>2910</v>
      </c>
      <c r="E32" s="498" t="s">
        <v>2911</v>
      </c>
      <c r="F32" s="388" t="s">
        <v>2919</v>
      </c>
      <c r="G32" s="2863" t="s">
        <v>2909</v>
      </c>
      <c r="H32" s="2863" t="s">
        <v>2910</v>
      </c>
      <c r="I32" s="2863"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51" t="s">
        <v>2920</v>
      </c>
      <c r="B33" s="2864" t="s">
        <v>2921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68" t="s">
        <v>2922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68" t="s">
        <v>2923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53"/>
      <c r="B36" s="2768" t="s">
        <v>2924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2926</v>
      </c>
      <c r="M37" s="2868"/>
      <c r="N37" s="1373"/>
      <c r="O37" s="1373"/>
      <c r="P37" s="1373"/>
      <c r="Q37" s="1373"/>
      <c r="R37" s="1373"/>
      <c r="S37" s="1373"/>
      <c r="T37" s="1373"/>
      <c r="U37" s="1373"/>
      <c r="V37" s="1373"/>
      <c r="W37" s="1373"/>
      <c r="X37" s="1373"/>
      <c r="Y37" s="1373"/>
      <c r="Z37" s="1374"/>
    </row>
    <row r="38" spans="1:37">
      <c r="A38" s="2866"/>
      <c r="B38" s="2768" t="s">
        <v>2927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2928</v>
      </c>
      <c r="M38" s="2869">
        <v>0.25</v>
      </c>
      <c r="N38" s="1373"/>
      <c r="O38" s="1373"/>
      <c r="P38" s="1373"/>
      <c r="Q38" s="1373"/>
      <c r="R38" s="1373"/>
      <c r="S38" s="1373"/>
      <c r="T38" s="1373"/>
      <c r="U38" s="1373"/>
      <c r="V38" s="1373"/>
      <c r="W38" s="1373"/>
      <c r="X38" s="1373"/>
      <c r="Y38" s="1373"/>
      <c r="Z38" s="1374"/>
    </row>
    <row r="39" spans="1:37" ht="13.5" thickBot="1">
      <c r="A39" s="2852"/>
      <c r="B39" s="2870" t="s">
        <v>2929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2870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2932</v>
      </c>
      <c r="B47" s="1812" t="s">
        <v>2933</v>
      </c>
      <c r="C47" s="1812" t="s">
        <v>2934</v>
      </c>
      <c r="D47" s="1812" t="s">
        <v>2935</v>
      </c>
      <c r="E47" s="819" t="s">
        <v>2936</v>
      </c>
      <c r="F47" s="2882" t="s">
        <v>2937</v>
      </c>
      <c r="G47" s="1812" t="s">
        <v>754</v>
      </c>
      <c r="H47" s="2883" t="s">
        <v>2938</v>
      </c>
      <c r="I47" s="1812" t="s">
        <v>2939</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24.75">
      <c r="A48" s="2881" t="s">
        <v>2940</v>
      </c>
      <c r="B48" s="2884">
        <f>估价对象房地状况!C4</f>
        <v>0</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1" t="s">
        <v>2941</v>
      </c>
      <c r="B49" s="2885">
        <f>估价对象房地状况!C18</f>
        <v>0</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2943</v>
      </c>
      <c r="B51" s="2886" t="s">
        <v>2944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2946</v>
      </c>
      <c r="B53" s="2887" t="s">
        <v>2947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8" t="s">
        <v>2948</v>
      </c>
      <c r="B54" s="1728">
        <f>估价对象房地状况!C21</f>
        <v>0</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8" t="s">
        <v>2949</v>
      </c>
      <c r="B55" s="2885">
        <f>估价对象房地状况!C22</f>
        <v>0</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9" t="s">
        <v>2950</v>
      </c>
      <c r="B56" s="2890">
        <f>估价对象房地状况!C20</f>
        <v>0</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2932</v>
      </c>
      <c r="B58" s="1812"/>
      <c r="C58" s="1812" t="s">
        <v>2934</v>
      </c>
      <c r="D58" s="1812" t="s">
        <v>2935</v>
      </c>
      <c r="E58" s="819" t="s">
        <v>2936</v>
      </c>
      <c r="F58" s="2882" t="s">
        <v>2952</v>
      </c>
      <c r="G58" s="1812" t="s">
        <v>754</v>
      </c>
      <c r="H58" s="2883" t="s">
        <v>2938</v>
      </c>
      <c r="I58" s="1812" t="s">
        <v>2939</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24">
      <c r="A59" s="2881" t="s">
        <v>2953</v>
      </c>
      <c r="B59" s="2884">
        <f>估价对象房地状况!C17</f>
        <v>0</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1" t="s">
        <v>2941</v>
      </c>
      <c r="B60" s="2885">
        <f>估价对象房地状况!C18</f>
        <v>0</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2943</v>
      </c>
      <c r="B62" s="2886" t="s">
        <v>2944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2946</v>
      </c>
      <c r="B64" s="2887" t="s">
        <v>2947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1" t="s">
        <v>2948</v>
      </c>
      <c r="B65" s="1728">
        <f>估价对象房地状况!C21</f>
        <v>0</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1" t="s">
        <v>2949</v>
      </c>
      <c r="B66" s="1728">
        <f>估价对象房地状况!C22</f>
        <v>0</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9" t="s">
        <v>2950</v>
      </c>
      <c r="B67" s="2891">
        <f>估价对象房地状况!C20</f>
        <v>0</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2932</v>
      </c>
      <c r="B69" s="1812"/>
      <c r="C69" s="1812" t="s">
        <v>2934</v>
      </c>
      <c r="D69" s="1812" t="s">
        <v>2935</v>
      </c>
      <c r="E69" s="819" t="s">
        <v>2936</v>
      </c>
      <c r="F69" s="2882" t="s">
        <v>2952</v>
      </c>
      <c r="G69" s="1812" t="s">
        <v>754</v>
      </c>
      <c r="H69" s="2883" t="s">
        <v>2938</v>
      </c>
      <c r="I69" s="1812" t="s">
        <v>2939</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24">
      <c r="A70" s="2881" t="s">
        <v>2955</v>
      </c>
      <c r="B70" s="2884">
        <f>估价对象房地状况!C15</f>
        <v>0</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1" t="s">
        <v>2941</v>
      </c>
      <c r="B71" s="2885">
        <f>估价对象房地状况!C18</f>
        <v>0</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1" t="s">
        <v>2948</v>
      </c>
      <c r="B74" s="1728">
        <f>估价对象房地状况!C21</f>
        <v>0</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1" t="s">
        <v>2949</v>
      </c>
      <c r="B75" s="1728">
        <f>估价对象房地状况!C22</f>
        <v>0</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2946</v>
      </c>
      <c r="B76" s="2887" t="s">
        <v>2947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c r="A77" s="2881" t="s">
        <v>2950</v>
      </c>
      <c r="B77" s="2884">
        <f>估价对象房地状况!C20</f>
        <v>0</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2957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2958</v>
      </c>
      <c r="B79" s="2878">
        <f>1+E81</f>
        <v>1</v>
      </c>
      <c r="C79" s="814"/>
      <c r="D79" s="814"/>
      <c r="E79" s="815"/>
      <c r="F79" s="2880"/>
      <c r="G79" s="6"/>
      <c r="H79" s="6"/>
      <c r="I79" s="6"/>
      <c r="J79" s="7"/>
      <c r="K79" s="7"/>
      <c r="L79" s="7"/>
      <c r="M79" s="7"/>
      <c r="N79" s="7"/>
      <c r="Z79" s="2723"/>
      <c r="AA79" s="2799"/>
      <c r="AG79" s="1375"/>
      <c r="AK79" s="2799"/>
    </row>
    <row r="80" spans="1:37" ht="24.75">
      <c r="A80" s="2881" t="s">
        <v>2932</v>
      </c>
      <c r="B80" s="1812"/>
      <c r="C80" s="1812" t="s">
        <v>2934</v>
      </c>
      <c r="D80" s="1812" t="s">
        <v>2935</v>
      </c>
      <c r="E80" s="819" t="s">
        <v>2936</v>
      </c>
      <c r="F80" s="2882" t="s">
        <v>2952</v>
      </c>
      <c r="G80" s="1812" t="s">
        <v>754</v>
      </c>
      <c r="H80" s="2883" t="s">
        <v>2938</v>
      </c>
      <c r="I80" s="1812" t="s">
        <v>2939</v>
      </c>
      <c r="J80" s="603" t="s">
        <v>2586</v>
      </c>
      <c r="K80" s="603" t="s">
        <v>2587</v>
      </c>
      <c r="L80" s="603" t="s">
        <v>2588</v>
      </c>
      <c r="M80" s="603" t="s">
        <v>2589</v>
      </c>
      <c r="N80" s="603" t="s">
        <v>2590</v>
      </c>
      <c r="Z80" s="2723"/>
      <c r="AA80" s="2799"/>
      <c r="AG80" s="1375"/>
      <c r="AK80" s="2799"/>
    </row>
    <row r="81" spans="1:37" ht="24">
      <c r="A81" s="2881" t="s">
        <v>2959</v>
      </c>
      <c r="B81" s="2885" t="str">
        <f>估价对象房地状况!G15</f>
        <v>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14.25">
      <c r="A82" s="2881" t="s">
        <v>2941</v>
      </c>
      <c r="B82" s="2885" t="str">
        <f>估价对象房地状况!G16</f>
        <v>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2942</v>
      </c>
      <c r="B83" s="2885" t="str">
        <f>估价对象房地状况!G17</f>
        <v>较好</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2956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4">
      <c r="A85" s="2881" t="s">
        <v>2948</v>
      </c>
      <c r="B85" s="1728" t="str">
        <f>估价对象房地状况!G19</f>
        <v>较好</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4">
      <c r="A86" s="2881" t="s">
        <v>2949</v>
      </c>
      <c r="B86" s="1728" t="str">
        <f>估价对象房地状况!G20</f>
        <v>六通</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2946</v>
      </c>
      <c r="B87" s="2887" t="s">
        <v>2960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15" thickBot="1">
      <c r="A88" s="2889" t="s">
        <v>2961</v>
      </c>
      <c r="B88" s="2894" t="str">
        <f>估价对象房地状况!G18</f>
        <v>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45" t="s">
        <v>2962</v>
      </c>
      <c r="B90" s="3245"/>
      <c r="C90" s="3245"/>
      <c r="D90" s="3245"/>
      <c r="E90" s="3245"/>
      <c r="F90" s="3245"/>
      <c r="G90" s="3245"/>
      <c r="H90" s="3245"/>
      <c r="I90" s="3245"/>
      <c r="J90" s="3245"/>
      <c r="K90" s="2895"/>
      <c r="L90" s="2895"/>
      <c r="M90" s="2895"/>
      <c r="N90" s="2895"/>
    </row>
    <row r="91" spans="1:37">
      <c r="A91" s="3247" t="s">
        <v>2963</v>
      </c>
      <c r="B91" s="3247" t="s">
        <v>2964</v>
      </c>
      <c r="C91" s="2849" t="s">
        <v>2965</v>
      </c>
      <c r="D91" s="2850"/>
      <c r="E91" s="2850"/>
      <c r="F91" s="2850"/>
      <c r="G91" s="2850"/>
      <c r="H91" s="2850"/>
      <c r="I91" s="2850"/>
      <c r="J91" s="2896"/>
      <c r="K91" s="2897"/>
      <c r="L91" s="2897"/>
      <c r="M91" s="2897"/>
      <c r="N91" s="2897"/>
    </row>
    <row r="92" spans="1:37">
      <c r="A92" s="3247"/>
      <c r="B92" s="3247"/>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48" t="s">
        <v>2966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9"/>
      <c r="B99" s="2898" t="s">
        <v>2845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8" t="s">
        <v>2967</v>
      </c>
      <c r="B101" s="2902" t="s">
        <v>2968</v>
      </c>
      <c r="C101" s="2903">
        <f>$G$3</f>
        <v>0.51</v>
      </c>
      <c r="D101" s="2903">
        <f t="shared" ref="D101:N101" si="31">$G$3</f>
        <v>0.51</v>
      </c>
      <c r="E101" s="2903">
        <f t="shared" si="31"/>
        <v>0.51</v>
      </c>
      <c r="F101" s="2903">
        <f t="shared" si="31"/>
        <v>0.51</v>
      </c>
      <c r="G101" s="2903">
        <f t="shared" si="31"/>
        <v>0.51</v>
      </c>
      <c r="H101" s="2903">
        <f t="shared" si="31"/>
        <v>0.51</v>
      </c>
      <c r="I101" s="2903">
        <f t="shared" si="31"/>
        <v>0.51</v>
      </c>
      <c r="J101" s="2903">
        <f t="shared" si="31"/>
        <v>0.51</v>
      </c>
      <c r="K101" s="2903">
        <f t="shared" si="31"/>
        <v>0.51</v>
      </c>
      <c r="L101" s="2903">
        <f t="shared" si="31"/>
        <v>0.51</v>
      </c>
      <c r="M101" s="2903">
        <f t="shared" si="31"/>
        <v>0.51</v>
      </c>
      <c r="N101" s="2903">
        <f t="shared" si="31"/>
        <v>0.51</v>
      </c>
    </row>
    <row r="102" spans="1:14">
      <c r="A102" s="3249"/>
      <c r="B102" s="2898">
        <v>1</v>
      </c>
      <c r="C102" s="2899">
        <f>1.9362/C101</f>
        <v>3.796470588235294</v>
      </c>
      <c r="D102" s="2899">
        <f>1.9362/D101</f>
        <v>3.796470588235294</v>
      </c>
      <c r="E102" s="2899">
        <f>1.8629/E101</f>
        <v>3.6527450980392158</v>
      </c>
      <c r="F102" s="2899">
        <f>1.8629/F101</f>
        <v>3.6527450980392158</v>
      </c>
      <c r="G102" s="2899">
        <f>1.8629/G101</f>
        <v>3.6527450980392158</v>
      </c>
      <c r="H102" s="2899">
        <f>1.8629/H101</f>
        <v>3.6527450980392158</v>
      </c>
      <c r="I102" s="2899">
        <f>1.8629/I101</f>
        <v>3.6527450980392158</v>
      </c>
      <c r="J102" s="2899">
        <f>1.942/J101</f>
        <v>3.8078431372549018</v>
      </c>
      <c r="K102" s="2899">
        <f>1.942/K101</f>
        <v>3.8078431372549018</v>
      </c>
      <c r="L102" s="2899">
        <f>1.942/L101</f>
        <v>3.8078431372549018</v>
      </c>
      <c r="M102" s="2899">
        <f>1.942/M101</f>
        <v>3.8078431372549018</v>
      </c>
      <c r="N102" s="2899">
        <f>1.942/N101</f>
        <v>3.8078431372549018</v>
      </c>
    </row>
    <row r="103" spans="1:14">
      <c r="A103" s="3249"/>
      <c r="B103" s="2898">
        <v>2</v>
      </c>
      <c r="C103" s="2899">
        <f>1.4198/C101</f>
        <v>2.7839215686274508</v>
      </c>
      <c r="D103" s="2899">
        <f>1.4198/D101</f>
        <v>2.7839215686274508</v>
      </c>
      <c r="E103" s="2899">
        <f>1.3372/E101</f>
        <v>2.6219607843137251</v>
      </c>
      <c r="F103" s="2899">
        <f>1.3372/F101</f>
        <v>2.6219607843137251</v>
      </c>
      <c r="G103" s="2899">
        <f>1.3372/G101</f>
        <v>2.6219607843137251</v>
      </c>
      <c r="H103" s="2899">
        <f>1.3372/H101</f>
        <v>2.6219607843137251</v>
      </c>
      <c r="I103" s="2899">
        <f>1.3372/I101</f>
        <v>2.6219607843137251</v>
      </c>
      <c r="J103" s="2899">
        <f>1.2799/J101</f>
        <v>2.509607843137255</v>
      </c>
      <c r="K103" s="2899">
        <f>1.2799/K101</f>
        <v>2.509607843137255</v>
      </c>
      <c r="L103" s="2899">
        <f>1.2799/L101</f>
        <v>2.509607843137255</v>
      </c>
      <c r="M103" s="2899">
        <f>1.2799/M101</f>
        <v>2.509607843137255</v>
      </c>
      <c r="N103" s="2899">
        <f>1.2799/N101</f>
        <v>2.509607843137255</v>
      </c>
    </row>
    <row r="104" spans="1:14">
      <c r="A104" s="3249"/>
      <c r="B104" s="2898">
        <v>3</v>
      </c>
      <c r="C104" s="2899">
        <f>1.1594/C101</f>
        <v>2.2733333333333334</v>
      </c>
      <c r="D104" s="2899">
        <f>1.1594/D101</f>
        <v>2.2733333333333334</v>
      </c>
      <c r="E104" s="2899">
        <f>1.0788/E101</f>
        <v>2.1152941176470588</v>
      </c>
      <c r="F104" s="2899">
        <f>1.0788/F101</f>
        <v>2.1152941176470588</v>
      </c>
      <c r="G104" s="2899">
        <f>1.0788/G101</f>
        <v>2.1152941176470588</v>
      </c>
      <c r="H104" s="2899">
        <f>1.0788/H101</f>
        <v>2.1152941176470588</v>
      </c>
      <c r="I104" s="2899">
        <f>1.0788/I101</f>
        <v>2.1152941176470588</v>
      </c>
      <c r="J104" s="2899">
        <f>1.0072/J101</f>
        <v>1.9749019607843139</v>
      </c>
      <c r="K104" s="2899">
        <f>1.0072/K101</f>
        <v>1.9749019607843139</v>
      </c>
      <c r="L104" s="2899">
        <f>1.0072/L101</f>
        <v>1.9749019607843139</v>
      </c>
      <c r="M104" s="2899">
        <f>1.0072/M101</f>
        <v>1.9749019607843139</v>
      </c>
      <c r="N104" s="2899">
        <f>1.0072/N101</f>
        <v>1.9749019607843139</v>
      </c>
    </row>
    <row r="105" spans="1:14">
      <c r="A105" s="3249"/>
      <c r="B105" s="2898">
        <v>4</v>
      </c>
      <c r="C105" s="2899">
        <f>0.9622/C101</f>
        <v>1.8866666666666667</v>
      </c>
      <c r="D105" s="2899">
        <f>0.9622/D101</f>
        <v>1.8866666666666667</v>
      </c>
      <c r="E105" s="2899">
        <f>0.8656/E101</f>
        <v>1.6972549019607843</v>
      </c>
      <c r="F105" s="2899">
        <f>0.8656/F101</f>
        <v>1.6972549019607843</v>
      </c>
      <c r="G105" s="2899">
        <f>0.8656/G101</f>
        <v>1.6972549019607843</v>
      </c>
      <c r="H105" s="2899">
        <f>0.8656/H101</f>
        <v>1.6972549019607843</v>
      </c>
      <c r="I105" s="2899">
        <f>0.8656/I101</f>
        <v>1.6972549019607843</v>
      </c>
      <c r="J105" s="2899">
        <f>0.7525/J101</f>
        <v>1.4754901960784312</v>
      </c>
      <c r="K105" s="2899">
        <f>0.7525/K101</f>
        <v>1.4754901960784312</v>
      </c>
      <c r="L105" s="2899">
        <f>0.7525/L101</f>
        <v>1.4754901960784312</v>
      </c>
      <c r="M105" s="2899">
        <f>0.7525/M101</f>
        <v>1.4754901960784312</v>
      </c>
      <c r="N105" s="2899">
        <f>0.7525/N101</f>
        <v>1.4754901960784312</v>
      </c>
    </row>
    <row r="106" spans="1:14">
      <c r="A106" s="3249"/>
      <c r="B106" s="2898">
        <v>5</v>
      </c>
      <c r="C106" s="2899">
        <f>0.8417/C101</f>
        <v>1.6503921568627451</v>
      </c>
      <c r="D106" s="2899">
        <f>0.8417/D101</f>
        <v>1.6503921568627451</v>
      </c>
      <c r="E106" s="2899">
        <f>0.7371/E101</f>
        <v>1.4452941176470588</v>
      </c>
      <c r="F106" s="2899">
        <f>0.7371/F101</f>
        <v>1.4452941176470588</v>
      </c>
      <c r="G106" s="2899">
        <f>0.7371/G101</f>
        <v>1.4452941176470588</v>
      </c>
      <c r="H106" s="2899">
        <f>0.7371/H101</f>
        <v>1.4452941176470588</v>
      </c>
      <c r="I106" s="2899">
        <f>0.7371/I101</f>
        <v>1.4452941176470588</v>
      </c>
      <c r="J106" s="2899">
        <f>0.5659/J101</f>
        <v>1.1096078431372549</v>
      </c>
      <c r="K106" s="2899">
        <f>0.5659/K101</f>
        <v>1.1096078431372549</v>
      </c>
      <c r="L106" s="2899">
        <f>0.5659/L101</f>
        <v>1.1096078431372549</v>
      </c>
      <c r="M106" s="2899">
        <f>0.5659/M101</f>
        <v>1.1096078431372549</v>
      </c>
      <c r="N106" s="2899">
        <f>0.5659/N101</f>
        <v>1.1096078431372549</v>
      </c>
    </row>
    <row r="107" spans="1:14">
      <c r="A107" s="3249"/>
      <c r="B107" s="2898">
        <v>6</v>
      </c>
      <c r="C107" s="2899">
        <f>0.7608/C101</f>
        <v>1.4917647058823529</v>
      </c>
      <c r="D107" s="2899">
        <f>0.7608/D101</f>
        <v>1.4917647058823529</v>
      </c>
      <c r="E107" s="2899">
        <f>0.6482/E101</f>
        <v>1.2709803921568628</v>
      </c>
      <c r="F107" s="2899">
        <f>0.6482/F101</f>
        <v>1.2709803921568628</v>
      </c>
      <c r="G107" s="2899">
        <f>0.6482/G101</f>
        <v>1.2709803921568628</v>
      </c>
      <c r="H107" s="2899">
        <f>0.6482/H101</f>
        <v>1.2709803921568628</v>
      </c>
      <c r="I107" s="2899">
        <f>0.6482/I101</f>
        <v>1.2709803921568628</v>
      </c>
      <c r="J107" s="2899">
        <f>0.4525/J101</f>
        <v>0.88725490196078427</v>
      </c>
      <c r="K107" s="2899">
        <f>0.4525/K101</f>
        <v>0.88725490196078427</v>
      </c>
      <c r="L107" s="2899">
        <f>0.4525/L101</f>
        <v>0.88725490196078427</v>
      </c>
      <c r="M107" s="2899">
        <f>0.4525/M101</f>
        <v>0.88725490196078427</v>
      </c>
      <c r="N107" s="2899">
        <f>0.4525/N101</f>
        <v>0.88725490196078427</v>
      </c>
    </row>
    <row r="108" spans="1:14">
      <c r="A108" s="3249"/>
      <c r="B108" s="3077" t="s">
        <v>2969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0"/>
      <c r="B109" s="3078"/>
      <c r="C109" s="2901">
        <f>(-0.163*(C108^2)-0.59*C108+7617)*(10^(-4))/C101</f>
        <v>1.493529411764706</v>
      </c>
      <c r="D109" s="2901">
        <f>(-0.163*(D108^2)-0.59*D108+7617)*(10^(-4))/D101</f>
        <v>1.493529411764706</v>
      </c>
      <c r="E109" s="2901">
        <f>(-0.161*(E108^2)-7.509*E108+6533)*(10^(-4))/E101</f>
        <v>1.2809803921568628</v>
      </c>
      <c r="F109" s="2901">
        <f>(-0.161*(F108^2)-7.509*F108+6533)*(10^(-4))/F101</f>
        <v>1.2809803921568628</v>
      </c>
      <c r="G109" s="2901">
        <f>(-0.161*(G108^2)-7.509*G108+6533)*(10^(-4))/G101</f>
        <v>1.2809803921568628</v>
      </c>
      <c r="H109" s="2901">
        <f>(-0.161*(H108^2)-7.509*H108+6533)*(10^(-4))/H101</f>
        <v>1.2809803921568628</v>
      </c>
      <c r="I109" s="2901">
        <f>(-0.161*(I108^2)-7.509*I108+6533)*(10^(-4))/I101</f>
        <v>1.2809803921568628</v>
      </c>
      <c r="J109" s="2901">
        <f>(-0.214*(J108^2)-21.991*J108+4665)*(10^(-4))/J101</f>
        <v>0.91470588235294126</v>
      </c>
      <c r="K109" s="2901">
        <f>(-0.214*(K108^2)-21.991*K108+4665)*(10^(-4))/K101</f>
        <v>0.91470588235294126</v>
      </c>
      <c r="L109" s="2901">
        <f>(-0.214*(L108^2)-21.991*L108+4665)*(10^(-4))/L101</f>
        <v>0.91470588235294126</v>
      </c>
      <c r="M109" s="2901">
        <f>(-0.214*(M108^2)-21.991*M108+4665)*(10^(-4))/M101</f>
        <v>0.91470588235294126</v>
      </c>
      <c r="N109" s="2901">
        <f>(-0.214*(N108^2)-21.991*N108+4665)*(10^(-4))/N101</f>
        <v>0.91470588235294126</v>
      </c>
    </row>
    <row r="110" spans="1:14">
      <c r="A110" s="3246" t="s">
        <v>2970</v>
      </c>
      <c r="B110" s="3246"/>
      <c r="C110" s="3246"/>
      <c r="D110" s="3246"/>
      <c r="E110" s="3246"/>
      <c r="F110" s="3246"/>
      <c r="G110" s="3246"/>
      <c r="H110" s="3246"/>
      <c r="I110" s="3246"/>
      <c r="J110" s="3246"/>
      <c r="K110" s="2904"/>
      <c r="L110" s="2904"/>
      <c r="M110" s="2904"/>
      <c r="N110" s="2904"/>
    </row>
    <row r="112" spans="1:14" ht="13.5" thickBot="1"/>
    <row r="113" spans="1:13" ht="25.5" thickBot="1">
      <c r="A113" s="903" t="s">
        <v>2971</v>
      </c>
      <c r="B113" s="1290">
        <f>G3</f>
        <v>0.51</v>
      </c>
      <c r="C113" s="904" t="s">
        <v>2972</v>
      </c>
      <c r="D113" s="905">
        <f>SUMPRODUCT((A115:A118=F113)*(B114:M114=H113)*B115:M118)</f>
        <v>0</v>
      </c>
      <c r="E113" s="2727" t="s">
        <v>2802</v>
      </c>
      <c r="F113" s="2906">
        <f>E2</f>
        <v>0</v>
      </c>
      <c r="G113" s="2727" t="s">
        <v>2803</v>
      </c>
      <c r="H113" s="2906">
        <f>G2</f>
        <v>0</v>
      </c>
      <c r="I113" s="2727"/>
      <c r="J113" s="2907"/>
      <c r="K113" s="2907"/>
      <c r="L113" s="2907"/>
      <c r="M113" s="2907"/>
    </row>
    <row r="114" spans="1:13">
      <c r="A114" s="908"/>
      <c r="B114" s="2908" t="s">
        <v>2973</v>
      </c>
      <c r="C114" s="2908" t="s">
        <v>2974</v>
      </c>
      <c r="D114" s="2908" t="s">
        <v>2975</v>
      </c>
      <c r="E114" s="2909" t="s">
        <v>2976</v>
      </c>
      <c r="F114" s="2909" t="s">
        <v>2977</v>
      </c>
      <c r="G114" s="2909" t="s">
        <v>2978</v>
      </c>
      <c r="H114" s="2910" t="s">
        <v>2979</v>
      </c>
      <c r="I114" s="2910" t="s">
        <v>2980</v>
      </c>
      <c r="J114" s="2911" t="s">
        <v>2981</v>
      </c>
      <c r="K114" s="2911" t="s">
        <v>2982</v>
      </c>
      <c r="L114" s="2911" t="s">
        <v>2983</v>
      </c>
      <c r="M114" s="2912" t="s">
        <v>2984</v>
      </c>
    </row>
    <row r="115" spans="1:13">
      <c r="A115" s="909" t="s">
        <v>2867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2868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2869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2870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2993</v>
      </c>
    </row>
    <row r="2" spans="1:5" ht="15.75">
      <c r="A2" s="2913" t="s">
        <v>2985</v>
      </c>
      <c r="B2" s="2914" t="e">
        <f ca="1">SUMIF(B6:B13,"&lt;&gt;#ref!",B6:B13)</f>
        <v>#DIV/0!</v>
      </c>
      <c r="C2" s="2913" t="s">
        <v>2986</v>
      </c>
      <c r="D2" s="2913" t="s">
        <v>2987</v>
      </c>
      <c r="E2" s="2914" t="e">
        <f ca="1">SUM(E6:E13)</f>
        <v>#REF!</v>
      </c>
    </row>
    <row r="3" spans="1:5" ht="15.75">
      <c r="A3" s="2913" t="s">
        <v>2988</v>
      </c>
      <c r="B3" s="2914" t="e">
        <f ca="1">ROUND(B2*10000/E2,0)</f>
        <v>#DIV/0!</v>
      </c>
      <c r="C3" s="2913" t="s">
        <v>2994</v>
      </c>
      <c r="D3" s="2915"/>
      <c r="E3" s="2915"/>
    </row>
    <row r="4" spans="1:5" ht="15.75">
      <c r="A4" s="2916"/>
      <c r="B4" s="2915"/>
      <c r="C4" s="2915"/>
      <c r="D4" s="2915"/>
      <c r="E4" s="2915"/>
    </row>
    <row r="5" spans="1:5" ht="28.5">
      <c r="A5" s="2917" t="s">
        <v>2989</v>
      </c>
      <c r="B5" s="2913" t="s">
        <v>2990</v>
      </c>
      <c r="C5" s="2914"/>
      <c r="D5" s="2915"/>
      <c r="E5" s="2913" t="s">
        <v>2991</v>
      </c>
    </row>
    <row r="6" spans="1:5" ht="15.75">
      <c r="A6" s="2918" t="s">
        <v>2992</v>
      </c>
      <c r="B6" s="2914" t="e">
        <f ca="1">SUMIF(INDIRECT("'"&amp;A6&amp;"'"&amp;"!A:A"),"总价",INDIRECT("'"&amp;A6&amp;"'"&amp;"!B:B"))</f>
        <v>#DIV/0!</v>
      </c>
      <c r="C6" s="2913" t="s">
        <v>2986</v>
      </c>
      <c r="D6" s="2915"/>
      <c r="E6" s="2578">
        <f ca="1">SUMIF(INDIRECT("'"&amp;A6&amp;"'"&amp;"!C:C"),"建筑面积",INDIRECT("'"&amp;A6&amp;"'"&amp;"!D:D"))</f>
        <v>0</v>
      </c>
    </row>
    <row r="7" spans="1:5" ht="15.75">
      <c r="A7" s="2918"/>
      <c r="B7" s="2914" t="e">
        <f ca="1">SUMIF(INDIRECT("'"&amp;A7&amp;"'"&amp;"!A:A"),"总价",INDIRECT("'"&amp;A7&amp;"'"&amp;"!B:B"))</f>
        <v>#REF!</v>
      </c>
      <c r="C7" s="2913" t="s">
        <v>2986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2986</v>
      </c>
      <c r="D8" s="2915"/>
      <c r="E8" s="2578" t="e">
        <f t="shared" ca="1" si="0"/>
        <v>#REF!</v>
      </c>
    </row>
    <row r="9" spans="1:5" ht="15.75">
      <c r="A9" s="2918"/>
      <c r="B9" s="2914" t="e">
        <f t="shared" ca="1" si="1"/>
        <v>#REF!</v>
      </c>
      <c r="C9" s="2913" t="s">
        <v>2986</v>
      </c>
      <c r="D9" s="2915"/>
      <c r="E9" s="2578" t="e">
        <f t="shared" ca="1" si="0"/>
        <v>#REF!</v>
      </c>
    </row>
    <row r="10" spans="1:5" ht="15.75">
      <c r="A10" s="2918"/>
      <c r="B10" s="2914" t="e">
        <f t="shared" ca="1" si="1"/>
        <v>#REF!</v>
      </c>
      <c r="C10" s="2913" t="s">
        <v>2986</v>
      </c>
      <c r="D10" s="2915"/>
      <c r="E10" s="2578" t="e">
        <f t="shared" ca="1" si="0"/>
        <v>#REF!</v>
      </c>
    </row>
    <row r="11" spans="1:5" ht="15.75">
      <c r="A11" s="2918"/>
      <c r="B11" s="2914" t="e">
        <f t="shared" ca="1" si="1"/>
        <v>#REF!</v>
      </c>
      <c r="C11" s="2913" t="s">
        <v>2986</v>
      </c>
      <c r="D11" s="2915"/>
      <c r="E11" s="2578" t="e">
        <f t="shared" ca="1" si="0"/>
        <v>#REF!</v>
      </c>
    </row>
    <row r="12" spans="1:5" ht="15.75">
      <c r="A12" s="2918"/>
      <c r="B12" s="2914" t="e">
        <f t="shared" ca="1" si="1"/>
        <v>#REF!</v>
      </c>
      <c r="C12" s="2913" t="s">
        <v>2986</v>
      </c>
      <c r="D12" s="2915"/>
      <c r="E12" s="2578" t="e">
        <f t="shared" ca="1" si="0"/>
        <v>#REF!</v>
      </c>
    </row>
    <row r="13" spans="1:5" ht="15.75">
      <c r="A13" s="2918"/>
      <c r="B13" s="2914" t="e">
        <f t="shared" ca="1" si="1"/>
        <v>#REF!</v>
      </c>
      <c r="C13" s="2913" t="s">
        <v>2986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3028</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3034</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3029</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3027</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3">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3024</v>
      </c>
      <c r="B7" s="1472">
        <v>439</v>
      </c>
      <c r="C7" s="1472">
        <v>327</v>
      </c>
      <c r="D7" s="1472">
        <f>C7</f>
        <v>327</v>
      </c>
      <c r="E7" s="1472">
        <v>627</v>
      </c>
      <c r="F7" s="1473">
        <v>283</v>
      </c>
      <c r="G7" s="2929">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3025</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5"/>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4"/>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0">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6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6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6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6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6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6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6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6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6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6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6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1">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2"/>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2"/>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3"/>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6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6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6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6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6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6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6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6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6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6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6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6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6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6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6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6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6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6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6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6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6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6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6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6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6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6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6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6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6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6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6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6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6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6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6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6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6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67">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67">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6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6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67">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67">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6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75" t="s">
        <v>2996</v>
      </c>
      <c r="D1" s="3276"/>
      <c r="E1" s="3276"/>
      <c r="F1" s="3276"/>
      <c r="G1" s="3276"/>
      <c r="H1" s="3276"/>
      <c r="I1" s="3276"/>
      <c r="J1" s="3276"/>
      <c r="K1" s="3276"/>
      <c r="L1" s="3276"/>
      <c r="M1" s="3276"/>
      <c r="N1" s="3276"/>
      <c r="O1" s="3276"/>
      <c r="P1" s="3276"/>
      <c r="Q1" s="3276"/>
      <c r="R1" s="3276"/>
      <c r="S1" s="3277"/>
      <c r="T1" s="1207" t="s">
        <v>2997</v>
      </c>
    </row>
    <row r="2" spans="1:45" s="707" customFormat="1">
      <c r="A2" s="1208"/>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3005</v>
      </c>
      <c r="B17" s="2920" t="s">
        <v>3006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3007</v>
      </c>
      <c r="E19" s="1795"/>
      <c r="F19" s="1795"/>
      <c r="G19" s="1795"/>
      <c r="H19" s="1283"/>
      <c r="I19" s="168"/>
      <c r="J19" s="168"/>
      <c r="K19" s="168"/>
      <c r="L19" s="168"/>
      <c r="M19" s="168"/>
      <c r="N19" s="168"/>
      <c r="O19" s="168"/>
      <c r="P19" s="168"/>
      <c r="Q19" s="168"/>
      <c r="R19" s="788"/>
      <c r="S19" s="138"/>
    </row>
    <row r="20" spans="1:45" ht="16.5" thickBot="1">
      <c r="A20" s="715" t="s">
        <v>3008</v>
      </c>
      <c r="B20" s="338" t="e">
        <f ca="1">IF(D20="——",S22,S22-F20)</f>
        <v>#REF!</v>
      </c>
      <c r="C20" s="168"/>
      <c r="D20" s="2922" t="s">
        <v>3009</v>
      </c>
      <c r="E20" s="1796"/>
      <c r="F20" s="1207" t="e">
        <f ca="1">SUMIF(INDIRECT("'"&amp;H20&amp;"'"&amp;"!A:A"),"承租人权益价值",INDIRECT("'"&amp;H20&amp;"'"&amp;"!c:c"))</f>
        <v>#REF!</v>
      </c>
      <c r="G20" s="1207" t="s">
        <v>3010</v>
      </c>
      <c r="H20" s="2923"/>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58" t="s">
        <v>33</v>
      </c>
      <c r="D22" s="3059"/>
      <c r="E22" s="3059"/>
      <c r="F22" s="3059"/>
      <c r="G22" s="3059"/>
      <c r="H22" s="3059"/>
      <c r="I22" s="3059"/>
      <c r="J22" s="3059"/>
      <c r="K22" s="3059"/>
      <c r="L22" s="3059"/>
      <c r="M22" s="3059"/>
      <c r="N22" s="3059"/>
      <c r="O22" s="3059"/>
      <c r="P22" s="3059"/>
      <c r="Q22" s="3274"/>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9378</v>
      </c>
      <c r="E5" s="1962"/>
    </row>
    <row r="6" spans="1:5" ht="15.75">
      <c r="A6" s="1962"/>
      <c r="B6" s="2962"/>
      <c r="C6" s="1965" t="s">
        <v>1624</v>
      </c>
      <c r="D6" s="1043" t="str">
        <f ca="1">NUMBERSTRING(INT(D5*10000),2)&amp;"元整"</f>
        <v>玖仟叁佰柒拾捌万元整</v>
      </c>
      <c r="E6" s="1962"/>
    </row>
    <row r="7" spans="1:5" ht="15.75">
      <c r="A7" s="1962"/>
      <c r="B7" s="2967"/>
      <c r="C7" s="1966" t="s">
        <v>1625</v>
      </c>
      <c r="D7" s="1044">
        <f ca="1">结果表!H102</f>
        <v>5272</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9378</v>
      </c>
      <c r="E13" s="1962"/>
    </row>
    <row r="14" spans="1:5" ht="15.75">
      <c r="A14" s="1962"/>
      <c r="B14" s="2962"/>
      <c r="C14" s="1965" t="s">
        <v>1624</v>
      </c>
      <c r="D14" s="1043" t="str">
        <f ca="1">NUMBERSTRING(INT(D13*10000),2)&amp;"元整"</f>
        <v>玖仟叁佰柒拾捌万元整</v>
      </c>
      <c r="E14" s="1962"/>
    </row>
    <row r="15" spans="1:5" ht="15">
      <c r="A15" s="1962"/>
      <c r="B15" s="2967"/>
      <c r="C15" s="1966" t="s">
        <v>1634</v>
      </c>
      <c r="D15" s="1055">
        <f ca="1">结果表!H108</f>
        <v>5272</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30584</v>
      </c>
      <c r="C2" s="2" t="s">
        <v>133</v>
      </c>
      <c r="D2" s="243"/>
      <c r="E2" s="243"/>
      <c r="F2" s="243"/>
      <c r="G2" s="243"/>
    </row>
    <row r="3" spans="1:7" s="244" customFormat="1" ht="18" customHeight="1" thickBot="1">
      <c r="A3" s="247" t="s">
        <v>85</v>
      </c>
      <c r="B3" s="248">
        <f ca="1">ROUND(B2*10000/'数据-汇总表'!E3,0)</f>
        <v>17194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356</v>
      </c>
      <c r="D10" s="1035">
        <f>'数据-汇总表'!E6</f>
        <v>17787.509999999998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356</v>
      </c>
      <c r="D19" s="1039">
        <f>'数据-汇总表'!E3</f>
        <v>17787.509999999998</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921</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15</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2139</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2139</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4074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3558</v>
      </c>
      <c r="D34" s="261"/>
      <c r="E34" s="264"/>
      <c r="F34" s="301">
        <f>IF('数据-取费表'!B24=0,1,'数据-取费表'!N16)</f>
        <v>1</v>
      </c>
      <c r="G34" s="263" t="s">
        <v>116</v>
      </c>
    </row>
    <row r="35" spans="1:7" ht="13.5" customHeight="1">
      <c r="A35" s="954" t="s">
        <v>796</v>
      </c>
      <c r="B35" s="259" t="s">
        <v>60</v>
      </c>
      <c r="C35" s="264">
        <f>ROUND(C34*F35,0)</f>
        <v>107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356</v>
      </c>
      <c r="D37" s="261">
        <f>'数据-汇总表'!E3</f>
        <v>17787.509999999998</v>
      </c>
      <c r="E37" s="293">
        <f>'数据-取费表'!B35</f>
        <v>200</v>
      </c>
      <c r="F37" s="303"/>
      <c r="G37" s="305" t="s">
        <v>119</v>
      </c>
    </row>
    <row r="38" spans="1:7" ht="13.5" customHeight="1">
      <c r="A38" s="954" t="s">
        <v>799</v>
      </c>
      <c r="B38" s="259" t="s">
        <v>63</v>
      </c>
      <c r="C38" s="264">
        <f>ROUND(C34*F38,0)</f>
        <v>53</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91</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89</v>
      </c>
      <c r="D42" s="282"/>
      <c r="E42" s="282"/>
      <c r="F42" s="283"/>
      <c r="G42" s="3186" t="s">
        <v>121</v>
      </c>
    </row>
    <row r="43" spans="1:7" ht="13.5" customHeight="1">
      <c r="A43" s="954" t="s">
        <v>792</v>
      </c>
      <c r="B43" s="259" t="s">
        <v>1064</v>
      </c>
      <c r="C43" s="282">
        <f ca="1">ROUND(IF('数据-取费表'!B22&lt;=1,C39*F22*'数据-取费表'!B21/2,C39*(POWER((1+F22),'数据-取费表'!B21/2)-1)),0)</f>
        <v>2</v>
      </c>
      <c r="D43" s="282"/>
      <c r="E43" s="282"/>
      <c r="F43" s="283"/>
      <c r="G43" s="3187"/>
    </row>
    <row r="44" spans="1:7" ht="13.5" customHeight="1">
      <c r="A44" s="954" t="s">
        <v>793</v>
      </c>
      <c r="B44" s="259" t="s">
        <v>1066</v>
      </c>
      <c r="C44" s="282">
        <f ca="1">ROUND(IF('数据-取费表'!B22&lt;=1,C40*F22*'数据-取费表'!B21/2,C40*(POWER((1+F22),'数据-取费表'!B21/2)-1)),4)</f>
        <v>4.0000000000000002E-4</v>
      </c>
      <c r="D44" s="282"/>
      <c r="E44" s="282"/>
      <c r="F44" s="283"/>
      <c r="G44" s="3188"/>
    </row>
    <row r="45" spans="1:7" s="258" customFormat="1" ht="13.5" customHeight="1">
      <c r="A45" s="951" t="s">
        <v>786</v>
      </c>
      <c r="B45" s="288" t="s">
        <v>112</v>
      </c>
      <c r="C45" s="289">
        <f>C46</f>
        <v>416</v>
      </c>
      <c r="D45" s="279">
        <f>C47</f>
        <v>2E-3</v>
      </c>
      <c r="E45" s="280" t="s">
        <v>129</v>
      </c>
      <c r="F45" s="290"/>
      <c r="G45" s="291" t="s">
        <v>1072</v>
      </c>
    </row>
    <row r="46" spans="1:7" s="258" customFormat="1" ht="13.5" customHeight="1">
      <c r="A46" s="954" t="s">
        <v>794</v>
      </c>
      <c r="B46" s="292" t="s">
        <v>1065</v>
      </c>
      <c r="C46" s="293">
        <f>ROUND((C33+C39)*F27,0)</f>
        <v>416</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5044</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4136</v>
      </c>
      <c r="D51" s="276"/>
      <c r="E51" s="276"/>
      <c r="F51" s="308"/>
      <c r="G51" s="278" t="s">
        <v>64</v>
      </c>
    </row>
    <row r="52" spans="1:7" s="252" customFormat="1" ht="16.5" thickBot="1">
      <c r="A52" s="309" t="s">
        <v>65</v>
      </c>
      <c r="B52" s="310"/>
      <c r="C52" s="311">
        <f ca="1">C31+C51</f>
        <v>30584</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871</v>
      </c>
      <c r="B1" s="327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topLeftCell="AB1" workbookViewId="0">
      <selection activeCell="H29" sqref="H29"/>
    </sheetView>
  </sheetViews>
  <sheetFormatPr defaultRowHeight="13.5"/>
  <sheetData>
    <row r="1" spans="1:44" s="2955" customFormat="1">
      <c r="A1" s="2955" t="s">
        <v>3147</v>
      </c>
      <c r="B1" s="2955" t="s">
        <v>3040</v>
      </c>
      <c r="C1" s="2955" t="s">
        <v>3118</v>
      </c>
      <c r="D1" s="2955" t="s">
        <v>3119</v>
      </c>
      <c r="E1" s="2955" t="s">
        <v>1331</v>
      </c>
      <c r="F1" s="2955" t="s">
        <v>3148</v>
      </c>
      <c r="G1" s="2955" t="s">
        <v>3121</v>
      </c>
      <c r="H1" s="2955">
        <v>201710903</v>
      </c>
      <c r="I1" s="2955" t="s">
        <v>3118</v>
      </c>
      <c r="J1" s="2955">
        <v>69726.100000000006</v>
      </c>
      <c r="K1" s="2955">
        <v>99011.06</v>
      </c>
      <c r="L1" s="2955">
        <v>1.42</v>
      </c>
      <c r="M1" s="2955" t="s">
        <v>1331</v>
      </c>
      <c r="N1" s="2955">
        <v>44.27</v>
      </c>
      <c r="O1" s="2955" t="s">
        <v>1331</v>
      </c>
      <c r="P1" s="2955" t="s">
        <v>1331</v>
      </c>
      <c r="Q1" s="2955" t="s">
        <v>1331</v>
      </c>
      <c r="R1" s="2955" t="s">
        <v>1331</v>
      </c>
      <c r="S1" s="2955" t="s">
        <v>1331</v>
      </c>
      <c r="T1" s="2955" t="s">
        <v>1331</v>
      </c>
      <c r="U1" s="2955" t="s">
        <v>1331</v>
      </c>
      <c r="V1" s="2955" t="s">
        <v>1331</v>
      </c>
      <c r="W1" s="2955" t="s">
        <v>3122</v>
      </c>
      <c r="X1" s="2955" t="s">
        <v>3143</v>
      </c>
      <c r="Y1" s="2955" t="s">
        <v>3144</v>
      </c>
      <c r="Z1" s="2955" t="s">
        <v>3144</v>
      </c>
      <c r="AA1" s="2955" t="s">
        <v>3144</v>
      </c>
      <c r="AB1" s="2955" t="s">
        <v>3145</v>
      </c>
      <c r="AC1" s="2955" t="s">
        <v>3127</v>
      </c>
      <c r="AD1" s="2955" t="s">
        <v>3149</v>
      </c>
      <c r="AE1" s="2955">
        <v>830</v>
      </c>
      <c r="AF1" s="2955">
        <v>8298</v>
      </c>
      <c r="AG1" s="2955">
        <v>8298</v>
      </c>
      <c r="AH1" s="2955">
        <v>79.34</v>
      </c>
      <c r="AI1" s="2955">
        <v>79.34</v>
      </c>
      <c r="AJ1" s="2955">
        <v>838.08</v>
      </c>
      <c r="AK1" s="2955">
        <v>838.09</v>
      </c>
      <c r="AL1" s="2955">
        <f t="shared" ref="AL1:AL3" si="0">ROUND(AG1*10000/J1,0)</f>
        <v>1190</v>
      </c>
      <c r="AM1" s="2955" t="s">
        <v>1331</v>
      </c>
      <c r="AN1" s="2955">
        <v>0</v>
      </c>
      <c r="AO1" s="2955">
        <v>50</v>
      </c>
      <c r="AP1" s="2955" t="s">
        <v>1331</v>
      </c>
      <c r="AQ1" s="2955" t="s">
        <v>1331</v>
      </c>
      <c r="AR1" s="2955" t="s">
        <v>1331</v>
      </c>
    </row>
    <row r="2" spans="1:44" s="2955" customFormat="1">
      <c r="A2" s="2955" t="s">
        <v>3150</v>
      </c>
      <c r="B2" s="2955" t="s">
        <v>3040</v>
      </c>
      <c r="C2" s="2955" t="s">
        <v>3118</v>
      </c>
      <c r="D2" s="2955" t="s">
        <v>3119</v>
      </c>
      <c r="E2" s="2955" t="s">
        <v>1331</v>
      </c>
      <c r="F2" s="2955" t="s">
        <v>3151</v>
      </c>
      <c r="G2" s="2955" t="s">
        <v>3121</v>
      </c>
      <c r="H2" s="2955">
        <v>201710401</v>
      </c>
      <c r="I2" s="2955" t="s">
        <v>3118</v>
      </c>
      <c r="J2" s="2955">
        <v>48248.4</v>
      </c>
      <c r="K2" s="2955">
        <v>84434.7</v>
      </c>
      <c r="L2" s="2955">
        <v>1.75</v>
      </c>
      <c r="M2" s="2955" t="s">
        <v>1331</v>
      </c>
      <c r="N2" s="2955" t="s">
        <v>3152</v>
      </c>
      <c r="O2" s="2955">
        <v>0</v>
      </c>
      <c r="P2" s="2955" t="s">
        <v>1331</v>
      </c>
      <c r="Q2" s="2955" t="s">
        <v>1331</v>
      </c>
      <c r="R2" s="2955" t="s">
        <v>1331</v>
      </c>
      <c r="S2" s="2955" t="s">
        <v>1331</v>
      </c>
      <c r="T2" s="2955" t="s">
        <v>1331</v>
      </c>
      <c r="U2" s="2955" t="s">
        <v>1331</v>
      </c>
      <c r="V2" s="2955" t="s">
        <v>1331</v>
      </c>
      <c r="W2" s="2955" t="s">
        <v>3122</v>
      </c>
      <c r="X2" s="2955" t="s">
        <v>3153</v>
      </c>
      <c r="Y2" s="2955" t="s">
        <v>3154</v>
      </c>
      <c r="Z2" s="2955" t="s">
        <v>3154</v>
      </c>
      <c r="AA2" s="2955" t="s">
        <v>3154</v>
      </c>
      <c r="AB2" s="2955" t="s">
        <v>3155</v>
      </c>
      <c r="AC2" s="2955" t="s">
        <v>3127</v>
      </c>
      <c r="AD2" s="2955" t="s">
        <v>3156</v>
      </c>
      <c r="AE2" s="2955">
        <v>580</v>
      </c>
      <c r="AF2" s="2955">
        <v>5783</v>
      </c>
      <c r="AG2" s="2955">
        <v>5783</v>
      </c>
      <c r="AH2" s="2955">
        <v>79.91</v>
      </c>
      <c r="AI2" s="2955">
        <v>79.91</v>
      </c>
      <c r="AJ2" s="2955">
        <v>684.9</v>
      </c>
      <c r="AK2" s="2955">
        <v>684.9</v>
      </c>
      <c r="AL2" s="2955">
        <f t="shared" si="0"/>
        <v>1199</v>
      </c>
      <c r="AM2" s="2955" t="s">
        <v>1331</v>
      </c>
      <c r="AN2" s="2955">
        <v>0</v>
      </c>
      <c r="AO2" s="2955">
        <v>50</v>
      </c>
      <c r="AP2" s="2955" t="s">
        <v>1331</v>
      </c>
      <c r="AQ2" s="2955" t="s">
        <v>1331</v>
      </c>
      <c r="AR2" s="2955" t="s">
        <v>1331</v>
      </c>
    </row>
    <row r="3" spans="1:44" s="2955" customFormat="1">
      <c r="A3" s="2955" t="s">
        <v>3179</v>
      </c>
      <c r="B3" s="2955" t="s">
        <v>3040</v>
      </c>
      <c r="C3" s="2955" t="s">
        <v>3118</v>
      </c>
      <c r="D3" s="2955" t="s">
        <v>3119</v>
      </c>
      <c r="E3" s="2955" t="s">
        <v>1331</v>
      </c>
      <c r="F3" s="2955" t="s">
        <v>3180</v>
      </c>
      <c r="G3" s="2955" t="s">
        <v>3121</v>
      </c>
      <c r="H3" s="2955">
        <v>201609201</v>
      </c>
      <c r="I3" s="2955" t="s">
        <v>3118</v>
      </c>
      <c r="J3" s="2955">
        <v>384367.5</v>
      </c>
      <c r="K3" s="2955">
        <v>753360.3</v>
      </c>
      <c r="L3" s="2955">
        <v>1.96</v>
      </c>
      <c r="M3" s="2955" t="s">
        <v>1331</v>
      </c>
      <c r="N3" s="2955" t="s">
        <v>1331</v>
      </c>
      <c r="O3" s="2955" t="s">
        <v>1331</v>
      </c>
      <c r="P3" s="2955" t="s">
        <v>1331</v>
      </c>
      <c r="Q3" s="2955" t="s">
        <v>1331</v>
      </c>
      <c r="R3" s="2955" t="s">
        <v>1331</v>
      </c>
      <c r="S3" s="2955" t="s">
        <v>1331</v>
      </c>
      <c r="T3" s="2955" t="s">
        <v>1331</v>
      </c>
      <c r="U3" s="2955" t="s">
        <v>1331</v>
      </c>
      <c r="V3" s="2955" t="s">
        <v>1331</v>
      </c>
      <c r="W3" s="2955" t="s">
        <v>3159</v>
      </c>
      <c r="X3" s="2955" t="s">
        <v>3181</v>
      </c>
      <c r="Y3" s="2955" t="s">
        <v>3182</v>
      </c>
      <c r="Z3" s="2955" t="s">
        <v>3182</v>
      </c>
      <c r="AA3" s="2955" t="s">
        <v>3182</v>
      </c>
      <c r="AB3" s="2955" t="s">
        <v>3183</v>
      </c>
      <c r="AC3" s="2955" t="s">
        <v>3127</v>
      </c>
      <c r="AD3" s="2955" t="s">
        <v>3184</v>
      </c>
      <c r="AE3" s="2955">
        <v>4620</v>
      </c>
      <c r="AF3" s="2955">
        <v>46155</v>
      </c>
      <c r="AG3" s="2955">
        <v>46155</v>
      </c>
      <c r="AH3" s="2955">
        <v>80.05</v>
      </c>
      <c r="AI3" s="2955">
        <v>80.05</v>
      </c>
      <c r="AJ3" s="2955">
        <v>612.65</v>
      </c>
      <c r="AK3" s="2955">
        <v>612.65</v>
      </c>
      <c r="AL3" s="2955">
        <f t="shared" si="0"/>
        <v>1201</v>
      </c>
      <c r="AM3" s="2955" t="s">
        <v>1331</v>
      </c>
      <c r="AN3" s="2955">
        <v>0</v>
      </c>
      <c r="AO3" s="2955" t="s">
        <v>3178</v>
      </c>
      <c r="AP3" s="2955" t="s">
        <v>1331</v>
      </c>
      <c r="AQ3" s="2955" t="s">
        <v>1331</v>
      </c>
      <c r="AR3" s="2955" t="s">
        <v>1331</v>
      </c>
    </row>
    <row r="4" spans="1:44" s="2952" customFormat="1">
      <c r="A4" s="2952" t="s">
        <v>3073</v>
      </c>
      <c r="B4" s="2952" t="s">
        <v>3074</v>
      </c>
      <c r="C4" s="2952" t="s">
        <v>3075</v>
      </c>
      <c r="D4" s="2952" t="s">
        <v>3076</v>
      </c>
      <c r="E4" s="2952" t="s">
        <v>3077</v>
      </c>
      <c r="F4" s="2952" t="s">
        <v>3078</v>
      </c>
      <c r="G4" s="2952" t="s">
        <v>3079</v>
      </c>
      <c r="H4" s="2952" t="s">
        <v>3080</v>
      </c>
      <c r="I4" s="2952" t="s">
        <v>3081</v>
      </c>
      <c r="J4" s="2952" t="s">
        <v>3082</v>
      </c>
      <c r="K4" s="2952" t="s">
        <v>3083</v>
      </c>
      <c r="L4" s="2952" t="s">
        <v>3084</v>
      </c>
      <c r="M4" s="2952" t="s">
        <v>3085</v>
      </c>
      <c r="N4" s="2952" t="s">
        <v>3086</v>
      </c>
      <c r="O4" s="2952" t="s">
        <v>3087</v>
      </c>
      <c r="P4" s="2952" t="s">
        <v>3088</v>
      </c>
      <c r="Q4" s="2952" t="s">
        <v>3089</v>
      </c>
      <c r="R4" s="2952" t="s">
        <v>3090</v>
      </c>
      <c r="S4" s="2952" t="s">
        <v>3091</v>
      </c>
      <c r="T4" s="2952" t="s">
        <v>3092</v>
      </c>
      <c r="U4" s="2952" t="s">
        <v>3093</v>
      </c>
      <c r="V4" s="2952" t="s">
        <v>3094</v>
      </c>
      <c r="W4" s="2952" t="s">
        <v>3095</v>
      </c>
      <c r="X4" s="2952" t="s">
        <v>3096</v>
      </c>
      <c r="Y4" s="2952" t="s">
        <v>3097</v>
      </c>
      <c r="Z4" s="2952" t="s">
        <v>3098</v>
      </c>
      <c r="AA4" s="2952" t="s">
        <v>3099</v>
      </c>
      <c r="AB4" s="2952" t="s">
        <v>3100</v>
      </c>
      <c r="AC4" s="2952" t="s">
        <v>3101</v>
      </c>
      <c r="AD4" s="2952" t="s">
        <v>3102</v>
      </c>
      <c r="AE4" s="2952" t="s">
        <v>3103</v>
      </c>
      <c r="AF4" s="2952" t="s">
        <v>3104</v>
      </c>
      <c r="AG4" s="2952" t="s">
        <v>3105</v>
      </c>
      <c r="AH4" s="2952" t="s">
        <v>3106</v>
      </c>
      <c r="AI4" s="2952" t="s">
        <v>3107</v>
      </c>
      <c r="AJ4" s="2952" t="s">
        <v>3108</v>
      </c>
      <c r="AK4" s="2953" t="s">
        <v>3109</v>
      </c>
      <c r="AL4" s="2954" t="s">
        <v>3110</v>
      </c>
      <c r="AM4" s="2952" t="s">
        <v>3111</v>
      </c>
      <c r="AN4" s="2952" t="s">
        <v>3112</v>
      </c>
      <c r="AO4" s="2952" t="s">
        <v>3113</v>
      </c>
      <c r="AP4" s="2952" t="s">
        <v>3114</v>
      </c>
      <c r="AQ4" s="2952" t="s">
        <v>3115</v>
      </c>
      <c r="AR4" s="2952" t="s">
        <v>3116</v>
      </c>
    </row>
    <row r="5" spans="1:44" s="2952" customFormat="1">
      <c r="A5" s="2952" t="s">
        <v>3117</v>
      </c>
      <c r="B5" s="2952" t="s">
        <v>3040</v>
      </c>
      <c r="C5" s="2952" t="s">
        <v>3118</v>
      </c>
      <c r="D5" s="2952" t="s">
        <v>3119</v>
      </c>
      <c r="E5" s="2952" t="s">
        <v>1331</v>
      </c>
      <c r="F5" s="2952" t="s">
        <v>3120</v>
      </c>
      <c r="G5" s="2952" t="s">
        <v>3121</v>
      </c>
      <c r="H5" s="2952">
        <v>201803101</v>
      </c>
      <c r="I5" s="2952" t="s">
        <v>3118</v>
      </c>
      <c r="J5" s="2952">
        <v>11869.9</v>
      </c>
      <c r="K5" s="2952">
        <v>15074.77</v>
      </c>
      <c r="L5" s="2952">
        <v>1.27</v>
      </c>
      <c r="M5" s="2952" t="s">
        <v>1331</v>
      </c>
      <c r="N5" s="2952">
        <v>0.44500000000000001</v>
      </c>
      <c r="O5" s="2952">
        <v>0</v>
      </c>
      <c r="P5" s="2952" t="s">
        <v>1331</v>
      </c>
      <c r="Q5" s="2952" t="s">
        <v>1331</v>
      </c>
      <c r="R5" s="2952" t="s">
        <v>1331</v>
      </c>
      <c r="S5" s="2952" t="s">
        <v>1331</v>
      </c>
      <c r="T5" s="2952" t="s">
        <v>1331</v>
      </c>
      <c r="U5" s="2952" t="s">
        <v>1331</v>
      </c>
      <c r="V5" s="2952" t="s">
        <v>1331</v>
      </c>
      <c r="W5" s="2952" t="s">
        <v>3122</v>
      </c>
      <c r="X5" s="2952" t="s">
        <v>3123</v>
      </c>
      <c r="Y5" s="2952" t="s">
        <v>3124</v>
      </c>
      <c r="Z5" s="2952" t="s">
        <v>3125</v>
      </c>
      <c r="AA5" s="2952" t="s">
        <v>3125</v>
      </c>
      <c r="AB5" s="2952" t="s">
        <v>3126</v>
      </c>
      <c r="AC5" s="2952" t="s">
        <v>3127</v>
      </c>
      <c r="AD5" s="2952" t="s">
        <v>3128</v>
      </c>
      <c r="AE5" s="2952">
        <v>80</v>
      </c>
      <c r="AF5" s="2952">
        <v>798</v>
      </c>
      <c r="AG5" s="2952">
        <v>798</v>
      </c>
      <c r="AH5" s="2952">
        <v>44.82</v>
      </c>
      <c r="AI5" s="2952">
        <v>44.82</v>
      </c>
      <c r="AJ5" s="2952">
        <v>529.36</v>
      </c>
      <c r="AK5" s="2953">
        <v>529.36</v>
      </c>
      <c r="AL5" s="2952">
        <f>ROUND(AG5*10000/J5,0)</f>
        <v>672</v>
      </c>
      <c r="AM5" s="2952" t="s">
        <v>1331</v>
      </c>
      <c r="AN5" s="2952">
        <v>0</v>
      </c>
      <c r="AO5" s="2952">
        <v>50</v>
      </c>
      <c r="AP5" s="2952" t="s">
        <v>1331</v>
      </c>
      <c r="AQ5" s="2952" t="s">
        <v>1331</v>
      </c>
      <c r="AR5" s="2952" t="s">
        <v>1331</v>
      </c>
    </row>
    <row r="6" spans="1:44" s="2952" customFormat="1">
      <c r="A6" s="2952" t="s">
        <v>3129</v>
      </c>
      <c r="B6" s="2952" t="s">
        <v>3040</v>
      </c>
      <c r="C6" s="2952" t="s">
        <v>3118</v>
      </c>
      <c r="D6" s="2952" t="s">
        <v>3119</v>
      </c>
      <c r="E6" s="2952" t="s">
        <v>1331</v>
      </c>
      <c r="F6" s="2952" t="s">
        <v>3130</v>
      </c>
      <c r="G6" s="2952" t="s">
        <v>3121</v>
      </c>
      <c r="H6" s="2952">
        <v>201800601</v>
      </c>
      <c r="I6" s="2952" t="s">
        <v>3118</v>
      </c>
      <c r="J6" s="2952">
        <v>53873.7</v>
      </c>
      <c r="K6" s="2952">
        <v>56567.39</v>
      </c>
      <c r="L6" s="2952">
        <v>1.05</v>
      </c>
      <c r="M6" s="2952" t="s">
        <v>1331</v>
      </c>
      <c r="N6" s="2952">
        <v>0.376</v>
      </c>
      <c r="O6" s="2952">
        <v>0</v>
      </c>
      <c r="P6" s="2952" t="s">
        <v>1331</v>
      </c>
      <c r="Q6" s="2952" t="s">
        <v>1331</v>
      </c>
      <c r="R6" s="2952" t="s">
        <v>1331</v>
      </c>
      <c r="S6" s="2952" t="s">
        <v>1331</v>
      </c>
      <c r="T6" s="2952" t="s">
        <v>1331</v>
      </c>
      <c r="U6" s="2952" t="s">
        <v>1331</v>
      </c>
      <c r="V6" s="2952" t="s">
        <v>1331</v>
      </c>
      <c r="W6" s="2952" t="s">
        <v>3122</v>
      </c>
      <c r="X6" s="2952" t="s">
        <v>3131</v>
      </c>
      <c r="Y6" s="2952" t="s">
        <v>3132</v>
      </c>
      <c r="Z6" s="2952" t="s">
        <v>3132</v>
      </c>
      <c r="AA6" s="2952" t="s">
        <v>3132</v>
      </c>
      <c r="AB6" s="2952" t="s">
        <v>3133</v>
      </c>
      <c r="AC6" s="2952" t="s">
        <v>3127</v>
      </c>
      <c r="AD6" s="2952" t="s">
        <v>3134</v>
      </c>
      <c r="AE6" s="2952">
        <v>460</v>
      </c>
      <c r="AF6" s="2952">
        <v>4596</v>
      </c>
      <c r="AG6" s="2952">
        <v>4596</v>
      </c>
      <c r="AH6" s="2952">
        <v>56.87</v>
      </c>
      <c r="AI6" s="2952">
        <v>56.87</v>
      </c>
      <c r="AJ6" s="2952">
        <v>812.48</v>
      </c>
      <c r="AK6" s="2953">
        <v>812.48</v>
      </c>
      <c r="AL6" s="2952">
        <f t="shared" ref="AL6:AL17" si="1">ROUND(AG6*10000/J6,0)</f>
        <v>853</v>
      </c>
      <c r="AM6" s="2952" t="s">
        <v>1331</v>
      </c>
      <c r="AN6" s="2952">
        <v>0</v>
      </c>
      <c r="AO6" s="2952">
        <v>50</v>
      </c>
      <c r="AP6" s="2952" t="s">
        <v>1331</v>
      </c>
      <c r="AQ6" s="2952" t="s">
        <v>1331</v>
      </c>
      <c r="AR6" s="2952" t="s">
        <v>1331</v>
      </c>
    </row>
    <row r="7" spans="1:44" s="2952" customFormat="1">
      <c r="A7" s="2952" t="s">
        <v>3135</v>
      </c>
      <c r="B7" s="2952" t="s">
        <v>3040</v>
      </c>
      <c r="C7" s="2952" t="s">
        <v>3118</v>
      </c>
      <c r="D7" s="2952" t="s">
        <v>3119</v>
      </c>
      <c r="E7" s="2952" t="s">
        <v>1331</v>
      </c>
      <c r="F7" s="2952" t="s">
        <v>3136</v>
      </c>
      <c r="G7" s="2952" t="s">
        <v>3121</v>
      </c>
      <c r="H7" s="2952">
        <v>201713301</v>
      </c>
      <c r="I7" s="2952" t="s">
        <v>3118</v>
      </c>
      <c r="J7" s="2952">
        <v>9002.2999999999993</v>
      </c>
      <c r="K7" s="2952">
        <v>7832</v>
      </c>
      <c r="L7" s="2952">
        <v>0.87</v>
      </c>
      <c r="M7" s="2952" t="s">
        <v>1331</v>
      </c>
      <c r="N7" s="2952">
        <v>0.48499999999999999</v>
      </c>
      <c r="O7" s="2952">
        <v>0</v>
      </c>
      <c r="P7" s="2952" t="s">
        <v>1331</v>
      </c>
      <c r="Q7" s="2952" t="s">
        <v>1331</v>
      </c>
      <c r="R7" s="2952" t="s">
        <v>1331</v>
      </c>
      <c r="S7" s="2952" t="s">
        <v>1331</v>
      </c>
      <c r="T7" s="2952" t="s">
        <v>1331</v>
      </c>
      <c r="U7" s="2952" t="s">
        <v>1331</v>
      </c>
      <c r="V7" s="2952" t="s">
        <v>1331</v>
      </c>
      <c r="W7" s="2952" t="s">
        <v>3122</v>
      </c>
      <c r="X7" s="2952" t="s">
        <v>3137</v>
      </c>
      <c r="Y7" s="2952" t="s">
        <v>3138</v>
      </c>
      <c r="Z7" s="2952" t="s">
        <v>3138</v>
      </c>
      <c r="AA7" s="2952" t="s">
        <v>3138</v>
      </c>
      <c r="AB7" s="2952" t="s">
        <v>3139</v>
      </c>
      <c r="AC7" s="2952" t="s">
        <v>3127</v>
      </c>
      <c r="AD7" s="2952" t="s">
        <v>3140</v>
      </c>
      <c r="AE7" s="2952">
        <v>80</v>
      </c>
      <c r="AF7" s="2952">
        <v>758</v>
      </c>
      <c r="AG7" s="2952">
        <v>758</v>
      </c>
      <c r="AH7" s="2952">
        <v>56.13</v>
      </c>
      <c r="AI7" s="2952">
        <v>56.13</v>
      </c>
      <c r="AJ7" s="2952">
        <v>967.82</v>
      </c>
      <c r="AK7" s="2953">
        <v>967.82</v>
      </c>
      <c r="AL7" s="2952">
        <f t="shared" si="1"/>
        <v>842</v>
      </c>
      <c r="AM7" s="2952" t="s">
        <v>1331</v>
      </c>
      <c r="AN7" s="2952">
        <v>0</v>
      </c>
      <c r="AO7" s="2952">
        <v>20</v>
      </c>
      <c r="AP7" s="2952" t="s">
        <v>1331</v>
      </c>
      <c r="AQ7" s="2952" t="s">
        <v>1331</v>
      </c>
      <c r="AR7" s="2952" t="s">
        <v>1331</v>
      </c>
    </row>
    <row r="8" spans="1:44" s="2952" customFormat="1" ht="15.75" customHeight="1">
      <c r="A8" s="2952" t="s">
        <v>3141</v>
      </c>
      <c r="B8" s="2952" t="s">
        <v>3040</v>
      </c>
      <c r="C8" s="2952" t="s">
        <v>3118</v>
      </c>
      <c r="D8" s="2952" t="s">
        <v>3119</v>
      </c>
      <c r="E8" s="2952" t="s">
        <v>1331</v>
      </c>
      <c r="F8" s="2952" t="s">
        <v>3142</v>
      </c>
      <c r="G8" s="2952" t="s">
        <v>3121</v>
      </c>
      <c r="H8" s="2952">
        <v>201710902</v>
      </c>
      <c r="I8" s="2952" t="s">
        <v>3118</v>
      </c>
      <c r="J8" s="2952">
        <v>105516.7</v>
      </c>
      <c r="K8" s="2952">
        <v>86523.69</v>
      </c>
      <c r="L8" s="2952">
        <v>0.82</v>
      </c>
      <c r="M8" s="2952" t="s">
        <v>1331</v>
      </c>
      <c r="N8" s="2952">
        <v>0.57379999999999998</v>
      </c>
      <c r="O8" s="2952" t="s">
        <v>1331</v>
      </c>
      <c r="P8" s="2952" t="s">
        <v>1331</v>
      </c>
      <c r="Q8" s="2952" t="s">
        <v>1331</v>
      </c>
      <c r="R8" s="2952" t="s">
        <v>1331</v>
      </c>
      <c r="S8" s="2952" t="s">
        <v>1331</v>
      </c>
      <c r="T8" s="2952" t="s">
        <v>1331</v>
      </c>
      <c r="U8" s="2952" t="s">
        <v>1331</v>
      </c>
      <c r="V8" s="2952" t="s">
        <v>1331</v>
      </c>
      <c r="W8" s="2952" t="s">
        <v>3122</v>
      </c>
      <c r="X8" s="2952" t="s">
        <v>3143</v>
      </c>
      <c r="Y8" s="2952" t="s">
        <v>3144</v>
      </c>
      <c r="Z8" s="2952" t="s">
        <v>3144</v>
      </c>
      <c r="AA8" s="2952" t="s">
        <v>3144</v>
      </c>
      <c r="AB8" s="2952" t="s">
        <v>3145</v>
      </c>
      <c r="AC8" s="2952" t="s">
        <v>3127</v>
      </c>
      <c r="AD8" s="2952" t="s">
        <v>3146</v>
      </c>
      <c r="AE8" s="2952">
        <v>890</v>
      </c>
      <c r="AF8" s="2952">
        <v>8853</v>
      </c>
      <c r="AG8" s="2952">
        <v>8853</v>
      </c>
      <c r="AH8" s="2952">
        <v>55.93</v>
      </c>
      <c r="AI8" s="2952">
        <v>55.93</v>
      </c>
      <c r="AJ8" s="2952">
        <v>1023.18</v>
      </c>
      <c r="AK8" s="2953">
        <v>1023.19</v>
      </c>
      <c r="AL8" s="2952">
        <f t="shared" si="1"/>
        <v>839</v>
      </c>
      <c r="AM8" s="2952" t="s">
        <v>1331</v>
      </c>
      <c r="AN8" s="2952">
        <v>0</v>
      </c>
      <c r="AO8" s="2952">
        <v>20</v>
      </c>
      <c r="AP8" s="2952" t="s">
        <v>1331</v>
      </c>
      <c r="AQ8" s="2952" t="s">
        <v>1331</v>
      </c>
      <c r="AR8" s="2952" t="s">
        <v>1331</v>
      </c>
    </row>
    <row r="9" spans="1:44" s="2955" customFormat="1">
      <c r="A9" s="2955" t="s">
        <v>3147</v>
      </c>
      <c r="B9" s="2955" t="s">
        <v>3040</v>
      </c>
      <c r="C9" s="2955" t="s">
        <v>3118</v>
      </c>
      <c r="D9" s="2955" t="s">
        <v>3119</v>
      </c>
      <c r="E9" s="2955" t="s">
        <v>1331</v>
      </c>
      <c r="F9" s="2955" t="s">
        <v>3148</v>
      </c>
      <c r="G9" s="2955" t="s">
        <v>3121</v>
      </c>
      <c r="H9" s="2955">
        <v>201710903</v>
      </c>
      <c r="I9" s="2955" t="s">
        <v>3118</v>
      </c>
      <c r="J9" s="2955">
        <v>69726.100000000006</v>
      </c>
      <c r="K9" s="2955">
        <v>99011.06</v>
      </c>
      <c r="L9" s="2955">
        <v>1.42</v>
      </c>
      <c r="M9" s="2955" t="s">
        <v>1331</v>
      </c>
      <c r="N9" s="2955">
        <v>44.27</v>
      </c>
      <c r="O9" s="2955" t="s">
        <v>1331</v>
      </c>
      <c r="P9" s="2955" t="s">
        <v>1331</v>
      </c>
      <c r="Q9" s="2955" t="s">
        <v>1331</v>
      </c>
      <c r="R9" s="2955" t="s">
        <v>1331</v>
      </c>
      <c r="S9" s="2955" t="s">
        <v>1331</v>
      </c>
      <c r="T9" s="2955" t="s">
        <v>1331</v>
      </c>
      <c r="U9" s="2955" t="s">
        <v>1331</v>
      </c>
      <c r="V9" s="2955" t="s">
        <v>1331</v>
      </c>
      <c r="W9" s="2955" t="s">
        <v>3122</v>
      </c>
      <c r="X9" s="2955" t="s">
        <v>3143</v>
      </c>
      <c r="Y9" s="2955" t="s">
        <v>3144</v>
      </c>
      <c r="Z9" s="2955" t="s">
        <v>3144</v>
      </c>
      <c r="AA9" s="2955" t="s">
        <v>3144</v>
      </c>
      <c r="AB9" s="2955" t="s">
        <v>3145</v>
      </c>
      <c r="AC9" s="2955" t="s">
        <v>3127</v>
      </c>
      <c r="AD9" s="2955" t="s">
        <v>3149</v>
      </c>
      <c r="AE9" s="2955">
        <v>830</v>
      </c>
      <c r="AF9" s="2955">
        <v>8298</v>
      </c>
      <c r="AG9" s="2955">
        <v>8298</v>
      </c>
      <c r="AH9" s="2955">
        <v>79.34</v>
      </c>
      <c r="AI9" s="2955">
        <v>79.34</v>
      </c>
      <c r="AJ9" s="2955">
        <v>838.08</v>
      </c>
      <c r="AK9" s="2955">
        <v>838.09</v>
      </c>
      <c r="AL9" s="2955">
        <f t="shared" si="1"/>
        <v>1190</v>
      </c>
      <c r="AM9" s="2955" t="s">
        <v>1331</v>
      </c>
      <c r="AN9" s="2955">
        <v>0</v>
      </c>
      <c r="AO9" s="2955">
        <v>50</v>
      </c>
      <c r="AP9" s="2955" t="s">
        <v>1331</v>
      </c>
      <c r="AQ9" s="2955" t="s">
        <v>1331</v>
      </c>
      <c r="AR9" s="2955" t="s">
        <v>1331</v>
      </c>
    </row>
    <row r="10" spans="1:44" s="2955" customFormat="1">
      <c r="A10" s="2955" t="s">
        <v>3150</v>
      </c>
      <c r="B10" s="2955" t="s">
        <v>3040</v>
      </c>
      <c r="C10" s="2955" t="s">
        <v>3118</v>
      </c>
      <c r="D10" s="2955" t="s">
        <v>3119</v>
      </c>
      <c r="E10" s="2955" t="s">
        <v>1331</v>
      </c>
      <c r="F10" s="2955" t="s">
        <v>3151</v>
      </c>
      <c r="G10" s="2955" t="s">
        <v>3121</v>
      </c>
      <c r="H10" s="2955">
        <v>201710401</v>
      </c>
      <c r="I10" s="2955" t="s">
        <v>3118</v>
      </c>
      <c r="J10" s="2955">
        <v>48248.4</v>
      </c>
      <c r="K10" s="2955">
        <v>84434.7</v>
      </c>
      <c r="L10" s="2955">
        <v>1.75</v>
      </c>
      <c r="M10" s="2955" t="s">
        <v>1331</v>
      </c>
      <c r="N10" s="2955" t="s">
        <v>3152</v>
      </c>
      <c r="O10" s="2955">
        <v>0</v>
      </c>
      <c r="P10" s="2955" t="s">
        <v>1331</v>
      </c>
      <c r="Q10" s="2955" t="s">
        <v>1331</v>
      </c>
      <c r="R10" s="2955" t="s">
        <v>1331</v>
      </c>
      <c r="S10" s="2955" t="s">
        <v>1331</v>
      </c>
      <c r="T10" s="2955" t="s">
        <v>1331</v>
      </c>
      <c r="U10" s="2955" t="s">
        <v>1331</v>
      </c>
      <c r="V10" s="2955" t="s">
        <v>1331</v>
      </c>
      <c r="W10" s="2955" t="s">
        <v>3122</v>
      </c>
      <c r="X10" s="2955" t="s">
        <v>3153</v>
      </c>
      <c r="Y10" s="2955" t="s">
        <v>3154</v>
      </c>
      <c r="Z10" s="2955" t="s">
        <v>3154</v>
      </c>
      <c r="AA10" s="2955" t="s">
        <v>3154</v>
      </c>
      <c r="AB10" s="2955" t="s">
        <v>3155</v>
      </c>
      <c r="AC10" s="2955" t="s">
        <v>3127</v>
      </c>
      <c r="AD10" s="2955" t="s">
        <v>3156</v>
      </c>
      <c r="AE10" s="2955">
        <v>580</v>
      </c>
      <c r="AF10" s="2955">
        <v>5783</v>
      </c>
      <c r="AG10" s="2955">
        <v>5783</v>
      </c>
      <c r="AH10" s="2955">
        <v>79.91</v>
      </c>
      <c r="AI10" s="2955">
        <v>79.91</v>
      </c>
      <c r="AJ10" s="2955">
        <v>684.9</v>
      </c>
      <c r="AK10" s="2955">
        <v>684.9</v>
      </c>
      <c r="AL10" s="2955">
        <f t="shared" si="1"/>
        <v>1199</v>
      </c>
      <c r="AM10" s="2955" t="s">
        <v>1331</v>
      </c>
      <c r="AN10" s="2955">
        <v>0</v>
      </c>
      <c r="AO10" s="2955">
        <v>50</v>
      </c>
      <c r="AP10" s="2955" t="s">
        <v>1331</v>
      </c>
      <c r="AQ10" s="2955" t="s">
        <v>1331</v>
      </c>
      <c r="AR10" s="2955" t="s">
        <v>1331</v>
      </c>
    </row>
    <row r="11" spans="1:44" s="2952" customFormat="1">
      <c r="A11" s="2952" t="s">
        <v>3157</v>
      </c>
      <c r="B11" s="2952" t="s">
        <v>3040</v>
      </c>
      <c r="C11" s="2952" t="s">
        <v>3118</v>
      </c>
      <c r="D11" s="2952" t="s">
        <v>3119</v>
      </c>
      <c r="E11" s="2952" t="s">
        <v>1331</v>
      </c>
      <c r="F11" s="2952" t="s">
        <v>3158</v>
      </c>
      <c r="G11" s="2952" t="s">
        <v>3121</v>
      </c>
      <c r="H11" s="2952">
        <v>201706301</v>
      </c>
      <c r="I11" s="2952" t="s">
        <v>3118</v>
      </c>
      <c r="J11" s="2952">
        <v>14371.1</v>
      </c>
      <c r="K11" s="2952">
        <v>19975.830000000002</v>
      </c>
      <c r="L11" s="2952">
        <v>1.39</v>
      </c>
      <c r="M11" s="2952" t="s">
        <v>1331</v>
      </c>
      <c r="N11" s="2952">
        <v>0</v>
      </c>
      <c r="O11" s="2952">
        <v>0</v>
      </c>
      <c r="P11" s="2952" t="s">
        <v>1331</v>
      </c>
      <c r="Q11" s="2952" t="s">
        <v>1331</v>
      </c>
      <c r="R11" s="2952" t="s">
        <v>1331</v>
      </c>
      <c r="S11" s="2952" t="s">
        <v>1331</v>
      </c>
      <c r="T11" s="2952" t="s">
        <v>1331</v>
      </c>
      <c r="U11" s="2952" t="s">
        <v>1331</v>
      </c>
      <c r="V11" s="2952" t="s">
        <v>1331</v>
      </c>
      <c r="W11" s="2952" t="s">
        <v>3159</v>
      </c>
      <c r="X11" s="2952" t="s">
        <v>3160</v>
      </c>
      <c r="Y11" s="2952" t="s">
        <v>3161</v>
      </c>
      <c r="Z11" s="2952" t="s">
        <v>3161</v>
      </c>
      <c r="AA11" s="2952" t="s">
        <v>3161</v>
      </c>
      <c r="AB11" s="2952" t="s">
        <v>3162</v>
      </c>
      <c r="AC11" s="2952" t="s">
        <v>3127</v>
      </c>
      <c r="AD11" s="2952" t="s">
        <v>3163</v>
      </c>
      <c r="AE11" s="2952">
        <v>120</v>
      </c>
      <c r="AF11" s="2952">
        <v>1186</v>
      </c>
      <c r="AG11" s="2952">
        <v>1186</v>
      </c>
      <c r="AH11" s="2952">
        <v>55.02</v>
      </c>
      <c r="AI11" s="2952">
        <v>55.02</v>
      </c>
      <c r="AJ11" s="2952">
        <v>593.71</v>
      </c>
      <c r="AK11" s="2953">
        <v>593.72</v>
      </c>
      <c r="AL11" s="2952">
        <f t="shared" si="1"/>
        <v>825</v>
      </c>
      <c r="AM11" s="2952" t="s">
        <v>1331</v>
      </c>
      <c r="AN11" s="2952">
        <v>0</v>
      </c>
      <c r="AO11" s="2952">
        <v>20</v>
      </c>
      <c r="AP11" s="2952" t="s">
        <v>1331</v>
      </c>
      <c r="AQ11" s="2952" t="s">
        <v>1331</v>
      </c>
      <c r="AR11" s="2952" t="s">
        <v>1331</v>
      </c>
    </row>
    <row r="12" spans="1:44" s="2952" customFormat="1">
      <c r="A12" s="2952" t="s">
        <v>3164</v>
      </c>
      <c r="B12" s="2952" t="s">
        <v>3040</v>
      </c>
      <c r="C12" s="2952" t="s">
        <v>3118</v>
      </c>
      <c r="D12" s="2952" t="s">
        <v>3119</v>
      </c>
      <c r="E12" s="2952" t="s">
        <v>1331</v>
      </c>
      <c r="F12" s="2952" t="s">
        <v>3165</v>
      </c>
      <c r="G12" s="2952" t="s">
        <v>3121</v>
      </c>
      <c r="H12" s="2952">
        <v>201703801</v>
      </c>
      <c r="I12" s="2952" t="s">
        <v>3118</v>
      </c>
      <c r="J12" s="2952">
        <v>16350.6</v>
      </c>
      <c r="K12" s="2952">
        <v>14715.54</v>
      </c>
      <c r="L12" s="2952" t="s">
        <v>3166</v>
      </c>
      <c r="M12" s="2952" t="s">
        <v>1331</v>
      </c>
      <c r="N12" s="2952">
        <v>0</v>
      </c>
      <c r="O12" s="2952">
        <v>0</v>
      </c>
      <c r="P12" s="2952">
        <v>0</v>
      </c>
      <c r="Q12" s="2952" t="s">
        <v>1331</v>
      </c>
      <c r="R12" s="2952" t="s">
        <v>1331</v>
      </c>
      <c r="S12" s="2952" t="s">
        <v>1331</v>
      </c>
      <c r="T12" s="2952" t="s">
        <v>1331</v>
      </c>
      <c r="U12" s="2952" t="s">
        <v>1331</v>
      </c>
      <c r="V12" s="2952" t="s">
        <v>1331</v>
      </c>
      <c r="W12" s="2952" t="s">
        <v>3159</v>
      </c>
      <c r="X12" s="2952" t="s">
        <v>3167</v>
      </c>
      <c r="Y12" s="2952" t="s">
        <v>3168</v>
      </c>
      <c r="Z12" s="2952" t="s">
        <v>3169</v>
      </c>
      <c r="AA12" s="2952" t="s">
        <v>3168</v>
      </c>
      <c r="AB12" s="2952" t="s">
        <v>3170</v>
      </c>
      <c r="AC12" s="2952" t="s">
        <v>3127</v>
      </c>
      <c r="AD12" s="2952" t="s">
        <v>3171</v>
      </c>
      <c r="AE12" s="2952">
        <v>160</v>
      </c>
      <c r="AF12" s="2952">
        <v>1593</v>
      </c>
      <c r="AG12" s="2952">
        <v>1593</v>
      </c>
      <c r="AH12" s="2952">
        <v>64.95</v>
      </c>
      <c r="AI12" s="2952">
        <v>64.95</v>
      </c>
      <c r="AJ12" s="2952">
        <v>1082.52</v>
      </c>
      <c r="AK12" s="2953">
        <v>1082.52</v>
      </c>
      <c r="AL12" s="2952">
        <f t="shared" si="1"/>
        <v>974</v>
      </c>
      <c r="AM12" s="2952" t="s">
        <v>1331</v>
      </c>
      <c r="AN12" s="2952">
        <v>0</v>
      </c>
      <c r="AO12" s="2952">
        <v>20</v>
      </c>
      <c r="AP12" s="2952" t="s">
        <v>1331</v>
      </c>
      <c r="AQ12" s="2952" t="s">
        <v>1331</v>
      </c>
      <c r="AR12" s="2952" t="s">
        <v>1331</v>
      </c>
    </row>
    <row r="13" spans="1:44" s="2952" customFormat="1">
      <c r="A13" s="2952" t="s">
        <v>3172</v>
      </c>
      <c r="B13" s="2952" t="s">
        <v>3040</v>
      </c>
      <c r="C13" s="2952" t="s">
        <v>3118</v>
      </c>
      <c r="D13" s="2952" t="s">
        <v>3119</v>
      </c>
      <c r="E13" s="2952" t="s">
        <v>1331</v>
      </c>
      <c r="F13" s="2952" t="s">
        <v>3173</v>
      </c>
      <c r="G13" s="2952" t="s">
        <v>3121</v>
      </c>
      <c r="H13" s="2952">
        <v>201614201</v>
      </c>
      <c r="I13" s="2952" t="s">
        <v>3118</v>
      </c>
      <c r="J13" s="2952">
        <v>95638.6</v>
      </c>
      <c r="K13" s="2952">
        <v>121461</v>
      </c>
      <c r="L13" s="2952">
        <v>1.27</v>
      </c>
      <c r="M13" s="2952" t="s">
        <v>1331</v>
      </c>
      <c r="N13" s="2952" t="s">
        <v>1331</v>
      </c>
      <c r="O13" s="2952" t="s">
        <v>1331</v>
      </c>
      <c r="P13" s="2952" t="s">
        <v>1331</v>
      </c>
      <c r="Q13" s="2952" t="s">
        <v>1331</v>
      </c>
      <c r="R13" s="2952" t="s">
        <v>1331</v>
      </c>
      <c r="S13" s="2952" t="s">
        <v>1331</v>
      </c>
      <c r="T13" s="2952" t="s">
        <v>1331</v>
      </c>
      <c r="U13" s="2952" t="s">
        <v>1331</v>
      </c>
      <c r="V13" s="2952" t="s">
        <v>1331</v>
      </c>
      <c r="W13" s="2952" t="s">
        <v>3159</v>
      </c>
      <c r="X13" s="2952" t="s">
        <v>3174</v>
      </c>
      <c r="Y13" s="2952" t="s">
        <v>3175</v>
      </c>
      <c r="Z13" s="2952" t="s">
        <v>3175</v>
      </c>
      <c r="AA13" s="2952" t="s">
        <v>3175</v>
      </c>
      <c r="AB13" s="2952" t="s">
        <v>3176</v>
      </c>
      <c r="AC13" s="2952" t="s">
        <v>3127</v>
      </c>
      <c r="AD13" s="2952" t="s">
        <v>3177</v>
      </c>
      <c r="AE13" s="2952">
        <v>460</v>
      </c>
      <c r="AF13" s="2952">
        <v>4581</v>
      </c>
      <c r="AG13" s="2952">
        <v>4581</v>
      </c>
      <c r="AH13" s="2952">
        <v>31.93</v>
      </c>
      <c r="AI13" s="2952">
        <v>31.93</v>
      </c>
      <c r="AJ13" s="2952">
        <v>377.15</v>
      </c>
      <c r="AK13" s="2953">
        <v>377.16</v>
      </c>
      <c r="AL13" s="2952">
        <f t="shared" si="1"/>
        <v>479</v>
      </c>
      <c r="AM13" s="2952" t="s">
        <v>1331</v>
      </c>
      <c r="AN13" s="2952">
        <v>0</v>
      </c>
      <c r="AO13" s="2952" t="s">
        <v>3178</v>
      </c>
      <c r="AP13" s="2952" t="s">
        <v>1331</v>
      </c>
      <c r="AQ13" s="2952" t="s">
        <v>1331</v>
      </c>
      <c r="AR13" s="2952" t="s">
        <v>1331</v>
      </c>
    </row>
    <row r="14" spans="1:44" s="2955" customFormat="1">
      <c r="A14" s="2955" t="s">
        <v>3179</v>
      </c>
      <c r="B14" s="2955" t="s">
        <v>3040</v>
      </c>
      <c r="C14" s="2955" t="s">
        <v>3118</v>
      </c>
      <c r="D14" s="2955" t="s">
        <v>3119</v>
      </c>
      <c r="E14" s="2955" t="s">
        <v>1331</v>
      </c>
      <c r="F14" s="2955" t="s">
        <v>3180</v>
      </c>
      <c r="G14" s="2955" t="s">
        <v>3121</v>
      </c>
      <c r="H14" s="2955">
        <v>201609201</v>
      </c>
      <c r="I14" s="2955" t="s">
        <v>3118</v>
      </c>
      <c r="J14" s="2955">
        <v>384367.5</v>
      </c>
      <c r="K14" s="2955">
        <v>753360.3</v>
      </c>
      <c r="L14" s="2955">
        <v>1.96</v>
      </c>
      <c r="M14" s="2955" t="s">
        <v>1331</v>
      </c>
      <c r="N14" s="2955" t="s">
        <v>1331</v>
      </c>
      <c r="O14" s="2955" t="s">
        <v>1331</v>
      </c>
      <c r="P14" s="2955" t="s">
        <v>1331</v>
      </c>
      <c r="Q14" s="2955" t="s">
        <v>1331</v>
      </c>
      <c r="R14" s="2955" t="s">
        <v>1331</v>
      </c>
      <c r="S14" s="2955" t="s">
        <v>1331</v>
      </c>
      <c r="T14" s="2955" t="s">
        <v>1331</v>
      </c>
      <c r="U14" s="2955" t="s">
        <v>1331</v>
      </c>
      <c r="V14" s="2955" t="s">
        <v>1331</v>
      </c>
      <c r="W14" s="2955" t="s">
        <v>3159</v>
      </c>
      <c r="X14" s="2955" t="s">
        <v>3181</v>
      </c>
      <c r="Y14" s="2955" t="s">
        <v>3182</v>
      </c>
      <c r="Z14" s="2955" t="s">
        <v>3182</v>
      </c>
      <c r="AA14" s="2955" t="s">
        <v>3182</v>
      </c>
      <c r="AB14" s="2955" t="s">
        <v>3183</v>
      </c>
      <c r="AC14" s="2955" t="s">
        <v>3127</v>
      </c>
      <c r="AD14" s="2955" t="s">
        <v>3184</v>
      </c>
      <c r="AE14" s="2955">
        <v>4620</v>
      </c>
      <c r="AF14" s="2955">
        <v>46155</v>
      </c>
      <c r="AG14" s="2955">
        <v>46155</v>
      </c>
      <c r="AH14" s="2955">
        <v>80.05</v>
      </c>
      <c r="AI14" s="2955">
        <v>80.05</v>
      </c>
      <c r="AJ14" s="2955">
        <v>612.65</v>
      </c>
      <c r="AK14" s="2955">
        <v>612.65</v>
      </c>
      <c r="AL14" s="2955">
        <f t="shared" si="1"/>
        <v>1201</v>
      </c>
      <c r="AM14" s="2955" t="s">
        <v>1331</v>
      </c>
      <c r="AN14" s="2955">
        <v>0</v>
      </c>
      <c r="AO14" s="2955" t="s">
        <v>3178</v>
      </c>
      <c r="AP14" s="2955" t="s">
        <v>1331</v>
      </c>
      <c r="AQ14" s="2955" t="s">
        <v>1331</v>
      </c>
      <c r="AR14" s="2955" t="s">
        <v>1331</v>
      </c>
    </row>
    <row r="15" spans="1:44" s="2952" customFormat="1">
      <c r="A15" s="2952" t="s">
        <v>3185</v>
      </c>
      <c r="B15" s="2952" t="s">
        <v>3040</v>
      </c>
      <c r="C15" s="2952" t="s">
        <v>3118</v>
      </c>
      <c r="D15" s="2952" t="s">
        <v>3119</v>
      </c>
      <c r="E15" s="2952" t="s">
        <v>1331</v>
      </c>
      <c r="F15" s="2952" t="s">
        <v>3186</v>
      </c>
      <c r="G15" s="2952" t="s">
        <v>3121</v>
      </c>
      <c r="H15" s="2952">
        <v>201600501</v>
      </c>
      <c r="I15" s="2952" t="s">
        <v>3118</v>
      </c>
      <c r="J15" s="2952">
        <v>24315.599999999999</v>
      </c>
      <c r="K15" s="2952">
        <v>43768.08</v>
      </c>
      <c r="L15" s="2952">
        <v>1.8</v>
      </c>
      <c r="M15" s="2952" t="s">
        <v>1331</v>
      </c>
      <c r="N15" s="2952" t="s">
        <v>1331</v>
      </c>
      <c r="O15" s="2952" t="s">
        <v>1331</v>
      </c>
      <c r="P15" s="2952" t="s">
        <v>1331</v>
      </c>
      <c r="Q15" s="2952" t="s">
        <v>1331</v>
      </c>
      <c r="R15" s="2952" t="s">
        <v>1331</v>
      </c>
      <c r="S15" s="2952" t="s">
        <v>1331</v>
      </c>
      <c r="T15" s="2952" t="s">
        <v>1331</v>
      </c>
      <c r="U15" s="2952" t="s">
        <v>1331</v>
      </c>
      <c r="V15" s="2952" t="s">
        <v>1331</v>
      </c>
      <c r="W15" s="2952" t="s">
        <v>3159</v>
      </c>
      <c r="X15" s="2952" t="s">
        <v>3187</v>
      </c>
      <c r="Y15" s="2952" t="s">
        <v>3188</v>
      </c>
      <c r="Z15" s="2952" t="s">
        <v>3188</v>
      </c>
      <c r="AA15" s="2952" t="s">
        <v>3188</v>
      </c>
      <c r="AB15" s="2952" t="s">
        <v>3189</v>
      </c>
      <c r="AC15" s="2952" t="s">
        <v>3127</v>
      </c>
      <c r="AD15" s="2952" t="s">
        <v>3190</v>
      </c>
      <c r="AE15" s="2952">
        <v>325</v>
      </c>
      <c r="AF15" s="2952">
        <v>3219</v>
      </c>
      <c r="AG15" s="2952">
        <v>3219</v>
      </c>
      <c r="AH15" s="2952">
        <v>88.26</v>
      </c>
      <c r="AI15" s="2952">
        <v>88.26</v>
      </c>
      <c r="AJ15" s="2952">
        <v>735.46</v>
      </c>
      <c r="AK15" s="2953">
        <v>735.47</v>
      </c>
      <c r="AL15" s="2952">
        <f t="shared" si="1"/>
        <v>1324</v>
      </c>
      <c r="AM15" s="2952" t="s">
        <v>1331</v>
      </c>
      <c r="AN15" s="2952">
        <v>0</v>
      </c>
      <c r="AO15" s="2952">
        <v>50</v>
      </c>
      <c r="AP15" s="2952" t="s">
        <v>1331</v>
      </c>
      <c r="AQ15" s="2952" t="s">
        <v>1331</v>
      </c>
      <c r="AR15" s="2952" t="s">
        <v>1331</v>
      </c>
    </row>
    <row r="16" spans="1:44" s="2952" customFormat="1">
      <c r="A16" s="2952" t="s">
        <v>3191</v>
      </c>
      <c r="B16" s="2952" t="s">
        <v>3040</v>
      </c>
      <c r="C16" s="2952" t="s">
        <v>3118</v>
      </c>
      <c r="D16" s="2952" t="s">
        <v>3119</v>
      </c>
      <c r="E16" s="2952" t="s">
        <v>1331</v>
      </c>
      <c r="F16" s="2952" t="s">
        <v>3192</v>
      </c>
      <c r="G16" s="2952" t="s">
        <v>3121</v>
      </c>
      <c r="H16" s="2952">
        <v>201600401</v>
      </c>
      <c r="I16" s="2952" t="s">
        <v>3118</v>
      </c>
      <c r="J16" s="2952">
        <v>17505</v>
      </c>
      <c r="K16" s="2952">
        <v>35010</v>
      </c>
      <c r="L16" s="2952">
        <v>2</v>
      </c>
      <c r="M16" s="2952" t="s">
        <v>1331</v>
      </c>
      <c r="N16" s="2952" t="s">
        <v>3193</v>
      </c>
      <c r="O16" s="2952" t="s">
        <v>1331</v>
      </c>
      <c r="P16" s="2952" t="s">
        <v>1331</v>
      </c>
      <c r="Q16" s="2952" t="s">
        <v>1331</v>
      </c>
      <c r="R16" s="2952" t="s">
        <v>1331</v>
      </c>
      <c r="S16" s="2952" t="s">
        <v>1331</v>
      </c>
      <c r="T16" s="2952" t="s">
        <v>1331</v>
      </c>
      <c r="U16" s="2952" t="s">
        <v>1331</v>
      </c>
      <c r="V16" s="2952" t="s">
        <v>1331</v>
      </c>
      <c r="W16" s="2952" t="s">
        <v>3159</v>
      </c>
      <c r="X16" s="2952" t="s">
        <v>3194</v>
      </c>
      <c r="Y16" s="2952" t="s">
        <v>3195</v>
      </c>
      <c r="Z16" s="2952" t="s">
        <v>3195</v>
      </c>
      <c r="AA16" s="2952" t="s">
        <v>3195</v>
      </c>
      <c r="AB16" s="2952" t="s">
        <v>3196</v>
      </c>
      <c r="AC16" s="2952" t="s">
        <v>3127</v>
      </c>
      <c r="AD16" s="2952" t="s">
        <v>3197</v>
      </c>
      <c r="AE16" s="2952">
        <v>170</v>
      </c>
      <c r="AF16" s="2952">
        <v>1676</v>
      </c>
      <c r="AG16" s="2952">
        <v>1676</v>
      </c>
      <c r="AH16" s="2952">
        <v>63.83</v>
      </c>
      <c r="AI16" s="2952">
        <v>63.83</v>
      </c>
      <c r="AJ16" s="2952">
        <v>478.72</v>
      </c>
      <c r="AK16" s="2953">
        <v>478.72</v>
      </c>
      <c r="AL16" s="2952">
        <f t="shared" si="1"/>
        <v>957</v>
      </c>
      <c r="AM16" s="2952" t="s">
        <v>1331</v>
      </c>
      <c r="AN16" s="2952">
        <v>0</v>
      </c>
      <c r="AO16" s="2952" t="s">
        <v>3178</v>
      </c>
      <c r="AP16" s="2952" t="s">
        <v>1331</v>
      </c>
      <c r="AQ16" s="2952" t="s">
        <v>1331</v>
      </c>
      <c r="AR16" s="2952" t="s">
        <v>1331</v>
      </c>
    </row>
    <row r="17" spans="1:44" s="2952" customFormat="1">
      <c r="A17" s="2952" t="s">
        <v>3198</v>
      </c>
      <c r="B17" s="2952" t="s">
        <v>3040</v>
      </c>
      <c r="C17" s="2952" t="s">
        <v>3118</v>
      </c>
      <c r="D17" s="2952" t="s">
        <v>3119</v>
      </c>
      <c r="E17" s="2952" t="s">
        <v>1331</v>
      </c>
      <c r="F17" s="2952" t="s">
        <v>3199</v>
      </c>
      <c r="G17" s="2952" t="s">
        <v>3121</v>
      </c>
      <c r="H17" s="2952">
        <v>201505601</v>
      </c>
      <c r="I17" s="2952" t="s">
        <v>3118</v>
      </c>
      <c r="J17" s="2952">
        <v>32609.599999999999</v>
      </c>
      <c r="K17" s="2952">
        <v>39783.71</v>
      </c>
      <c r="L17" s="2952">
        <v>1.22</v>
      </c>
      <c r="M17" s="2952" t="s">
        <v>1331</v>
      </c>
      <c r="N17" s="2952" t="s">
        <v>1331</v>
      </c>
      <c r="O17" s="2952" t="s">
        <v>1331</v>
      </c>
      <c r="P17" s="2952" t="s">
        <v>1331</v>
      </c>
      <c r="Q17" s="2952" t="s">
        <v>1331</v>
      </c>
      <c r="R17" s="2952" t="s">
        <v>1331</v>
      </c>
      <c r="S17" s="2952" t="s">
        <v>1331</v>
      </c>
      <c r="T17" s="2952" t="s">
        <v>1331</v>
      </c>
      <c r="U17" s="2952" t="s">
        <v>1331</v>
      </c>
      <c r="V17" s="2952" t="s">
        <v>1331</v>
      </c>
      <c r="W17" s="2952" t="s">
        <v>3200</v>
      </c>
      <c r="X17" s="2952" t="s">
        <v>3201</v>
      </c>
      <c r="Y17" s="2952" t="s">
        <v>3202</v>
      </c>
      <c r="Z17" s="2952" t="s">
        <v>3202</v>
      </c>
      <c r="AA17" s="2952" t="s">
        <v>3202</v>
      </c>
      <c r="AB17" s="2952" t="s">
        <v>3203</v>
      </c>
      <c r="AC17" s="2952" t="s">
        <v>3127</v>
      </c>
      <c r="AD17" s="2952" t="s">
        <v>3171</v>
      </c>
      <c r="AE17" s="2952">
        <v>270</v>
      </c>
      <c r="AF17" s="2952">
        <v>2687</v>
      </c>
      <c r="AG17" s="2952">
        <v>2687</v>
      </c>
      <c r="AH17" s="2952">
        <v>54.93</v>
      </c>
      <c r="AI17" s="2952">
        <v>54.93</v>
      </c>
      <c r="AJ17" s="2952">
        <v>675.4</v>
      </c>
      <c r="AK17" s="2953">
        <v>675.39</v>
      </c>
      <c r="AL17" s="2952">
        <f t="shared" si="1"/>
        <v>824</v>
      </c>
      <c r="AM17" s="2952" t="s">
        <v>1331</v>
      </c>
      <c r="AN17" s="2952">
        <v>0</v>
      </c>
      <c r="AO17" s="2952">
        <v>20</v>
      </c>
      <c r="AP17" s="2952" t="s">
        <v>1331</v>
      </c>
      <c r="AQ17" s="2952" t="s">
        <v>1331</v>
      </c>
      <c r="AR17" s="2952" t="s">
        <v>1331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27:O129"/>
  <sheetViews>
    <sheetView workbookViewId="0">
      <selection activeCell="O115" sqref="O115"/>
    </sheetView>
  </sheetViews>
  <sheetFormatPr defaultRowHeight="13.5"/>
  <sheetData>
    <row r="127" spans="7:15">
      <c r="G127" s="2959"/>
      <c r="K127" s="2959"/>
      <c r="O127" s="2959"/>
    </row>
    <row r="128" spans="7:15">
      <c r="G128" s="2959"/>
      <c r="O128" s="2959"/>
    </row>
    <row r="129" spans="7:15">
      <c r="G129" s="2959"/>
      <c r="O129" s="2959"/>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30">
      <c r="A4" s="1976" t="str">
        <f>项目基本情况!S2</f>
        <v>上海市山阳镇阳乐路188号房地产</v>
      </c>
      <c r="B4" s="1047">
        <f>项目基本情况!C17</f>
        <v>17787.509999999998</v>
      </c>
      <c r="C4" s="1047">
        <f>项目基本情况!C18</f>
        <v>35092</v>
      </c>
      <c r="D4" s="1047">
        <f ca="1">结果表!D118</f>
        <v>5308</v>
      </c>
      <c r="E4" s="1047">
        <f ca="1">结果表!E118</f>
        <v>2984</v>
      </c>
      <c r="F4" s="1047">
        <f ca="1">结果表!F118</f>
        <v>4070</v>
      </c>
      <c r="G4" s="1047">
        <f ca="1">结果表!G118</f>
        <v>2288</v>
      </c>
      <c r="H4" s="1047">
        <f ca="1">结果表!H118</f>
        <v>9378</v>
      </c>
      <c r="I4" s="1047">
        <f ca="1">结果表!I118</f>
        <v>5272</v>
      </c>
    </row>
    <row r="5" spans="1:9" ht="30" customHeight="1">
      <c r="A5" s="2973" t="s">
        <v>1640</v>
      </c>
      <c r="B5" s="2973"/>
      <c r="C5" s="2973"/>
      <c r="D5" s="2974" t="str">
        <f ca="1">结果表!D119</f>
        <v>伍仟叁佰零捌万元整</v>
      </c>
      <c r="E5" s="2974"/>
      <c r="F5" s="2974" t="str">
        <f ca="1">结果表!F119</f>
        <v>肆仟零柒拾万元整</v>
      </c>
      <c r="G5" s="2974"/>
      <c r="H5" s="2974" t="str">
        <f ca="1">结果表!H119</f>
        <v>玖仟叁佰柒拾捌万元整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9378</v>
      </c>
      <c r="E8" s="2975"/>
      <c r="F8" s="2975"/>
      <c r="G8" s="2975"/>
      <c r="H8" s="2975"/>
      <c r="I8" s="2975"/>
    </row>
    <row r="9" spans="1:9" ht="15">
      <c r="A9" s="2973" t="s">
        <v>1640</v>
      </c>
      <c r="B9" s="2973"/>
      <c r="C9" s="2973"/>
      <c r="D9" s="2974" t="str">
        <f ca="1">结果表!D123</f>
        <v>玖仟叁佰柒拾捌万元整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1662</v>
      </c>
      <c r="B1" s="2982"/>
      <c r="C1" s="2982"/>
      <c r="D1" s="2982"/>
    </row>
    <row r="2" spans="1:4" ht="18">
      <c r="A2" s="2983" t="s">
        <v>1646</v>
      </c>
      <c r="B2" s="2983"/>
      <c r="C2" s="2983"/>
      <c r="D2" s="2983"/>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83" t="s">
        <v>1652</v>
      </c>
      <c r="B6" s="2983"/>
      <c r="C6" s="2983"/>
      <c r="D6" s="298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（1）根据估价对象《房屋所有权证》复印件、，截至价值时点，估价对象抵押权未见登记。</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2018-04-27T05:19:41Z</dcterms:modified>
</cp:coreProperties>
</file>