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Q6" i="67" l="1"/>
  <c r="P6" i="67"/>
  <c r="O6" i="67"/>
  <c r="N6" i="67"/>
  <c r="Q7" i="67" l="1"/>
  <c r="P7" i="67"/>
  <c r="O7" i="67"/>
  <c r="N7" i="67"/>
  <c r="V9" i="67" l="1"/>
  <c r="U9" i="67"/>
  <c r="T9" i="67"/>
  <c r="S9" i="67"/>
  <c r="Q8" i="67" l="1"/>
  <c r="P8" i="67"/>
  <c r="O8" i="67"/>
  <c r="N8" i="67"/>
  <c r="Q9" i="67" l="1"/>
  <c r="F9" i="67" s="1"/>
  <c r="F8" i="67" s="1"/>
  <c r="F7" i="67" s="1"/>
  <c r="F6" i="67" s="1"/>
  <c r="P9" i="67"/>
  <c r="O9" i="67"/>
  <c r="C9" i="67" s="1"/>
  <c r="N9" i="67"/>
  <c r="B9" i="67" s="1"/>
  <c r="B8" i="67" s="1"/>
  <c r="B7" i="67" s="1"/>
  <c r="B6" i="67" s="1"/>
  <c r="Q10" i="67"/>
  <c r="F10" i="67"/>
  <c r="P10" i="67"/>
  <c r="E10" i="67"/>
  <c r="E9" i="67"/>
  <c r="E8" i="67" s="1"/>
  <c r="E7" i="67" s="1"/>
  <c r="E6" i="67" s="1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G3" i="6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/>
  <c r="B7" i="64"/>
  <c r="D14" i="64" s="1"/>
  <c r="B5" i="64"/>
  <c r="C25" i="64"/>
  <c r="B10" i="64"/>
  <c r="B9" i="64"/>
  <c r="D29" i="64" s="1"/>
  <c r="C15" i="64"/>
  <c r="I1" i="65"/>
  <c r="E14" i="64"/>
  <c r="D16" i="64"/>
  <c r="I2" i="65"/>
  <c r="E17" i="64"/>
  <c r="D20" i="64"/>
  <c r="D17" i="64"/>
  <c r="E20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 s="1"/>
  <c r="G47" i="63" s="1"/>
  <c r="H1" i="63"/>
  <c r="D18" i="63"/>
  <c r="H10" i="63"/>
  <c r="C19" i="43"/>
  <c r="J20" i="43"/>
  <c r="A16" i="43"/>
  <c r="D20" i="63"/>
  <c r="D19" i="63"/>
  <c r="L1" i="60"/>
  <c r="K1" i="60"/>
  <c r="M1" i="60"/>
  <c r="C7" i="63" s="1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2" i="63"/>
  <c r="D60" i="63"/>
  <c r="F66" i="63"/>
  <c r="G66" i="63" s="1"/>
  <c r="D66" i="63"/>
  <c r="D64" i="63"/>
  <c r="F62" i="63"/>
  <c r="G62" i="63" s="1"/>
  <c r="D62" i="63"/>
  <c r="D70" i="63"/>
  <c r="F76" i="63"/>
  <c r="D72" i="63"/>
  <c r="J76" i="63"/>
  <c r="I76" i="63" s="1"/>
  <c r="J74" i="63"/>
  <c r="I74" i="63" s="1"/>
  <c r="D74" i="63"/>
  <c r="F46" i="63"/>
  <c r="G46" i="63" s="1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D75" i="63"/>
  <c r="F73" i="63"/>
  <c r="G73" i="63" s="1"/>
  <c r="D73" i="63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/>
  <c r="B68" i="63" s="1"/>
  <c r="G76" i="63"/>
  <c r="D54" i="63"/>
  <c r="D45" i="63"/>
  <c r="D63" i="63"/>
  <c r="D55" i="63"/>
  <c r="D46" i="63"/>
  <c r="D52" i="63"/>
  <c r="G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E8" i="43"/>
  <c r="E10" i="43"/>
  <c r="E11" i="43"/>
  <c r="E9" i="43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W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E13" i="63"/>
  <c r="F13" i="63"/>
  <c r="G13" i="63"/>
  <c r="H13" i="63"/>
  <c r="G12" i="63"/>
  <c r="H12" i="63"/>
  <c r="D14" i="63"/>
  <c r="B80" i="63"/>
  <c r="B83" i="63" s="1"/>
  <c r="E12" i="63"/>
  <c r="F12" i="63"/>
  <c r="D12" i="63" s="1"/>
  <c r="C11" i="63" s="1"/>
  <c r="J1" i="65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H12" i="44"/>
  <c r="F81" i="43"/>
  <c r="H84" i="43" s="1"/>
  <c r="F114" i="43"/>
  <c r="H5" i="44"/>
  <c r="M1" i="43"/>
  <c r="A12" i="43"/>
  <c r="F59" i="43"/>
  <c r="H62" i="43" s="1"/>
  <c r="F19" i="43"/>
  <c r="H9" i="39"/>
  <c r="U9" i="39" s="1"/>
  <c r="AA7" i="39"/>
  <c r="R47" i="39" s="1"/>
  <c r="E47" i="39" s="1"/>
  <c r="J2" i="65"/>
  <c r="J7" i="39"/>
  <c r="AC7" i="39" s="1"/>
  <c r="V47" i="39" s="1"/>
  <c r="I47" i="39" s="1"/>
  <c r="H50" i="43"/>
  <c r="H51" i="43"/>
  <c r="H53" i="43"/>
  <c r="H55" i="43"/>
  <c r="H49" i="43"/>
  <c r="H63" i="43"/>
  <c r="H85" i="43"/>
  <c r="H87" i="43"/>
  <c r="F17" i="59"/>
  <c r="F12" i="59"/>
  <c r="F22" i="59" s="1"/>
  <c r="F13" i="9" s="1"/>
  <c r="C10" i="63"/>
  <c r="H54" i="43"/>
  <c r="H48" i="43"/>
  <c r="H52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3" i="43"/>
  <c r="H88" i="43"/>
  <c r="H82" i="43"/>
  <c r="H86" i="43"/>
  <c r="H81" i="43"/>
  <c r="H61" i="43"/>
  <c r="H65" i="43"/>
  <c r="H60" i="43"/>
  <c r="H59" i="43"/>
  <c r="F20" i="59"/>
  <c r="F11" i="9" s="1"/>
  <c r="T13" i="67"/>
  <c r="D13" i="67"/>
  <c r="C12" i="67"/>
  <c r="C11" i="67"/>
  <c r="D12" i="67"/>
  <c r="B3" i="43"/>
  <c r="D11" i="67"/>
  <c r="D10" i="67"/>
  <c r="I19" i="43"/>
  <c r="B4" i="43"/>
  <c r="H4" i="65"/>
  <c r="G8" i="65"/>
  <c r="D8" i="65"/>
  <c r="H5" i="65"/>
  <c r="G7" i="65"/>
  <c r="D6" i="65"/>
  <c r="H7" i="65"/>
  <c r="E7" i="65"/>
  <c r="H6" i="65"/>
  <c r="E8" i="65"/>
  <c r="G5" i="65"/>
  <c r="E4" i="65"/>
  <c r="D5" i="65"/>
  <c r="G6" i="65"/>
  <c r="G4" i="65"/>
  <c r="D4" i="65"/>
  <c r="D7" i="65"/>
  <c r="E5" i="65"/>
  <c r="E6" i="65"/>
  <c r="H8" i="65"/>
  <c r="F29" i="59" l="1"/>
  <c r="D27" i="64"/>
  <c r="D56" i="39"/>
  <c r="C58" i="39"/>
  <c r="W7" i="39"/>
  <c r="C7" i="68"/>
  <c r="C8" i="68"/>
  <c r="F11" i="39"/>
  <c r="H11" i="39"/>
  <c r="J11" i="39"/>
  <c r="G3" i="43"/>
  <c r="B11" i="64"/>
  <c r="C21" i="64" s="1"/>
  <c r="C5" i="68"/>
  <c r="C6" i="68"/>
  <c r="F33" i="59"/>
  <c r="B17" i="9" s="1"/>
  <c r="D13" i="63"/>
  <c r="B82" i="63"/>
  <c r="B84" i="63"/>
  <c r="B81" i="63" s="1"/>
  <c r="B85" i="63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R48" i="39"/>
  <c r="C47" i="39" s="1"/>
  <c r="AB9" i="39"/>
  <c r="AA12" i="39"/>
  <c r="E42" i="63"/>
  <c r="B40" i="63" s="1"/>
  <c r="E60" i="63"/>
  <c r="B58" i="63" s="1"/>
  <c r="C15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F64" i="63"/>
  <c r="G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I9" i="63"/>
  <c r="C9" i="63" s="1"/>
  <c r="K3" i="65"/>
  <c r="K1" i="65"/>
  <c r="K2" i="65"/>
  <c r="K4" i="65"/>
  <c r="I3" i="65"/>
  <c r="G1" i="65"/>
  <c r="E20" i="43"/>
  <c r="G2" i="65"/>
  <c r="G3" i="65"/>
  <c r="C48" i="39" l="1"/>
  <c r="B3" i="39" s="1"/>
  <c r="C20" i="63"/>
  <c r="C22" i="63" s="1"/>
  <c r="B5" i="63" s="1"/>
  <c r="F7" i="59" s="1"/>
  <c r="D58" i="39"/>
  <c r="E56" i="39"/>
  <c r="C21" i="63"/>
  <c r="E21" i="63" s="1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C23" i="43"/>
  <c r="J22" i="43"/>
  <c r="F22" i="43"/>
  <c r="E22" i="43"/>
  <c r="D22" i="43" s="1"/>
  <c r="N104" i="46"/>
  <c r="I102" i="43"/>
  <c r="E102" i="43"/>
  <c r="F102" i="43"/>
  <c r="C21" i="43"/>
  <c r="AB11" i="39"/>
  <c r="U11" i="39"/>
  <c r="AC11" i="39"/>
  <c r="W11" i="39"/>
  <c r="AA11" i="39"/>
  <c r="S11" i="39"/>
  <c r="G17" i="43"/>
  <c r="C16" i="43" s="1"/>
  <c r="S25" i="39"/>
  <c r="AA25" i="39"/>
  <c r="AC25" i="39"/>
  <c r="U25" i="39"/>
  <c r="AB25" i="39"/>
  <c r="AB27" i="39"/>
  <c r="U27" i="39"/>
  <c r="D8" i="67"/>
  <c r="C7" i="67"/>
  <c r="C19" i="63"/>
  <c r="E19" i="63" s="1"/>
  <c r="C18" i="63"/>
  <c r="R20" i="43"/>
  <c r="G20" i="43" s="1"/>
  <c r="S20" i="43"/>
  <c r="P20" i="43"/>
  <c r="Q20" i="43"/>
  <c r="G9" i="59"/>
  <c r="C12" i="9" s="1"/>
  <c r="G21" i="59"/>
  <c r="C23" i="64"/>
  <c r="B4" i="63" l="1"/>
  <c r="F56" i="39"/>
  <c r="E58" i="39"/>
  <c r="E20" i="63"/>
  <c r="E110" i="43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C20" i="43"/>
  <c r="E41" i="43"/>
  <c r="C41" i="43" s="1"/>
  <c r="C38" i="43" s="1"/>
  <c r="D5" i="43"/>
  <c r="C5" i="43"/>
  <c r="D7" i="67"/>
  <c r="C6" i="67"/>
  <c r="D6" i="67" s="1"/>
  <c r="E18" i="63"/>
  <c r="B3" i="63"/>
  <c r="B17" i="59"/>
  <c r="B18" i="59" s="1"/>
  <c r="C22" i="64"/>
  <c r="G12" i="9"/>
  <c r="F21" i="59"/>
  <c r="F58" i="39" l="1"/>
  <c r="G56" i="39"/>
  <c r="C116" i="43"/>
  <c r="D114" i="43"/>
  <c r="C29" i="43"/>
  <c r="E29" i="43" s="1"/>
  <c r="E38" i="43"/>
  <c r="G38" i="43"/>
  <c r="I38" i="43" s="1"/>
  <c r="C33" i="43"/>
  <c r="C34" i="43"/>
  <c r="C39" i="43"/>
  <c r="C37" i="43"/>
  <c r="C36" i="43"/>
  <c r="C35" i="43"/>
  <c r="C28" i="64"/>
  <c r="C30" i="64"/>
  <c r="B3" i="64"/>
  <c r="F6" i="59" s="1"/>
  <c r="F5" i="59" s="1"/>
  <c r="F11" i="59"/>
  <c r="F12" i="9"/>
  <c r="F14" i="9" s="1"/>
  <c r="H56" i="39" l="1"/>
  <c r="G58" i="39"/>
  <c r="C30" i="43"/>
  <c r="E30" i="43" s="1"/>
  <c r="G36" i="43"/>
  <c r="I36" i="43" s="1"/>
  <c r="E36" i="43"/>
  <c r="E39" i="43"/>
  <c r="G39" i="43"/>
  <c r="I39" i="43" s="1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F8" i="59"/>
  <c r="B11" i="9" s="1"/>
  <c r="B5" i="9"/>
  <c r="C29" i="64"/>
  <c r="E29" i="64" s="1"/>
  <c r="E30" i="64"/>
  <c r="E28" i="64"/>
  <c r="C27" i="64"/>
  <c r="E27" i="64" s="1"/>
  <c r="H58" i="39" l="1"/>
  <c r="I56" i="39"/>
  <c r="C27" i="43"/>
  <c r="C26" i="43"/>
  <c r="B2" i="43" s="1"/>
  <c r="F9" i="59"/>
  <c r="B12" i="9" s="1"/>
  <c r="F10" i="59"/>
  <c r="B13" i="9" s="1"/>
  <c r="I58" i="39" l="1"/>
  <c r="J56" i="39"/>
  <c r="B14" i="9"/>
  <c r="F4" i="59"/>
  <c r="F24" i="59" s="1"/>
  <c r="K56" i="39" l="1"/>
  <c r="J58" i="39"/>
  <c r="B15" i="9"/>
  <c r="F35" i="59"/>
  <c r="B18" i="9" s="1"/>
  <c r="C11" i="68" s="1"/>
  <c r="F25" i="59"/>
  <c r="L56" i="39" l="1"/>
  <c r="K58" i="39"/>
  <c r="F36" i="59"/>
  <c r="B19" i="9" s="1"/>
  <c r="B16" i="9"/>
  <c r="H16" i="9" s="1"/>
  <c r="L58" i="39" l="1"/>
  <c r="M56" i="39"/>
  <c r="H19" i="9"/>
  <c r="B11" i="68"/>
  <c r="M58" i="39" l="1"/>
  <c r="N56" i="39"/>
  <c r="N58" i="39" l="1"/>
  <c r="O56" i="39"/>
  <c r="O58" i="39" s="1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<sst xmlns="http://schemas.openxmlformats.org/spreadsheetml/2006/main" count="3952" uniqueCount="1794">
  <si>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</si>
  <si>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</si>
  <si>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</si>
  <si>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</si>
  <si>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</si>
  <si>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</si>
  <si>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</si>
  <si>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</si>
  <si>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</si>
  <si>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</si>
  <si>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</si>
  <si>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</si>
  <si>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</si>
  <si>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</si>
  <si>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</si>
  <si>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</si>
  <si>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</si>
  <si>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</si>
  <si>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</si>
  <si>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</si>
  <si>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</si>
  <si>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</si>
  <si>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</si>
  <si>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</si>
  <si>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</si>
  <si>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</si>
  <si>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</si>
  <si>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</si>
  <si>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</si>
  <si>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</si>
  <si>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</si>
  <si>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</si>
  <si>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</si>
  <si>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</si>
  <si>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</si>
  <si>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</si>
  <si>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</si>
  <si>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</si>
  <si>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</si>
  <si>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</si>
  <si>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</si>
  <si>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</si>
  <si>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</si>
  <si>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</si>
  <si>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</si>
  <si>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</si>
  <si>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</si>
  <si>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</si>
  <si>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</si>
  <si>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</si>
  <si>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</si>
  <si>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</si>
  <si>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</si>
  <si>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</si>
  <si>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</si>
  <si>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</si>
  <si>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</si>
  <si>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</si>
  <si>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</si>
  <si>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</si>
  <si>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</si>
  <si>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</si>
  <si>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</si>
  <si>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</si>
  <si>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</si>
  <si>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</si>
  <si>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</si>
  <si>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</si>
  <si>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</si>
  <si>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</si>
  <si>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</si>
  <si>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</si>
  <si>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</si>
  <si>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</si>
  <si>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</si>
  <si>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</si>
  <si>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</si>
  <si>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</si>
  <si>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</si>
  <si>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</si>
  <si>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</si>
  <si>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</si>
  <si>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</si>
  <si>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</si>
  <si>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</si>
  <si>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</si>
  <si>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</si>
  <si>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</si>
  <si>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</si>
  <si>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</si>
  <si>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</si>
  <si>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</si>
  <si>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</si>
  <si>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</si>
  <si>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</si>
  <si>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</si>
  <si>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</si>
  <si>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</si>
  <si>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</si>
  <si>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</si>
  <si>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</si>
  <si>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</si>
  <si>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</si>
  <si>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</si>
  <si>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</si>
  <si>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</si>
  <si>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</si>
  <si>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</si>
  <si>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</si>
  <si>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</si>
  <si>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</si>
  <si>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</si>
  <si>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</si>
  <si>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</si>
  <si>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</si>
  <si>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</si>
  <si>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</si>
  <si>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</si>
  <si>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</si>
  <si>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</si>
  <si>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</si>
  <si>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</si>
  <si>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</si>
  <si>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</si>
  <si>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</si>
  <si>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</si>
  <si>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</si>
  <si>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</si>
  <si>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</si>
  <si>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</si>
  <si>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</si>
  <si>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</si>
  <si>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</si>
  <si>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</si>
  <si>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</si>
  <si>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</si>
  <si>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</si>
  <si>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</si>
  <si>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</si>
  <si>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</si>
  <si>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</si>
  <si>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</si>
  <si>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</si>
  <si>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</si>
  <si>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</si>
  <si>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</si>
  <si>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</si>
  <si>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</si>
  <si>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</si>
  <si>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</si>
  <si>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</si>
  <si>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</si>
  <si>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</si>
  <si>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</si>
  <si>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</si>
  <si>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</si>
  <si>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</si>
  <si>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</si>
  <si>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</si>
  <si>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</si>
  <si>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</si>
  <si>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</si>
  <si>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</si>
  <si>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</si>
  <si>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</si>
  <si>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</si>
  <si>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</si>
  <si>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</si>
  <si>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</si>
  <si>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</si>
  <si>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</si>
  <si>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</si>
  <si>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</si>
  <si>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</si>
  <si>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</si>
  <si>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</si>
  <si>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</si>
  <si>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</si>
  <si>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</si>
  <si>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</si>
  <si>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</si>
  <si>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</si>
  <si>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</si>
  <si>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</si>
  <si>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</si>
  <si>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</si>
  <si>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</si>
  <si>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</si>
  <si>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</si>
  <si>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</si>
  <si>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</si>
  <si>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</si>
  <si>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</si>
  <si>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</si>
  <si>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</si>
  <si>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</si>
  <si>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</si>
  <si>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</si>
  <si>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</si>
  <si>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</si>
  <si>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</si>
  <si>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</si>
  <si>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</si>
  <si>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</si>
  <si>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</si>
  <si>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</si>
  <si>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</si>
  <si>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</si>
  <si>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</si>
  <si>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</si>
  <si>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</si>
  <si>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</si>
  <si>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</si>
  <si>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</si>
  <si>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</si>
  <si>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</si>
  <si>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</si>
  <si>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</si>
  <si>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</si>
  <si>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</si>
  <si>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</si>
  <si>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</si>
  <si>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</si>
  <si>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</si>
  <si>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</si>
  <si>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</si>
  <si>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</si>
  <si>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</si>
  <si>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</si>
  <si>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</si>
  <si>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</si>
  <si>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</si>
  <si>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</si>
  <si>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</si>
  <si>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</si>
  <si>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</si>
  <si>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</si>
  <si>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</si>
  <si>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</si>
  <si>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</si>
  <si>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</si>
  <si>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</si>
  <si>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</si>
  <si>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</si>
  <si>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</si>
  <si>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</si>
  <si>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</si>
  <si>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</si>
  <si>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</si>
  <si>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</si>
  <si>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</si>
  <si>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</si>
  <si>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</si>
  <si>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</si>
  <si>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</si>
  <si>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</si>
  <si>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</si>
  <si>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</si>
  <si>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</si>
  <si>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</si>
  <si>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</si>
  <si>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</si>
  <si>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</si>
  <si>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</si>
  <si>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</si>
  <si>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</si>
  <si>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</si>
  <si>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</si>
  <si>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</si>
  <si>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</si>
  <si>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</si>
  <si>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</si>
  <si>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</si>
  <si>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</si>
  <si>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</si>
  <si>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</si>
  <si>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</si>
  <si>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</si>
  <si>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</si>
  <si>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</si>
  <si>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</si>
  <si>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</si>
  <si>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</si>
  <si>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</si>
  <si>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</si>
  <si>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</si>
  <si>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</si>
  <si>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</si>
  <si>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</si>
  <si>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</si>
  <si>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</si>
  <si>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</si>
  <si>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</si>
  <si>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</si>
  <si>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</si>
  <si>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</si>
  <si>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</si>
  <si>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</si>
  <si>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</si>
  <si>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</si>
  <si>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</si>
  <si>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</si>
  <si>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</si>
  <si>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</si>
  <si>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</si>
  <si>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</si>
  <si>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</si>
  <si>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</si>
  <si>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</si>
  <si>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</si>
  <si>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</si>
  <si>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</si>
  <si>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</si>
  <si>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</si>
  <si>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</si>
  <si>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</si>
  <si>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</si>
  <si>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</si>
  <si>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</si>
  <si>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</si>
  <si>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</si>
  <si>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</si>
  <si>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</si>
  <si>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</si>
  <si>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</si>
  <si>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</si>
  <si>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</si>
  <si>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</si>
  <si>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</si>
  <si>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</si>
  <si>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</si>
  <si>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</si>
  <si>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</si>
  <si>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</si>
  <si>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</si>
  <si>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</si>
  <si>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</si>
  <si>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</si>
  <si>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</si>
  <si>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</si>
  <si>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</si>
  <si>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</si>
  <si>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</si>
  <si>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</si>
  <si>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</si>
  <si>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</si>
  <si>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</si>
  <si>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</si>
  <si>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</si>
  <si>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</si>
  <si>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</si>
  <si>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</si>
  <si>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</si>
  <si>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</si>
  <si>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</si>
  <si>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</si>
  <si>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</si>
  <si>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</si>
  <si>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</si>
  <si>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</si>
  <si>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</si>
  <si>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</si>
  <si>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</si>
  <si>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</si>
  <si>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</si>
  <si>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</si>
  <si>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</si>
  <si>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</si>
  <si>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</si>
  <si>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</si>
  <si>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</si>
  <si>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</si>
  <si>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</si>
  <si>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</si>
  <si>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</si>
  <si>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</si>
  <si>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</si>
  <si>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</si>
  <si>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</si>
  <si>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</si>
  <si>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</si>
  <si>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</si>
  <si>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</si>
  <si>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</si>
  <si>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</si>
  <si>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</si>
  <si>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</si>
  <si>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</si>
  <si>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</si>
  <si>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</si>
  <si>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</si>
  <si>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</si>
  <si>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</si>
  <si>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</si>
  <si>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</si>
  <si>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</si>
  <si>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</si>
  <si>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</si>
  <si>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</si>
  <si>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</si>
  <si>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</si>
  <si>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</si>
  <si>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</si>
  <si>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</si>
  <si>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</si>
  <si>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</si>
  <si>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</si>
  <si>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</si>
  <si>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</si>
  <si>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</si>
  <si>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</si>
  <si>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</si>
  <si>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</si>
  <si>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</si>
  <si>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</si>
  <si>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</si>
  <si>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</si>
  <si>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</si>
  <si>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</si>
  <si>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</si>
  <si>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</si>
  <si>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</si>
  <si>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</si>
  <si>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</si>
  <si>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</si>
  <si>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</si>
  <si>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</si>
  <si>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</si>
  <si>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</si>
  <si>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</si>
  <si>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</si>
  <si>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</si>
  <si>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</si>
  <si>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</si>
  <si>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</si>
  <si>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</si>
  <si>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</si>
  <si>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</si>
  <si>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</si>
  <si>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</si>
  <si>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</si>
  <si>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</si>
  <si>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</si>
  <si>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</si>
  <si>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</si>
  <si>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</si>
  <si>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</si>
  <si>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</si>
  <si>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</si>
  <si>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</si>
  <si>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</si>
  <si>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</si>
  <si>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</si>
  <si>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</si>
  <si>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</si>
  <si>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</si>
  <si>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</si>
  <si>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</si>
  <si>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</si>
  <si>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</si>
  <si>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</si>
  <si>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</si>
  <si>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</si>
  <si>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</si>
  <si>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</si>
  <si>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</si>
  <si>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</si>
  <si>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</si>
  <si>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</si>
  <si>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</si>
  <si>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</si>
  <si>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</si>
  <si>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</si>
  <si>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</si>
  <si>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</si>
  <si>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</si>
  <si>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</si>
  <si>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</si>
  <si>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</si>
  <si>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</si>
  <si>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</si>
  <si>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</si>
  <si>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</si>
  <si>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</si>
  <si>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</si>
  <si>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</si>
  <si>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</si>
  <si>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</si>
  <si>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</si>
  <si>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</si>
  <si>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</si>
  <si>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</si>
  <si>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</si>
  <si>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</si>
  <si>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</si>
  <si>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</si>
  <si>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</si>
  <si>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</si>
  <si>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</si>
  <si>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</si>
  <si>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</si>
  <si>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</si>
  <si>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</si>
  <si>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</si>
  <si>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</si>
  <si>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</si>
  <si>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</si>
  <si>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</si>
  <si>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</si>
  <si>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</si>
  <si>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</si>
  <si>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</si>
  <si>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</si>
  <si>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</si>
  <si>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</si>
  <si>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</si>
  <si>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</si>
  <si>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</si>
  <si>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</si>
  <si>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</si>
  <si>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</si>
  <si>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</si>
  <si>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</si>
  <si>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</si>
  <si>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</si>
  <si>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</si>
  <si>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</si>
  <si>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</si>
  <si>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</si>
  <si>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</si>
  <si>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</si>
  <si>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</si>
  <si>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</si>
  <si>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</si>
  <si>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</si>
  <si>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</si>
  <si>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</si>
  <si>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</si>
  <si>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</si>
  <si>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</si>
  <si>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</si>
  <si>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</si>
  <si>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</si>
  <si>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</si>
  <si>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</si>
  <si>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</si>
  <si>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</si>
  <si>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</si>
  <si>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</si>
  <si>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</si>
  <si>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</si>
  <si>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</si>
  <si>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</si>
  <si>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</si>
  <si>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</si>
  <si>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</si>
  <si>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</si>
  <si>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</si>
  <si>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</si>
  <si>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</si>
  <si>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</si>
  <si>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</si>
  <si>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</si>
  <si>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</si>
  <si>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</si>
  <si>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</si>
  <si>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</si>
  <si>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</si>
  <si>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</si>
  <si>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</si>
  <si>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</si>
  <si>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</si>
  <si>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</si>
  <si>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</si>
  <si>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</si>
  <si>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</si>
  <si>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</si>
  <si>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</si>
  <si>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</si>
  <si>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</si>
  <si>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</si>
  <si>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</si>
  <si>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</si>
  <si>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</si>
  <si>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</si>
  <si>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</si>
  <si>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</si>
  <si>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</si>
  <si>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</si>
  <si>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</si>
  <si>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</si>
  <si>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</si>
  <si>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</si>
  <si>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</si>
  <si>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</si>
  <si>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</si>
  <si>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</si>
  <si>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</si>
  <si>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</si>
  <si>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</si>
  <si>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</si>
  <si>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</si>
  <si>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</si>
  <si>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</si>
  <si>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</si>
  <si>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</si>
  <si>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</si>
  <si>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</si>
  <si>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</si>
  <si>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</si>
  <si>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</si>
  <si>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</si>
  <si>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</si>
  <si>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</si>
  <si>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</si>
  <si>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</si>
  <si>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</si>
  <si>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</si>
  <si>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</si>
  <si>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</si>
  <si>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</si>
  <si>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</si>
  <si>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</si>
  <si>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</si>
  <si>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</si>
  <si>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</si>
  <si>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</si>
  <si>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</si>
  <si>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</si>
  <si>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</si>
  <si>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</si>
  <si>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</si>
  <si>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</si>
  <si>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</si>
  <si>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</si>
  <si>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</si>
  <si>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</si>
  <si>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</si>
  <si>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</si>
  <si>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</si>
  <si>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</si>
  <si>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</si>
  <si>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</si>
  <si>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</si>
  <si>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</si>
  <si>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</si>
  <si>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</si>
  <si>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</si>
  <si>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</si>
  <si>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</si>
  <si>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</si>
  <si>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</si>
  <si>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</si>
  <si>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</si>
  <si>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</si>
  <si>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</si>
  <si>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</si>
  <si>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</si>
  <si>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</si>
  <si>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</si>
  <si>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</si>
  <si>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</si>
  <si>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</si>
  <si>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</si>
  <si>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</si>
  <si>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</si>
  <si>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</si>
  <si>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</si>
  <si>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</si>
  <si>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</si>
  <si>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</si>
  <si>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</si>
  <si>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</si>
  <si>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</si>
  <si>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</si>
  <si>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</si>
  <si>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</si>
  <si>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</si>
  <si>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</si>
  <si>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</si>
  <si>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</si>
  <si>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</si>
  <si>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</si>
  <si>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</si>
  <si>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</si>
  <si>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</si>
  <si>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</si>
  <si>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</si>
  <si>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</si>
  <si>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</si>
  <si>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</si>
  <si>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</si>
  <si>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</si>
  <si>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</si>
  <si>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</si>
  <si>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</si>
  <si>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</si>
  <si>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</si>
  <si>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</si>
  <si>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</si>
  <si>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</si>
  <si>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</si>
  <si>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</si>
  <si>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</si>
  <si>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</si>
  <si>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</si>
  <si>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</si>
  <si>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</si>
  <si>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</si>
  <si>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</si>
  <si>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</si>
  <si>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</si>
  <si>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</si>
  <si>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</si>
  <si>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</si>
  <si>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</si>
  <si>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</si>
  <si>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</si>
  <si>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</si>
  <si>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</si>
  <si>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</si>
  <si>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</si>
  <si>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</si>
  <si>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</si>
  <si>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</si>
  <si>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</si>
  <si>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</si>
  <si>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</si>
  <si>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</si>
  <si>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</si>
  <si>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</si>
  <si>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</si>
  <si>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</si>
  <si>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</si>
  <si>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</si>
  <si>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</si>
  <si>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</si>
  <si>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</si>
  <si>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</si>
  <si>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</si>
  <si>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</si>
  <si>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</si>
  <si>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</si>
  <si>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</si>
  <si>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</si>
  <si>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</si>
  <si>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</si>
  <si>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</si>
  <si>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</si>
  <si>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</si>
  <si>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</si>
  <si>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</si>
  <si>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</si>
  <si>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</si>
  <si>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</si>
  <si>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</si>
  <si>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</si>
  <si>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</si>
  <si>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</si>
  <si>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</si>
  <si>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</si>
  <si>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</si>
  <si>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</si>
  <si>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</si>
  <si>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</si>
  <si>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</si>
  <si>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</si>
  <si>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</si>
  <si>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</si>
  <si>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</si>
  <si>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</si>
  <si>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</si>
  <si>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</si>
  <si>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</si>
  <si>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</si>
  <si>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</si>
  <si>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</si>
  <si>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</si>
  <si>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</si>
  <si>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</si>
  <si>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</si>
  <si>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</si>
  <si>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</si>
  <si>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</si>
  <si>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</si>
  <si>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</si>
  <si>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</si>
  <si>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</si>
  <si>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</si>
  <si>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</si>
  <si>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</si>
  <si>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</si>
  <si>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</si>
  <si>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</si>
  <si>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</si>
  <si>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</si>
  <si>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</si>
  <si>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</si>
  <si>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</si>
  <si>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</si>
  <si>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</si>
  <si>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</si>
  <si>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</si>
  <si>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</si>
  <si>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</si>
  <si>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</si>
  <si>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</si>
  <si>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</si>
  <si>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</si>
  <si>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</si>
  <si>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</si>
  <si>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</si>
  <si>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</si>
  <si>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</si>
  <si>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</si>
  <si>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</si>
  <si>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</si>
  <si>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</si>
  <si>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</si>
  <si>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</si>
  <si>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</si>
  <si>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</si>
  <si>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</si>
  <si>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</si>
  <si>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</si>
  <si>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</si>
  <si>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</si>
  <si>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</si>
  <si>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</si>
  <si>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</si>
  <si>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</si>
  <si>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</si>
  <si>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</si>
  <si>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</si>
  <si>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</si>
  <si>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</si>
  <si>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</si>
  <si>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</si>
  <si>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</si>
  <si>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</si>
  <si>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</si>
  <si>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</si>
  <si>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</si>
  <si>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</si>
  <si>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</si>
  <si>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</si>
  <si>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</si>
  <si>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</si>
  <si>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</si>
  <si>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</si>
  <si>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</si>
  <si>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</si>
  <si>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</si>
  <si>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</si>
  <si>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</si>
  <si>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</si>
  <si>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</si>
  <si>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</si>
  <si>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</si>
  <si>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</si>
  <si>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</si>
  <si>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</si>
  <si>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</si>
  <si>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</si>
  <si>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</si>
  <si>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</si>
  <si>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</si>
  <si>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</si>
  <si>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</si>
  <si>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</si>
  <si>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</si>
  <si>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</si>
  <si>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</si>
  <si>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</si>
  <si>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</si>
  <si>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</si>
  <si>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</si>
  <si>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</si>
  <si>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</si>
  <si>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</si>
  <si>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</si>
  <si>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</si>
  <si>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</si>
  <si>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</si>
  <si>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</si>
  <si>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</si>
  <si>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</si>
  <si>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</si>
  <si>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</si>
  <si>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</si>
  <si>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</si>
  <si>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</si>
  <si>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</si>
  <si>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</si>
  <si>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</si>
  <si>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</si>
  <si>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</si>
  <si>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</si>
  <si>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</si>
  <si>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</si>
  <si>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</si>
  <si>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</si>
  <si>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</si>
  <si>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</si>
  <si>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</si>
  <si>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</si>
  <si>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</si>
  <si>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</si>
  <si>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</si>
  <si>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</si>
  <si>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</si>
  <si>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</si>
  <si>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</si>
  <si>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</si>
  <si>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</si>
  <si>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</si>
  <si>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</si>
  <si>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</si>
  <si>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</si>
  <si>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</si>
  <si>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</si>
  <si>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</si>
  <si>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</si>
  <si>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</si>
  <si>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</si>
  <si>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</si>
  <si>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</si>
  <si>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</si>
  <si>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</si>
  <si>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</si>
  <si>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</si>
  <si>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</si>
  <si>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</si>
  <si>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</si>
  <si>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</si>
  <si>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</si>
  <si>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</si>
  <si>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</si>
  <si>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</si>
  <si>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</si>
  <si>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</si>
  <si>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</si>
  <si>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</si>
  <si>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</si>
  <si>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</si>
  <si>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</si>
  <si>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</si>
  <si>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</si>
  <si>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</si>
  <si>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</si>
  <si>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</si>
  <si>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</si>
  <si>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</si>
  <si>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</si>
  <si>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</si>
  <si>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</si>
  <si>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</si>
  <si>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</si>
  <si>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</si>
  <si>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</si>
  <si>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</si>
  <si>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</si>
  <si>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</si>
  <si>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</si>
  <si>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</si>
  <si>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</si>
  <si>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</si>
  <si>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</si>
  <si>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</si>
  <si>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</si>
  <si>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</si>
  <si>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</si>
  <si>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</si>
  <si>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</si>
  <si>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</si>
  <si>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</si>
  <si>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</si>
  <si>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</si>
  <si>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</si>
  <si>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</si>
  <si>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</si>
  <si>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</si>
  <si>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</si>
  <si>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</si>
  <si>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</si>
  <si>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</si>
  <si>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</si>
  <si>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</si>
  <si>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</si>
  <si>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</si>
  <si>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</si>
  <si>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</si>
  <si>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</si>
  <si>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</si>
  <si>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</si>
  <si>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</si>
  <si>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</si>
  <si>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</si>
  <si>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</si>
  <si>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</si>
  <si>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</si>
  <si>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</si>
  <si>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</si>
  <si>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</si>
  <si>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</si>
  <si>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</si>
  <si>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</si>
  <si>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</si>
  <si>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</si>
  <si>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</si>
  <si>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</si>
  <si>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</si>
  <si>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</si>
  <si>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</si>
  <si>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</si>
  <si>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</si>
  <si>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</si>
  <si>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</si>
  <si>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</si>
  <si>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</si>
  <si>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</si>
  <si>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</si>
  <si>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</si>
  <si>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</si>
  <si>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</si>
  <si>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</si>
  <si>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</si>
  <si>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</si>
  <si>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</si>
  <si>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</si>
  <si>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</si>
  <si>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</si>
  <si>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</si>
  <si>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</si>
  <si>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</si>
  <si>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</si>
  <si>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</si>
  <si>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</si>
  <si>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</si>
  <si>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</si>
  <si>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</si>
  <si>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</si>
  <si>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</si>
  <si>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</si>
  <si>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</si>
  <si>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</si>
  <si>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</si>
  <si>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</si>
  <si>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</si>
  <si>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</si>
  <si>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</si>
  <si>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</si>
  <si>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</si>
  <si>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</si>
  <si>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</si>
  <si>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</si>
  <si>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</si>
  <si>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</si>
  <si>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</si>
  <si>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</si>
  <si>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</si>
  <si>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</si>
  <si>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</si>
  <si>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</si>
  <si>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</si>
  <si>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</si>
  <si>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</si>
  <si>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</si>
  <si>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</si>
  <si>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</si>
  <si>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</si>
  <si>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</si>
  <si>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</si>
  <si>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</si>
  <si>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</si>
  <si>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</si>
  <si>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</si>
  <si>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</si>
  <si>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</si>
  <si>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</si>
  <si>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</si>
  <si>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</si>
  <si>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</si>
  <si>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</si>
  <si>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</si>
  <si>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</si>
  <si>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</si>
  <si>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</si>
  <si>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</si>
  <si>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</si>
  <si>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</si>
  <si>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</si>
  <si>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</si>
  <si>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</si>
  <si>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</si>
  <si>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</si>
  <si>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</si>
  <si>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</si>
  <si>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</si>
  <si>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</si>
  <si>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</si>
  <si>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</si>
  <si>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</si>
  <si>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</si>
  <si>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</si>
  <si>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</si>
  <si>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</si>
  <si>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</si>
  <si>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</si>
  <si>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</si>
  <si>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</si>
  <si>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</si>
  <si>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</si>
  <si>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</si>
  <si>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</si>
  <si>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</si>
  <si>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</si>
  <si>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</si>
  <si>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</si>
  <si>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</si>
  <si>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</si>
  <si>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</si>
  <si>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</si>
  <si>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</si>
  <si>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</si>
  <si>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</si>
  <si>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</si>
  <si>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</si>
  <si>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</si>
  <si>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</si>
  <si>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</si>
  <si>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</si>
  <si>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</si>
  <si>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</si>
  <si>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</si>
  <si>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</si>
  <si>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</si>
  <si>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</si>
  <si>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</si>
  <si>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</si>
  <si>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</si>
  <si>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</si>
  <si>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</si>
  <si>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</si>
  <si>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</si>
  <si>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</si>
  <si>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</si>
  <si>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</si>
  <si>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</si>
  <si>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</si>
  <si>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</si>
  <si>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</si>
  <si>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</si>
  <si>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</si>
  <si>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</si>
  <si>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</si>
  <si>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</si>
  <si>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</si>
  <si>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</si>
  <si>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</si>
  <si>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</si>
  <si>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</si>
  <si>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</si>
  <si>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</si>
  <si>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</si>
  <si>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</si>
  <si>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</si>
  <si>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</si>
  <si>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</si>
  <si>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</si>
  <si>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</si>
  <si>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</si>
  <si>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</si>
  <si>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</si>
  <si>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</si>
  <si>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</si>
  <si>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</si>
  <si>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</si>
  <si>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</si>
  <si>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</si>
  <si>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</si>
  <si>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</si>
  <si>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</si>
  <si>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</si>
  <si>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</si>
  <si>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</si>
  <si>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</si>
  <si>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</si>
  <si>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</si>
  <si>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</si>
  <si>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</si>
  <si>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</si>
  <si>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</si>
  <si>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</si>
  <si>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</si>
  <si>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</si>
  <si>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</si>
  <si>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</si>
  <si>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</si>
  <si>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</si>
  <si>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</si>
  <si>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</si>
  <si>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</si>
  <si>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</si>
  <si>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</si>
  <si>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</si>
  <si>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</si>
  <si>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</si>
  <si>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</si>
  <si>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</si>
  <si>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</si>
  <si>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</si>
  <si>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</si>
  <si>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</si>
  <si>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</si>
  <si>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</si>
  <si>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</si>
  <si>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</si>
  <si>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</si>
  <si>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</si>
  <si>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</si>
  <si>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</si>
  <si>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</si>
  <si>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</si>
  <si>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</si>
  <si>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</si>
  <si>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</si>
  <si>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</si>
  <si>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</si>
  <si>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</si>
  <si>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</si>
  <si>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</si>
  <si>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</si>
  <si>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</si>
  <si>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</si>
  <si>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</si>
  <si>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</si>
  <si>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</si>
  <si>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</si>
  <si>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</si>
  <si>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</si>
  <si>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</si>
  <si>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</si>
  <si>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</si>
  <si>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</si>
  <si>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</si>
  <si>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</si>
  <si>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</si>
  <si>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</si>
  <si>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</si>
  <si>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</si>
  <si>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</si>
  <si>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</si>
  <si>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</si>
  <si>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</si>
  <si>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</si>
  <si>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</si>
  <si>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</si>
  <si>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</si>
  <si>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</si>
  <si>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</si>
  <si>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</si>
  <si>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</si>
  <si>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</si>
  <si>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</si>
  <si>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</si>
  <si>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</si>
  <si>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</si>
  <si>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</si>
  <si>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</si>
  <si>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</si>
  <si>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</si>
  <si>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</si>
  <si>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</si>
  <si>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</si>
  <si>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</si>
  <si>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</si>
  <si>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</si>
  <si>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</si>
  <si>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</si>
  <si>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</si>
  <si>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</si>
  <si>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</si>
  <si>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</si>
  <si>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</si>
  <si>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</si>
  <si>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</si>
  <si>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</si>
  <si>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</si>
  <si>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</si>
  <si>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</si>
  <si>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</si>
  <si>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</si>
  <si>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</si>
  <si>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</si>
  <si>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</si>
  <si>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</si>
  <si>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</si>
  <si>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</si>
  <si>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</si>
  <si>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</si>
  <si>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</si>
  <si>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</si>
  <si>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</si>
  <si>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</si>
  <si>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</si>
  <si>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</si>
  <si>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</si>
  <si>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</si>
  <si>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</si>
  <si>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</si>
  <si>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</si>
  <si>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</si>
  <si>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</si>
  <si>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</si>
  <si>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</si>
  <si>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</si>
  <si>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</si>
  <si>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</si>
  <si>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</si>
  <si>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</si>
  <si>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</si>
  <si>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</si>
  <si>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</si>
  <si>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</si>
  <si>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</si>
  <si>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</si>
  <si>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</si>
  <si>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</si>
  <si>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</si>
  <si>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</si>
  <si>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</si>
  <si>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</si>
  <si>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</si>
  <si>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</si>
  <si>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</si>
  <si>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</si>
  <si>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</si>
  <si>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</si>
  <si>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</si>
  <si>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</si>
  <si>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</si>
  <si>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</si>
  <si>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</si>
  <si>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</si>
  <si>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</si>
  <si>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</si>
  <si>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</si>
  <si>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</si>
  <si>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</si>
  <si>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</si>
  <si>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</si>
  <si>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</si>
  <si>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</si>
  <si>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</si>
  <si>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</si>
  <si>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</si>
  <si>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</si>
  <si>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</si>
  <si>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</si>
  <si>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</si>
  <si>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</si>
  <si>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</si>
  <si>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</si>
  <si>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</si>
  <si>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</si>
  <si>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</si>
  <si>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</si>
  <si>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</si>
  <si>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</si>
  <si>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</si>
  <si>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</si>
  <si>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</si>
  <si>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</si>
  <si>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</si>
  <si>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</si>
  <si>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</si>
  <si>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</si>
  <si>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</si>
  <si>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</si>
  <si>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</si>
  <si>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</si>
  <si>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</si>
  <si>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</si>
  <si>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</si>
  <si>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</si>
  <si>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</si>
  <si>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</si>
  <si>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</si>
  <si>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</si>
  <si>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</si>
  <si>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</si>
  <si>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</si>
  <si>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</si>
  <si>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</si>
  <si>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</si>
  <si>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</si>
  <si>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</si>
  <si>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</si>
  <si>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</si>
  <si>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</si>
  <si>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</si>
  <si>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</si>
  <si>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</si>
  <si>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</si>
  <si>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</si>
  <si>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</si>
  <si>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</si>
  <si>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</si>
  <si>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</si>
  <si>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</si>
  <si>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</si>
  <si>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</si>
  <si>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</si>
  <si>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</si>
  <si>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</si>
  <si>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</si>
  <si>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</si>
  <si>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</si>
  <si>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</si>
  <si>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</si>
  <si>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</si>
  <si>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</si>
  <si>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</si>
  <si>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</si>
  <si>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</si>
  <si>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</si>
  <si>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</si>
  <si>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</si>
  <si>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</si>
  <si>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</si>
  <si>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</si>
  <si>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</si>
  <si>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</si>
  <si>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</si>
  <si>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</si>
  <si>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</si>
  <si>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</si>
  <si>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</si>
  <si>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</si>
  <si>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</si>
  <si>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</si>
  <si>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</si>
  <si>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</si>
  <si>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</si>
  <si>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</si>
  <si>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</si>
  <si>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</si>
  <si>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</si>
  <si>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</si>
  <si>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</si>
  <si>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</si>
  <si>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</si>
  <si>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</si>
  <si>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</si>
  <si>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</si>
  <si>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</si>
  <si>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</si>
  <si>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</si>
  <si>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</si>
  <si>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</si>
  <si>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</si>
  <si>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</si>
  <si>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</si>
  <si>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</si>
  <si>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</si>
  <si>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</si>
  <si>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</si>
  <si>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</si>
  <si>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</si>
  <si>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</si>
  <si>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</si>
  <si>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</si>
  <si>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</si>
  <si>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</si>
  <si>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</si>
  <si>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</si>
  <si>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</si>
  <si>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</si>
  <si>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</si>
  <si>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</si>
  <si>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</si>
  <si>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</si>
  <si>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</si>
  <si>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</si>
  <si>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</si>
  <si>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</si>
  <si>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</si>
  <si>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</si>
  <si>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</si>
  <si>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</si>
  <si>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</si>
  <si>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</si>
  <si>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</si>
  <si>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</si>
  <si>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</si>
  <si>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</si>
  <si>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</si>
  <si>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</si>
  <si>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</si>
  <si>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</si>
  <si>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</si>
  <si>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</si>
  <si>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</si>
  <si>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</si>
  <si>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</si>
  <si>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</si>
  <si>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</si>
  <si>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</si>
  <si>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</si>
  <si>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</si>
  <si>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</si>
  <si>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</si>
  <si>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</si>
  <si>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</si>
  <si>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</si>
  <si>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</si>
  <si>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</si>
  <si>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</si>
  <si>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</si>
  <si>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</si>
  <si>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</si>
  <si>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</si>
  <si>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</si>
  <si>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</si>
  <si>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</si>
  <si>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</si>
  <si>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</si>
  <si>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</si>
  <si>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</si>
  <si>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</si>
  <si>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</si>
  <si>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</si>
  <si>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</si>
  <si>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</si>
  <si>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</si>
  <si>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</si>
  <si>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</si>
  <si>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</si>
  <si>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</si>
  <si>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</si>
  <si>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</si>
  <si>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</si>
  <si>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</si>
  <si>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</si>
  <si>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</si>
  <si>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</si>
  <si>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</si>
  <si>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</si>
  <si>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</si>
  <si>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</si>
  <si>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</si>
  <si>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</si>
  <si>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</si>
  <si>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</si>
  <si>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</si>
  <si>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</si>
  <si>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</si>
  <si>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</si>
  <si>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</si>
  <si>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</si>
  <si>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</si>
  <si>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</si>
  <si>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</si>
  <si>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</si>
  <si>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</si>
  <si>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</si>
  <si>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</si>
  <si>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</si>
  <si>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</si>
  <si>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</si>
  <si>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</si>
  <si>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</si>
  <si>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</si>
  <si>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</si>
  <si>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</si>
  <si>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</si>
  <si>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</si>
  <si>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</si>
  <si>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</si>
  <si>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</si>
  <si>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</si>
  <si>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</si>
  <si>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</si>
  <si>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</si>
  <si>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</si>
  <si>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</si>
  <si>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</si>
  <si>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</si>
  <si>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</si>
  <si>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</si>
  <si>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</si>
  <si>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</si>
  <si>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</si>
  <si>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</si>
  <si>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</si>
  <si>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</si>
  <si>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</si>
  <si>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</si>
  <si>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</si>
  <si>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</si>
  <si>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</si>
  <si>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</si>
  <si>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</si>
  <si>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</si>
  <si>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</si>
  <si>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</si>
  <si>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</si>
  <si>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</si>
  <si>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</si>
  <si>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</si>
  <si>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</si>
  <si>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</si>
  <si>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</si>
  <si>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</si>
  <si>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</si>
  <si>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</si>
  <si>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</si>
  <si>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</si>
  <si>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</si>
  <si>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</si>
  <si>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</si>
  <si>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</si>
  <si>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</si>
  <si>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</si>
  <si>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</si>
  <si>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</si>
  <si>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</si>
  <si>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</si>
  <si>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</si>
  <si>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</si>
  <si>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</si>
  <si>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</si>
  <si>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</si>
  <si>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</si>
  <si>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</si>
  <si>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</si>
  <si>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</si>
  <si>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</si>
  <si>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</si>
  <si>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</si>
  <si>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</si>
  <si>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</si>
  <si>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</si>
  <si>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</si>
  <si>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</si>
  <si>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</si>
  <si>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</si>
  <si>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</si>
  <si>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</si>
  <si>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</si>
  <si>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</si>
  <si>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</si>
  <si>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</si>
  <si>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</si>
  <si>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</si>
  <si>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</si>
  <si>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</si>
  <si>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</si>
  <si>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</si>
  <si>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</si>
  <si>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</si>
  <si>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</si>
  <si>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</si>
  <si>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</si>
  <si>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</si>
  <si>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</si>
  <si>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</si>
  <si>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</si>
  <si>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</si>
  <si>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</si>
  <si>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</si>
  <si>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</si>
  <si>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</si>
  <si>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</si>
  <si>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</si>
  <si>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</si>
  <si>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</si>
  <si>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</si>
  <si>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</si>
  <si>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</si>
  <si>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</si>
  <si>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</si>
  <si>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</si>
  <si>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</si>
  <si>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</si>
  <si>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</si>
  <si>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</si>
  <si>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</si>
  <si>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</si>
  <si>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</si>
  <si>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</si>
  <si>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</si>
  <si>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</si>
  <si>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</si>
  <si>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</si>
  <si>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</si>
  <si>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</si>
  <si>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</si>
  <si>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</si>
  <si>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</si>
  <si>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</si>
  <si>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</si>
  <si>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</si>
  <si>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</si>
  <si>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</si>
  <si>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</si>
  <si>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</si>
  <si>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</si>
  <si>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</si>
  <si>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</si>
  <si>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</si>
  <si>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</si>
  <si>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</si>
  <si>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</si>
  <si>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</si>
  <si>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</si>
  <si>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</si>
  <si>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</si>
  <si>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</si>
  <si>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</si>
  <si>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</si>
  <si>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</si>
  <si>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</si>
  <si>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</si>
  <si>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</si>
  <si>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</si>
  <si>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</si>
  <si>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</si>
  <si>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</si>
  <si>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</si>
  <si>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</si>
  <si>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</si>
  <si>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</si>
  <si>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</si>
  <si>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</si>
  <si>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</si>
  <si>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</si>
  <si>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</si>
  <si>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</si>
  <si>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</si>
  <si>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</si>
  <si>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</si>
  <si>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</si>
  <si>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</si>
  <si>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</si>
  <si>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</si>
  <si>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</si>
  <si>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</si>
  <si>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</si>
  <si>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</si>
  <si>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</si>
  <si>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</si>
  <si>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</si>
  <si>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</si>
  <si>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</si>
  <si>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</si>
  <si>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</si>
  <si>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</si>
  <si>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</si>
  <si>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</si>
  <si>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</si>
  <si>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</si>
  <si>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</si>
  <si>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</si>
  <si>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</si>
  <si>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</si>
  <si>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</si>
  <si>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</si>
  <si>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</si>
  <si>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</si>
  <si>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</si>
  <si>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</si>
  <si>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</si>
  <si>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</si>
  <si>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</si>
  <si>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</si>
  <si>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</si>
  <si>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</si>
  <si>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</si>
  <si>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</si>
  <si>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</si>
  <si>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</si>
  <si>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</si>
  <si>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</si>
  <si>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</si>
  <si>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</si>
  <si>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</si>
  <si>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剩余土地使用年限（设定）</t>
  </si>
  <si>
    <t>七通一平</t>
  </si>
  <si>
    <t>地上</t>
  </si>
  <si>
    <t>市区</t>
  </si>
  <si>
    <t>砖混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</si>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</sst>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10</xdr:col>
      <xdr:colOff>361048</xdr:colOff>
      <xdr:row>89</xdr:row>
      <xdr:rowOff>56522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87000"/>
          <a:ext cx="7219048" cy="50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2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2"/>
      <c r="B19" s="1802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2"/>
      <c r="B24" s="1802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2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2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2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2"/>
      <c r="B36" s="1802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2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F26" sqref="F26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110.82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六级</v>
      </c>
      <c r="H2" s="715" t="s">
        <v>1351</v>
      </c>
      <c r="I2" s="1313" t="s">
        <v>1790</v>
      </c>
      <c r="J2" s="717"/>
      <c r="AE2" s="712"/>
      <c r="AF2" s="712"/>
    </row>
    <row r="3" spans="1:36" ht="15.75">
      <c r="A3" s="668" t="s">
        <v>913</v>
      </c>
      <c r="B3" s="1400">
        <f>C18</f>
        <v>2230</v>
      </c>
      <c r="C3" s="713" t="s">
        <v>914</v>
      </c>
      <c r="D3" s="714" t="s">
        <v>253</v>
      </c>
      <c r="E3" s="718"/>
      <c r="F3" s="1461" t="s">
        <v>1787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480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288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1440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(190+430)/2</f>
        <v>310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1.4903999999999999</v>
      </c>
      <c r="D9" s="1514" t="s">
        <v>262</v>
      </c>
      <c r="E9" s="1515">
        <v>37257</v>
      </c>
      <c r="F9" s="1516">
        <f>ROUND(SUMIF(地价!B3:F3,E2,地价!B81:F81),0)</f>
        <v>104</v>
      </c>
      <c r="G9" s="1517" t="s">
        <v>263</v>
      </c>
      <c r="H9" s="1518">
        <f>主表!B4</f>
        <v>38705</v>
      </c>
      <c r="I9" s="1519">
        <f>ROUND(SUMPRODUCT((地价!A31:A81=YEAR(H9)&amp;"-"&amp;ROUNDUP(MONTH(H9)/3,0))*(地价!B3:F3=E2)*(地价!B31:F81)),0)</f>
        <v>155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0.04</v>
      </c>
      <c r="F10" s="1523" t="s">
        <v>1788</v>
      </c>
      <c r="G10" s="1524">
        <f>IF(F10="剩余土地使用年限",主表!B15,主表!B16)</f>
        <v>70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1791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1.0389999999999999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1789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2230</v>
      </c>
      <c r="D18" s="630">
        <f>H1</f>
        <v>110.82</v>
      </c>
      <c r="E18" s="631">
        <f>ROUND(C18*D18,0)</f>
        <v>247129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4460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480</v>
      </c>
      <c r="D20" s="636">
        <f>H1</f>
        <v>110.82</v>
      </c>
      <c r="E20" s="637">
        <f>ROUND(C20*D20,0)</f>
        <v>53194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960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288</v>
      </c>
      <c r="D22" s="776"/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16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1.0389999999999999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1793</v>
      </c>
      <c r="D60" s="490">
        <f t="shared" ref="D60:D67" si="7">SUMIF($F$59:$J$59,C60,F60:J60)</f>
        <v>1.2999999999999999E-2</v>
      </c>
      <c r="E60" s="253">
        <f>SUM(D60:D67)</f>
        <v>3.9E-2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1793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3" t="s">
        <v>1424</v>
      </c>
      <c r="E2" s="1827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24"/>
      <c r="E3" s="1828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4"/>
      <c r="E4" s="1828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25"/>
      <c r="E5" s="1829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3" t="s">
        <v>1425</v>
      </c>
      <c r="E6" s="1827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六类</v>
      </c>
      <c r="C7" s="703"/>
      <c r="D7" s="1824"/>
      <c r="E7" s="1828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25"/>
      <c r="E8" s="1829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110.82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3" t="s">
        <v>1403</v>
      </c>
      <c r="E10" s="1827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26"/>
      <c r="E11" s="1830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0.99560000000000004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4.4999999999999998E-2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68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110.82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110.82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3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1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2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2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2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2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2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2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2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0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1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1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1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1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2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1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1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1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2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7" t="s">
        <v>91</v>
      </c>
      <c r="D4" s="1858"/>
      <c r="E4" s="1859" t="s">
        <v>92</v>
      </c>
      <c r="F4" s="1860"/>
      <c r="G4" s="1857" t="s">
        <v>93</v>
      </c>
      <c r="H4" s="1858"/>
      <c r="I4" s="1857" t="s">
        <v>94</v>
      </c>
      <c r="J4" s="1858"/>
      <c r="K4" s="142" t="s">
        <v>95</v>
      </c>
      <c r="L4" s="448"/>
      <c r="M4" s="449"/>
      <c r="N4" s="449"/>
      <c r="O4" s="449"/>
      <c r="P4" s="1861" t="s">
        <v>96</v>
      </c>
      <c r="Q4" s="1862"/>
      <c r="R4" s="1844" t="s">
        <v>92</v>
      </c>
      <c r="S4" s="1845"/>
      <c r="T4" s="1844" t="s">
        <v>93</v>
      </c>
      <c r="U4" s="1845"/>
      <c r="V4" s="1841" t="s">
        <v>94</v>
      </c>
      <c r="W4" s="1841"/>
      <c r="X4" s="201"/>
      <c r="Y4" s="1844" t="s">
        <v>96</v>
      </c>
      <c r="Z4" s="1845"/>
      <c r="AA4" s="1854" t="s">
        <v>92</v>
      </c>
      <c r="AB4" s="1855" t="s">
        <v>93</v>
      </c>
      <c r="AC4" s="1854" t="s">
        <v>94</v>
      </c>
    </row>
    <row r="5" spans="1:30" ht="15">
      <c r="A5" s="41"/>
      <c r="B5" s="42"/>
      <c r="C5" s="1869" t="s">
        <v>227</v>
      </c>
      <c r="D5" s="1870"/>
      <c r="E5" s="1867" t="s">
        <v>228</v>
      </c>
      <c r="F5" s="1868"/>
      <c r="G5" s="1869" t="s">
        <v>231</v>
      </c>
      <c r="H5" s="1870"/>
      <c r="I5" s="1869" t="s">
        <v>229</v>
      </c>
      <c r="J5" s="1870"/>
      <c r="K5" s="142"/>
      <c r="L5" s="448"/>
      <c r="M5" s="449"/>
      <c r="N5" s="449"/>
      <c r="O5" s="449"/>
      <c r="P5" s="1863"/>
      <c r="Q5" s="1864"/>
      <c r="R5" s="1846"/>
      <c r="S5" s="1847"/>
      <c r="T5" s="1846"/>
      <c r="U5" s="1847"/>
      <c r="V5" s="1841"/>
      <c r="W5" s="1841"/>
      <c r="X5" s="201"/>
      <c r="Y5" s="1846"/>
      <c r="Z5" s="1847"/>
      <c r="AA5" s="1855"/>
      <c r="AB5" s="1855"/>
      <c r="AC5" s="1855"/>
    </row>
    <row r="6" spans="1:30" ht="15.75" thickBot="1">
      <c r="A6" s="43"/>
      <c r="B6" s="44"/>
      <c r="C6" s="1871" t="s">
        <v>230</v>
      </c>
      <c r="D6" s="1872"/>
      <c r="E6" s="1873" t="s">
        <v>230</v>
      </c>
      <c r="F6" s="1874"/>
      <c r="G6" s="1871" t="s">
        <v>230</v>
      </c>
      <c r="H6" s="1872"/>
      <c r="I6" s="1871" t="s">
        <v>230</v>
      </c>
      <c r="J6" s="1872"/>
      <c r="K6" s="142" t="s">
        <v>97</v>
      </c>
      <c r="L6" s="448"/>
      <c r="M6" s="449"/>
      <c r="N6" s="449"/>
      <c r="O6" s="449"/>
      <c r="P6" s="1865"/>
      <c r="Q6" s="1866"/>
      <c r="R6" s="1846"/>
      <c r="S6" s="1847"/>
      <c r="T6" s="1848"/>
      <c r="U6" s="1849"/>
      <c r="V6" s="1841"/>
      <c r="W6" s="1841"/>
      <c r="X6" s="201"/>
      <c r="Y6" s="1848"/>
      <c r="Z6" s="1849"/>
      <c r="AA6" s="1856"/>
      <c r="AB6" s="1856"/>
      <c r="AC6" s="1856"/>
    </row>
    <row r="7" spans="1:30" s="22" customFormat="1" ht="15.75" thickBot="1">
      <c r="A7" s="45" t="s">
        <v>98</v>
      </c>
      <c r="B7" s="46"/>
      <c r="C7" s="1346">
        <f>主表!B4</f>
        <v>38705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2" t="s">
        <v>99</v>
      </c>
      <c r="Q7" s="185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2" t="s">
        <v>99</v>
      </c>
      <c r="Z7" s="184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2" t="s">
        <v>125</v>
      </c>
      <c r="Q8" s="184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2" t="s">
        <v>125</v>
      </c>
      <c r="Z8" s="184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六级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52"/>
      <c r="Q16" s="206"/>
      <c r="R16" s="207"/>
      <c r="S16" s="208"/>
      <c r="T16" s="207"/>
      <c r="U16" s="208"/>
      <c r="V16" s="207"/>
      <c r="W16" s="208"/>
      <c r="X16" s="201"/>
      <c r="Y16" s="1852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52"/>
      <c r="Q18" s="206"/>
      <c r="R18" s="207"/>
      <c r="S18" s="208"/>
      <c r="T18" s="207"/>
      <c r="U18" s="208"/>
      <c r="V18" s="207"/>
      <c r="W18" s="208"/>
      <c r="X18" s="201"/>
      <c r="Y18" s="1852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52"/>
      <c r="Q20" s="206"/>
      <c r="R20" s="207"/>
      <c r="S20" s="208"/>
      <c r="T20" s="207"/>
      <c r="U20" s="208"/>
      <c r="V20" s="207"/>
      <c r="W20" s="208"/>
      <c r="X20" s="201"/>
      <c r="Y20" s="1852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52"/>
      <c r="Q22" s="206"/>
      <c r="R22" s="207"/>
      <c r="S22" s="208"/>
      <c r="T22" s="207"/>
      <c r="U22" s="208"/>
      <c r="V22" s="207"/>
      <c r="W22" s="208"/>
      <c r="X22" s="201"/>
      <c r="Y22" s="185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52"/>
      <c r="Q24" s="235"/>
      <c r="R24" s="207"/>
      <c r="S24" s="208"/>
      <c r="T24" s="207"/>
      <c r="U24" s="208"/>
      <c r="V24" s="207"/>
      <c r="W24" s="208"/>
      <c r="X24" s="234"/>
      <c r="Y24" s="1852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52"/>
      <c r="Q26" s="206"/>
      <c r="R26" s="207"/>
      <c r="S26" s="208"/>
      <c r="T26" s="207"/>
      <c r="U26" s="208"/>
      <c r="V26" s="207"/>
      <c r="W26" s="208"/>
      <c r="X26" s="201"/>
      <c r="Y26" s="185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52"/>
      <c r="Q28" s="18"/>
      <c r="R28" s="202"/>
      <c r="S28" s="203"/>
      <c r="T28" s="202"/>
      <c r="U28" s="203"/>
      <c r="V28" s="202"/>
      <c r="W28" s="203"/>
      <c r="X28" s="204"/>
      <c r="Y28" s="1852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52"/>
      <c r="Q30" s="497"/>
      <c r="R30" s="202"/>
      <c r="S30" s="203"/>
      <c r="T30" s="202"/>
      <c r="U30" s="203"/>
      <c r="V30" s="202"/>
      <c r="W30" s="203"/>
      <c r="X30" s="204"/>
      <c r="Y30" s="185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52"/>
      <c r="Q33" s="206"/>
      <c r="R33" s="207"/>
      <c r="S33" s="208"/>
      <c r="T33" s="207"/>
      <c r="U33" s="208"/>
      <c r="V33" s="207"/>
      <c r="W33" s="208"/>
      <c r="X33" s="201"/>
      <c r="Y33" s="185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5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5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3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4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4" t="str">
        <f>A46</f>
        <v>成交单价</v>
      </c>
      <c r="Q46" s="1834"/>
      <c r="R46" s="1841">
        <f>E46</f>
        <v>0</v>
      </c>
      <c r="S46" s="1841"/>
      <c r="T46" s="1841">
        <f>G46</f>
        <v>0</v>
      </c>
      <c r="U46" s="1841"/>
      <c r="V46" s="1841">
        <f>I46</f>
        <v>0</v>
      </c>
      <c r="W46" s="184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4" t="str">
        <f>A47</f>
        <v>比较价值（元/平方米）</v>
      </c>
      <c r="Q47" s="1834"/>
      <c r="R47" s="1835" t="e">
        <f>ROUND(PRODUCT(R46,AA7:AA45),0)</f>
        <v>#DIV/0!</v>
      </c>
      <c r="S47" s="1835"/>
      <c r="T47" s="1835" t="e">
        <f>ROUND(PRODUCT(T46,AB7:AB45),0)</f>
        <v>#DIV/0!</v>
      </c>
      <c r="U47" s="1835"/>
      <c r="V47" s="1835" t="e">
        <f>ROUND(PRODUCT(V46,AC7:AC45),0)</f>
        <v>#DIV/0!</v>
      </c>
      <c r="W47" s="1835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6" t="str">
        <f>A48</f>
        <v>估价对象比较价值（单价内涵，元/平方米）</v>
      </c>
      <c r="Q48" s="1837"/>
      <c r="R48" s="1838" t="e">
        <f>ROUND(AVERAGE(R47:V47),0)</f>
        <v>#DIV/0!</v>
      </c>
      <c r="S48" s="1838"/>
      <c r="T48" s="1838"/>
      <c r="U48" s="1838"/>
      <c r="V48" s="1838"/>
      <c r="W48" s="1838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2005-12-1</v>
      </c>
      <c r="D56" s="1535">
        <f>EDATE(C56,-3)</f>
        <v>38596</v>
      </c>
      <c r="E56" s="1535">
        <f t="shared" ref="E56:O56" si="15">EDATE(D56,-3)</f>
        <v>38504</v>
      </c>
      <c r="F56" s="1535">
        <f t="shared" si="15"/>
        <v>38412</v>
      </c>
      <c r="G56" s="1535">
        <f t="shared" si="15"/>
        <v>38322</v>
      </c>
      <c r="H56" s="1535">
        <f t="shared" si="15"/>
        <v>38231</v>
      </c>
      <c r="I56" s="1535">
        <f t="shared" si="15"/>
        <v>38139</v>
      </c>
      <c r="J56" s="1535">
        <f t="shared" si="15"/>
        <v>38047</v>
      </c>
      <c r="K56" s="1535">
        <f t="shared" si="15"/>
        <v>37956</v>
      </c>
      <c r="L56" s="1535">
        <f t="shared" si="15"/>
        <v>37865</v>
      </c>
      <c r="M56" s="1535">
        <f t="shared" si="15"/>
        <v>37773</v>
      </c>
      <c r="N56" s="1535">
        <f t="shared" si="15"/>
        <v>37681</v>
      </c>
      <c r="O56" s="1535">
        <f t="shared" si="15"/>
        <v>37591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2005-4</v>
      </c>
      <c r="D58" s="1534" t="str">
        <f t="shared" ref="D58:O58" si="16">YEAR(D56)&amp;"-"&amp;ROUNDUP(MONTH(D56)/3,0)</f>
        <v>2005-3</v>
      </c>
      <c r="E58" s="1534" t="str">
        <f t="shared" si="16"/>
        <v>2005-2</v>
      </c>
      <c r="F58" s="1534" t="str">
        <f t="shared" si="16"/>
        <v>2005-1</v>
      </c>
      <c r="G58" s="1534" t="str">
        <f t="shared" si="16"/>
        <v>2004-4</v>
      </c>
      <c r="H58" s="1534" t="str">
        <f t="shared" si="16"/>
        <v>2004-3</v>
      </c>
      <c r="I58" s="1534" t="str">
        <f t="shared" si="16"/>
        <v>2004-2</v>
      </c>
      <c r="J58" s="1534" t="str">
        <f t="shared" si="16"/>
        <v>2004-1</v>
      </c>
      <c r="K58" s="1534" t="str">
        <f t="shared" si="16"/>
        <v>2003-4</v>
      </c>
      <c r="L58" s="1534" t="str">
        <f t="shared" si="16"/>
        <v>2003-3</v>
      </c>
      <c r="M58" s="1534" t="str">
        <f t="shared" si="16"/>
        <v>2003-2</v>
      </c>
      <c r="N58" s="1534" t="str">
        <f t="shared" si="16"/>
        <v>2003-1</v>
      </c>
      <c r="O58" s="1534" t="str">
        <f t="shared" si="16"/>
        <v>2002-4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38705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41</v>
      </c>
      <c r="K1" s="1140">
        <f ca="1">MATCH(E1,C4:C8,1)+IF(SUMIF(C4:C8,E1,D4:D8)=0,3,2)</f>
        <v>3</v>
      </c>
      <c r="L1" s="1140">
        <f>IF(C1&gt;M14,0,MATCH(C1,M$14:M$52,-1))+IF(SUMIF(M14:M52,C1,N14:N52)=0,14,13)</f>
        <v>39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38705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41</v>
      </c>
      <c r="K2" s="1140">
        <f ca="1">MATCH(E2,C4:C8,1)+IF(SUMIF(C4:C8,E2,D4:D8)=0,3,2)</f>
        <v>3</v>
      </c>
      <c r="L2" s="1140">
        <f>IF(C2&gt;M14,0,MATCH(C2,M$14:M$52,-1))+IF(SUMIF(M14:M52,C2,N14:N52)=0,14,13)</f>
        <v>39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5.7599999999999998E-2</v>
      </c>
      <c r="H3" s="1021" t="s">
        <v>1508</v>
      </c>
      <c r="I3" s="1022">
        <f ca="1">SUMIF(F4:F8,E3,H4:H8)/100</f>
        <v>3.2400000000000005E-2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5.22</v>
      </c>
      <c r="E4" s="1006">
        <f ca="1">INDIRECT("d"&amp;$J$2)</f>
        <v>5.22</v>
      </c>
      <c r="F4" s="1007">
        <v>0.5</v>
      </c>
      <c r="G4" s="1008">
        <f ca="1">INDIRECT("p"&amp;$L$1)</f>
        <v>2.0699999999999998</v>
      </c>
      <c r="H4" s="1008">
        <f ca="1">INDIRECT("p"&amp;$L$2)</f>
        <v>2.0699999999999998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5.58</v>
      </c>
      <c r="E5" s="978">
        <f ca="1">INDIRECT("e"&amp;$J$2)</f>
        <v>5.58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5.76</v>
      </c>
      <c r="E6" s="978">
        <f ca="1">INDIRECT("f"&amp;$J$2)</f>
        <v>5.76</v>
      </c>
      <c r="F6" s="977">
        <v>2</v>
      </c>
      <c r="G6" s="1009">
        <f ca="1">INDIRECT("r"&amp;$L$1)</f>
        <v>2.7</v>
      </c>
      <c r="H6" s="1009">
        <f ca="1">INDIRECT("r"&amp;$L$2)</f>
        <v>2.7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5.85</v>
      </c>
      <c r="E7" s="978">
        <f ca="1">INDIRECT("g"&amp;$J$2)</f>
        <v>5.85</v>
      </c>
      <c r="F7" s="977">
        <v>3</v>
      </c>
      <c r="G7" s="1009">
        <f ca="1">INDIRECT("s"&amp;$L$1)</f>
        <v>3.24</v>
      </c>
      <c r="H7" s="1009">
        <f ca="1">INDIRECT("s"&amp;$L$2)</f>
        <v>3.24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6.12</v>
      </c>
      <c r="E8" s="978">
        <f ca="1">INDIRECT("h"&amp;$J$2)</f>
        <v>6.12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3" t="s">
        <v>1637</v>
      </c>
      <c r="H2" s="1883"/>
      <c r="I2" s="1883"/>
      <c r="J2" s="1883"/>
      <c r="K2" s="1883"/>
      <c r="L2" s="1883"/>
      <c r="N2" s="1878" t="s">
        <v>1638</v>
      </c>
      <c r="O2" s="1878"/>
      <c r="P2" s="1878"/>
      <c r="Q2" s="1878"/>
      <c r="S2" s="1878" t="s">
        <v>1639</v>
      </c>
      <c r="T2" s="1878"/>
      <c r="U2" s="1878"/>
      <c r="V2" s="1878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ROUND(AVERAGE($I5:$I33),2)</f>
        <v>1.74</v>
      </c>
      <c r="J4" s="1599">
        <f>ROUND(AVERAGE($J5:$J33),2)</f>
        <v>1.1399999999999999</v>
      </c>
      <c r="K4" s="1599">
        <f>ROUND(AVERAGE($K5:$K33),2)</f>
        <v>1.92</v>
      </c>
      <c r="L4" s="1599">
        <f>ROUND(AVERAGE($L5:$L33),2)</f>
        <v>1.23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1785</v>
      </c>
      <c r="B6" s="1612">
        <f t="shared" ref="B6" si="0">B7*(1+N6)</f>
        <v>483.1434279321756</v>
      </c>
      <c r="C6" s="1612">
        <f t="shared" ref="C6" si="1">C7*(1+O6)</f>
        <v>345.93622669144776</v>
      </c>
      <c r="D6" s="1612">
        <f t="shared" ref="D6" si="2">C6</f>
        <v>345.93622669144776</v>
      </c>
      <c r="E6" s="1612">
        <f t="shared" ref="E6" si="3">E7*(1+P6)</f>
        <v>694.24498562544113</v>
      </c>
      <c r="F6" s="1612">
        <f t="shared" ref="F6" si="4">F7*(1+Q6)</f>
        <v>319.35475932716082</v>
      </c>
      <c r="G6" s="1613">
        <v>2020</v>
      </c>
      <c r="H6" s="1614">
        <v>4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1784</v>
      </c>
      <c r="B7" s="1624">
        <f t="shared" ref="B7" si="9">B8*(1+N7)</f>
        <v>483.1434279321756</v>
      </c>
      <c r="C7" s="1624">
        <f t="shared" ref="C7" si="10">C8*(1+O7)</f>
        <v>345.93622669144776</v>
      </c>
      <c r="D7" s="1624">
        <f t="shared" ref="D7" si="11">C7</f>
        <v>345.93622669144776</v>
      </c>
      <c r="E7" s="1624">
        <f t="shared" ref="E7" si="12">E8*(1+P7)</f>
        <v>694.24498562544113</v>
      </c>
      <c r="F7" s="1624">
        <f t="shared" ref="F7" si="13">F8*(1+Q7)</f>
        <v>319.35475932716082</v>
      </c>
      <c r="G7" s="1751">
        <v>2020</v>
      </c>
      <c r="H7" s="1626">
        <v>3</v>
      </c>
      <c r="I7" s="1586">
        <v>0.36</v>
      </c>
      <c r="J7" s="1586">
        <v>-0.39</v>
      </c>
      <c r="K7" s="1586">
        <v>0.49</v>
      </c>
      <c r="L7" s="1587">
        <v>7.0000000000000007E-2</v>
      </c>
      <c r="N7" s="1628">
        <f t="shared" ref="N7" si="14">I7/100</f>
        <v>3.5999999999999999E-3</v>
      </c>
      <c r="O7" s="1629">
        <f t="shared" ref="O7" si="15">J7/100</f>
        <v>-3.9000000000000003E-3</v>
      </c>
      <c r="P7" s="1629">
        <f t="shared" ref="P7" si="16">K7/100</f>
        <v>4.8999999999999998E-3</v>
      </c>
      <c r="Q7" s="1629">
        <f t="shared" ref="Q7" si="17">L7/100</f>
        <v>7.000000000000001E-4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>
      <c r="A8" s="1623" t="s">
        <v>1783</v>
      </c>
      <c r="B8" s="1624">
        <f t="shared" ref="B8" si="18">B9*(1+N8)</f>
        <v>481.4103506697644</v>
      </c>
      <c r="C8" s="1624">
        <f t="shared" ref="C8" si="19">C9*(1+O8)</f>
        <v>347.29066026648707</v>
      </c>
      <c r="D8" s="1624">
        <f t="shared" ref="D8" si="20">C8</f>
        <v>347.29066026648707</v>
      </c>
      <c r="E8" s="1624">
        <f t="shared" ref="E8" si="21">E9*(1+P8)</f>
        <v>690.85977273901995</v>
      </c>
      <c r="F8" s="1624">
        <f t="shared" ref="F8" si="22">F9*(1+Q8)</f>
        <v>319.13136737000184</v>
      </c>
      <c r="G8" s="1625">
        <v>2020</v>
      </c>
      <c r="H8" s="1626">
        <v>2</v>
      </c>
      <c r="I8" s="1586">
        <v>0.31</v>
      </c>
      <c r="J8" s="1586">
        <v>-0.78</v>
      </c>
      <c r="K8" s="1586">
        <v>0.5</v>
      </c>
      <c r="L8" s="1587">
        <v>0.47</v>
      </c>
      <c r="N8" s="1628">
        <f t="shared" ref="N8" si="23">I8/100</f>
        <v>3.0999999999999999E-3</v>
      </c>
      <c r="O8" s="1629">
        <f t="shared" ref="O8" si="24">J8/100</f>
        <v>-7.8000000000000005E-3</v>
      </c>
      <c r="P8" s="1629">
        <f t="shared" ref="P8" si="25">K8/100</f>
        <v>5.0000000000000001E-3</v>
      </c>
      <c r="Q8" s="1629">
        <f t="shared" ref="Q8" si="26">L8/100</f>
        <v>4.6999999999999993E-3</v>
      </c>
      <c r="R8" s="1630"/>
      <c r="S8" s="1631"/>
      <c r="T8" s="1632"/>
      <c r="U8" s="1632"/>
      <c r="V8" s="1632"/>
      <c r="AC8" s="1633"/>
      <c r="AD8" s="1633"/>
      <c r="AE8" s="1633"/>
      <c r="AF8" s="1633"/>
    </row>
    <row r="9" spans="1:32" ht="13.5" thickBot="1">
      <c r="A9" s="1623" t="s">
        <v>1782</v>
      </c>
      <c r="B9" s="1624">
        <f t="shared" ref="B9" si="27">B10*(1+N9)</f>
        <v>479.92259063878413</v>
      </c>
      <c r="C9" s="1624">
        <f t="shared" ref="C9" si="28">C10*(1+O9)</f>
        <v>350.02082268341775</v>
      </c>
      <c r="D9" s="1624">
        <f t="shared" ref="D9" si="29">C9</f>
        <v>350.02082268341775</v>
      </c>
      <c r="E9" s="1624">
        <f t="shared" ref="E9" si="30">E10*(1+P9)</f>
        <v>687.42265944181099</v>
      </c>
      <c r="F9" s="1624">
        <f t="shared" ref="F9" si="31">F10*(1+Q9)</f>
        <v>317.63846657708956</v>
      </c>
      <c r="G9" s="1625">
        <v>2020</v>
      </c>
      <c r="H9" s="1626">
        <v>1</v>
      </c>
      <c r="I9" s="1586">
        <v>0.12</v>
      </c>
      <c r="J9" s="1586">
        <v>-0.4</v>
      </c>
      <c r="K9" s="1586">
        <v>0.21</v>
      </c>
      <c r="L9" s="1587">
        <v>0.27</v>
      </c>
      <c r="N9" s="1628">
        <f t="shared" ref="N9" si="32">I9/100</f>
        <v>1.1999999999999999E-3</v>
      </c>
      <c r="O9" s="1629">
        <f t="shared" ref="O9" si="33">J9/100</f>
        <v>-4.0000000000000001E-3</v>
      </c>
      <c r="P9" s="1629">
        <f t="shared" ref="P9" si="34">K9/100</f>
        <v>2.0999999999999999E-3</v>
      </c>
      <c r="Q9" s="1629">
        <f t="shared" ref="Q9" si="35">L9/100</f>
        <v>2.7000000000000001E-3</v>
      </c>
      <c r="R9" s="1630"/>
      <c r="S9" s="1631">
        <f>B9/B10-1</f>
        <v>1.2000000000000899E-3</v>
      </c>
      <c r="T9" s="1632">
        <f>C9/C10-1</f>
        <v>-4.0000000000000036E-3</v>
      </c>
      <c r="U9" s="1632">
        <f>E9/E10-1</f>
        <v>2.0999999999999908E-3</v>
      </c>
      <c r="V9" s="1632">
        <f>F9/F10-1</f>
        <v>2.6999999999999247E-3</v>
      </c>
      <c r="AC9" s="1633"/>
      <c r="AD9" s="1633"/>
      <c r="AE9" s="1633"/>
      <c r="AF9" s="1633"/>
    </row>
    <row r="10" spans="1:32" ht="13.5" thickBot="1">
      <c r="A10" s="1623" t="s">
        <v>1761</v>
      </c>
      <c r="B10" s="1624">
        <f t="shared" ref="B10" si="36">B11*(1+N10)</f>
        <v>479.34737379023579</v>
      </c>
      <c r="C10" s="1624">
        <f t="shared" ref="C10" si="37">C11*(1+O10)</f>
        <v>351.4265287986122</v>
      </c>
      <c r="D10" s="1624">
        <f t="shared" ref="D10" si="38">C10</f>
        <v>351.4265287986122</v>
      </c>
      <c r="E10" s="1624">
        <f t="shared" ref="E10" si="39">E11*(1+P10)</f>
        <v>685.98209703803116</v>
      </c>
      <c r="F10" s="1624">
        <f t="shared" ref="F10" si="40">F11*(1+Q10)</f>
        <v>316.78315206651001</v>
      </c>
      <c r="G10" s="1625">
        <v>2019</v>
      </c>
      <c r="H10" s="1626">
        <v>4</v>
      </c>
      <c r="I10" s="1586">
        <v>0.45</v>
      </c>
      <c r="J10" s="1586">
        <v>-0.12</v>
      </c>
      <c r="K10" s="1586">
        <v>0.54</v>
      </c>
      <c r="L10" s="1634">
        <v>0.48</v>
      </c>
      <c r="N10" s="1628">
        <f t="shared" ref="N10" si="41">I10/100</f>
        <v>4.5000000000000005E-3</v>
      </c>
      <c r="O10" s="1629">
        <f t="shared" ref="O10" si="42">J10/100</f>
        <v>-1.1999999999999999E-3</v>
      </c>
      <c r="P10" s="1629">
        <f t="shared" ref="P10" si="43">K10/100</f>
        <v>5.4000000000000003E-3</v>
      </c>
      <c r="Q10" s="1629">
        <f t="shared" ref="Q10" si="44">L10/100</f>
        <v>4.7999999999999996E-3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 ht="13.5" thickBot="1">
      <c r="A11" s="1623" t="s">
        <v>1760</v>
      </c>
      <c r="B11" s="1624">
        <f t="shared" ref="B11" si="45">B12*(1+N11)</f>
        <v>477.19997390765138</v>
      </c>
      <c r="C11" s="1624">
        <f t="shared" ref="C11" si="46">C12*(1+O11)</f>
        <v>351.84874729536665</v>
      </c>
      <c r="D11" s="1624">
        <f t="shared" ref="D11" si="47">C11</f>
        <v>351.84874729536665</v>
      </c>
      <c r="E11" s="1624">
        <f t="shared" ref="E11" si="48">E12*(1+P11)</f>
        <v>682.29768951465201</v>
      </c>
      <c r="F11" s="1624">
        <f t="shared" ref="F11" si="49">F12*(1+Q11)</f>
        <v>315.26985675409043</v>
      </c>
      <c r="G11" s="1625">
        <v>2019</v>
      </c>
      <c r="H11" s="1626">
        <v>3</v>
      </c>
      <c r="I11" s="1586">
        <v>0.61</v>
      </c>
      <c r="J11" s="1586">
        <v>0.67</v>
      </c>
      <c r="K11" s="1586">
        <v>0.6</v>
      </c>
      <c r="L11" s="1634">
        <v>1.03</v>
      </c>
      <c r="N11" s="1628">
        <f t="shared" ref="N11" si="50">I11/100</f>
        <v>6.0999999999999995E-3</v>
      </c>
      <c r="O11" s="1629">
        <f t="shared" ref="O11" si="51">J11/100</f>
        <v>6.7000000000000002E-3</v>
      </c>
      <c r="P11" s="1629">
        <f t="shared" ref="P11" si="52">K11/100</f>
        <v>6.0000000000000001E-3</v>
      </c>
      <c r="Q11" s="1629">
        <f t="shared" ref="Q11" si="53">L11/100</f>
        <v>1.03E-2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>
      <c r="A12" s="1623" t="s">
        <v>1758</v>
      </c>
      <c r="B12" s="1624">
        <f t="shared" ref="B12" si="54">B13*(1+N12)</f>
        <v>474.30670301923408</v>
      </c>
      <c r="C12" s="1624">
        <f t="shared" ref="C12" si="55">C13*(1+O12)</f>
        <v>349.50705005996491</v>
      </c>
      <c r="D12" s="1624">
        <f t="shared" ref="D12" si="56">C12</f>
        <v>349.50705005996491</v>
      </c>
      <c r="E12" s="1624">
        <f t="shared" ref="E12" si="57">E13*(1+P12)</f>
        <v>678.22831959706957</v>
      </c>
      <c r="F12" s="1624">
        <f t="shared" ref="F12" si="58">F13*(1+Q12)</f>
        <v>312.0556832169558</v>
      </c>
      <c r="G12" s="1625">
        <v>2019</v>
      </c>
      <c r="H12" s="1635">
        <v>2</v>
      </c>
      <c r="I12" s="1635">
        <v>1.53</v>
      </c>
      <c r="J12" s="1635">
        <v>1.01</v>
      </c>
      <c r="K12" s="1635">
        <v>1.62</v>
      </c>
      <c r="L12" s="1634">
        <v>1.25</v>
      </c>
      <c r="N12" s="1628">
        <f t="shared" ref="N12" si="59">I12/100</f>
        <v>1.5300000000000001E-2</v>
      </c>
      <c r="O12" s="1629">
        <f t="shared" ref="O12" si="60">J12/100</f>
        <v>1.01E-2</v>
      </c>
      <c r="P12" s="1629">
        <f t="shared" ref="P12" si="61">K12/100</f>
        <v>1.6200000000000003E-2</v>
      </c>
      <c r="Q12" s="1629">
        <f t="shared" ref="Q12" si="62">L12/100</f>
        <v>1.2500000000000001E-2</v>
      </c>
      <c r="R12" s="1630"/>
      <c r="S12" s="1631"/>
      <c r="T12" s="1632"/>
      <c r="U12" s="1632"/>
      <c r="V12" s="1632"/>
      <c r="AC12" s="1633"/>
      <c r="AD12" s="1633"/>
      <c r="AE12" s="1633"/>
      <c r="AF12" s="1633"/>
    </row>
    <row r="13" spans="1:32" ht="13.5" thickBot="1">
      <c r="A13" s="1623" t="s">
        <v>1759</v>
      </c>
      <c r="B13" s="1624">
        <f t="shared" ref="B13" si="63">B14*(1+N13)</f>
        <v>467.15916775261894</v>
      </c>
      <c r="C13" s="1624">
        <f t="shared" ref="C13" si="64">C14*(1+O13)</f>
        <v>346.01232557169084</v>
      </c>
      <c r="D13" s="1624">
        <f t="shared" ref="D13" si="65">C13</f>
        <v>346.01232557169084</v>
      </c>
      <c r="E13" s="1624">
        <f t="shared" ref="E13" si="66">E14*(1+P13)</f>
        <v>667.41617752122568</v>
      </c>
      <c r="F13" s="1624">
        <f t="shared" ref="F13" si="67">F14*(1+Q13)</f>
        <v>308.20314391798104</v>
      </c>
      <c r="G13" s="1625">
        <v>2019</v>
      </c>
      <c r="H13" s="1626">
        <v>1</v>
      </c>
      <c r="I13" s="1586">
        <v>0.6</v>
      </c>
      <c r="J13" s="1586">
        <v>0.37</v>
      </c>
      <c r="K13" s="1586">
        <v>0.63</v>
      </c>
      <c r="L13" s="1587">
        <v>1.1299999999999999</v>
      </c>
      <c r="N13" s="1628">
        <f t="shared" ref="N13" si="68">I13/100</f>
        <v>6.0000000000000001E-3</v>
      </c>
      <c r="O13" s="1629">
        <f t="shared" ref="O13" si="69">J13/100</f>
        <v>3.7000000000000002E-3</v>
      </c>
      <c r="P13" s="1629">
        <f t="shared" ref="P13" si="70">K13/100</f>
        <v>6.3E-3</v>
      </c>
      <c r="Q13" s="1629">
        <f t="shared" ref="Q13" si="71">L13/100</f>
        <v>1.1299999999999999E-2</v>
      </c>
      <c r="R13" s="1630"/>
      <c r="S13" s="1631">
        <f>B13/B14-1</f>
        <v>6.0000000000000053E-3</v>
      </c>
      <c r="T13" s="1632">
        <f>C13/C14-1</f>
        <v>3.7000000000000366E-3</v>
      </c>
      <c r="U13" s="1632">
        <f>E13/E14-1</f>
        <v>6.2999999999999723E-3</v>
      </c>
      <c r="V13" s="1632">
        <f>F13/F14-1</f>
        <v>1.1300000000000088E-2</v>
      </c>
      <c r="AC13" s="1633"/>
      <c r="AD13" s="1633"/>
      <c r="AE13" s="1633"/>
      <c r="AF13" s="1633"/>
    </row>
    <row r="14" spans="1:32">
      <c r="A14" s="1623" t="s">
        <v>1753</v>
      </c>
      <c r="B14" s="1636">
        <f t="shared" ref="B14" si="72">B15*(1+N14)</f>
        <v>464.37293017158942</v>
      </c>
      <c r="C14" s="1636">
        <f t="shared" ref="C14" si="73">C15*(1+O14)</f>
        <v>344.73679941385956</v>
      </c>
      <c r="D14" s="1636">
        <f t="shared" ref="D14" si="74">C14</f>
        <v>344.73679941385956</v>
      </c>
      <c r="E14" s="1636">
        <f t="shared" ref="E14" si="75">E15*(1+P14)</f>
        <v>663.2377795103107</v>
      </c>
      <c r="F14" s="1637">
        <f t="shared" ref="F14" si="76">F15*(1+Q14)</f>
        <v>304.75936311478398</v>
      </c>
      <c r="G14" s="1876">
        <v>2018</v>
      </c>
      <c r="H14" s="1635">
        <v>4</v>
      </c>
      <c r="I14" s="1635">
        <v>0.96</v>
      </c>
      <c r="J14" s="1635">
        <v>1.03</v>
      </c>
      <c r="K14" s="1635">
        <v>0.92</v>
      </c>
      <c r="L14" s="1634">
        <v>1.29</v>
      </c>
      <c r="N14" s="1628">
        <f t="shared" ref="N14" si="77">I14/100</f>
        <v>9.5999999999999992E-3</v>
      </c>
      <c r="O14" s="1629">
        <f t="shared" ref="O14" si="78">J14/100</f>
        <v>1.03E-2</v>
      </c>
      <c r="P14" s="1629">
        <f t="shared" ref="P14" si="79">K14/100</f>
        <v>9.1999999999999998E-3</v>
      </c>
      <c r="Q14" s="1629">
        <f t="shared" ref="Q14" si="80">L14/100</f>
        <v>1.29E-2</v>
      </c>
      <c r="R14" s="1630"/>
      <c r="S14" s="1638"/>
      <c r="T14" s="1633"/>
      <c r="U14" s="1633"/>
      <c r="V14" s="1633"/>
      <c r="AC14" s="1633"/>
      <c r="AD14" s="1633"/>
      <c r="AE14" s="1633"/>
      <c r="AF14" s="1633"/>
    </row>
    <row r="15" spans="1:32" s="1589" customFormat="1" ht="14.45" customHeight="1">
      <c r="A15" s="1623" t="s">
        <v>1748</v>
      </c>
      <c r="B15" s="1624">
        <f t="shared" ref="B15" si="81">B16*(1+N15)</f>
        <v>459.95733971036987</v>
      </c>
      <c r="C15" s="1624">
        <f t="shared" ref="C15" si="82">C16*(1+O15)</f>
        <v>341.22221064422405</v>
      </c>
      <c r="D15" s="1624">
        <f t="shared" ref="D15" si="83">C15</f>
        <v>341.22221064422405</v>
      </c>
      <c r="E15" s="1624">
        <f t="shared" ref="E15" si="84">E16*(1+P15)</f>
        <v>657.19161663724799</v>
      </c>
      <c r="F15" s="1624">
        <f t="shared" ref="F15" si="85">F16*(1+Q15)</f>
        <v>300.87803644464805</v>
      </c>
      <c r="G15" s="1876"/>
      <c r="H15" s="1626">
        <v>3</v>
      </c>
      <c r="I15" s="1586">
        <v>1.51</v>
      </c>
      <c r="J15" s="1586">
        <v>1.41</v>
      </c>
      <c r="K15" s="1586">
        <v>1.52</v>
      </c>
      <c r="L15" s="1587">
        <v>1.74</v>
      </c>
      <c r="N15" s="1628">
        <f t="shared" ref="N15" si="86">I15/100</f>
        <v>1.5100000000000001E-2</v>
      </c>
      <c r="O15" s="1629">
        <f t="shared" ref="O15" si="87">J15/100</f>
        <v>1.41E-2</v>
      </c>
      <c r="P15" s="1629">
        <f t="shared" ref="P15" si="88">K15/100</f>
        <v>1.52E-2</v>
      </c>
      <c r="Q15" s="1629">
        <f t="shared" ref="Q15" si="89">L15/100</f>
        <v>1.7399999999999999E-2</v>
      </c>
      <c r="S15" s="1631"/>
      <c r="T15" s="1632"/>
      <c r="U15" s="1632"/>
      <c r="V15" s="1632"/>
    </row>
    <row r="16" spans="1:32" s="1589" customFormat="1" ht="14.45" customHeight="1">
      <c r="A16" s="1623" t="s">
        <v>1747</v>
      </c>
      <c r="B16" s="1624">
        <f t="shared" ref="B16:B21" si="90">B17*(1+N16)</f>
        <v>453.11529869999993</v>
      </c>
      <c r="C16" s="1624">
        <f t="shared" ref="C16" si="91">C17*(1+O16)</f>
        <v>336.47787264000004</v>
      </c>
      <c r="D16" s="1624">
        <f t="shared" ref="D16" si="92">C16</f>
        <v>336.47787264000004</v>
      </c>
      <c r="E16" s="1624">
        <f t="shared" ref="E16" si="93">E17*(1+P16)</f>
        <v>647.35186823999993</v>
      </c>
      <c r="F16" s="1624">
        <f t="shared" ref="F16" si="94">F17*(1+Q16)</f>
        <v>295.73229452000004</v>
      </c>
      <c r="G16" s="1876"/>
      <c r="H16" s="1639">
        <v>2</v>
      </c>
      <c r="I16" s="1640">
        <v>1.49</v>
      </c>
      <c r="J16" s="1640">
        <v>0.96</v>
      </c>
      <c r="K16" s="1640">
        <v>1.58</v>
      </c>
      <c r="L16" s="1641">
        <v>2.44</v>
      </c>
      <c r="N16" s="1628">
        <f t="shared" ref="N16" si="95">I16/100</f>
        <v>1.49E-2</v>
      </c>
      <c r="O16" s="1629">
        <f t="shared" ref="O16" si="96">J16/100</f>
        <v>9.5999999999999992E-3</v>
      </c>
      <c r="P16" s="1629">
        <f t="shared" ref="P16" si="97">K16/100</f>
        <v>1.5800000000000002E-2</v>
      </c>
      <c r="Q16" s="1629">
        <f t="shared" ref="Q16" si="98">L16/100</f>
        <v>2.4399999999999998E-2</v>
      </c>
      <c r="S16" s="1631"/>
      <c r="T16" s="1632"/>
      <c r="U16" s="1632"/>
      <c r="V16" s="1632"/>
    </row>
    <row r="17" spans="1:32" s="1589" customFormat="1" ht="15" customHeight="1" thickBot="1">
      <c r="A17" s="1623" t="s">
        <v>1746</v>
      </c>
      <c r="B17" s="1624">
        <f t="shared" si="90"/>
        <v>446.46299999999997</v>
      </c>
      <c r="C17" s="1624">
        <f t="shared" ref="C17" si="99">C18*(1+O17)</f>
        <v>333.27840000000003</v>
      </c>
      <c r="D17" s="1624">
        <f t="shared" ref="D17:D22" si="100">C17</f>
        <v>333.27840000000003</v>
      </c>
      <c r="E17" s="1624">
        <f t="shared" ref="E17" si="101">E18*(1+P17)</f>
        <v>637.28279999999995</v>
      </c>
      <c r="F17" s="1624">
        <f t="shared" ref="F17" si="102">F18*(1+Q17)</f>
        <v>288.68830000000003</v>
      </c>
      <c r="G17" s="1884"/>
      <c r="H17" s="1626">
        <v>1</v>
      </c>
      <c r="I17" s="1586">
        <v>1.7</v>
      </c>
      <c r="J17" s="1586">
        <v>1.92</v>
      </c>
      <c r="K17" s="1586">
        <v>1.64</v>
      </c>
      <c r="L17" s="1587">
        <v>2.0099999999999998</v>
      </c>
      <c r="N17" s="1628">
        <f t="shared" ref="N17" si="103">I17/100</f>
        <v>1.7000000000000001E-2</v>
      </c>
      <c r="O17" s="1629">
        <f t="shared" ref="O17" si="104">J17/100</f>
        <v>1.9199999999999998E-2</v>
      </c>
      <c r="P17" s="1629">
        <f t="shared" ref="P17" si="105">K17/100</f>
        <v>1.6399999999999998E-2</v>
      </c>
      <c r="Q17" s="1629">
        <f t="shared" ref="Q17" si="106">L17/100</f>
        <v>2.0099999999999996E-2</v>
      </c>
      <c r="S17" s="1631">
        <f>B17/B18-1</f>
        <v>1.6999999999999904E-2</v>
      </c>
      <c r="T17" s="1632">
        <f>C17/C18-1</f>
        <v>1.9200000000000106E-2</v>
      </c>
      <c r="U17" s="1632">
        <f>E17/E18-1</f>
        <v>1.639999999999997E-2</v>
      </c>
      <c r="V17" s="1632">
        <f>F17/F18-1</f>
        <v>2.0100000000000007E-2</v>
      </c>
    </row>
    <row r="18" spans="1:32">
      <c r="A18" s="1623" t="s">
        <v>1743</v>
      </c>
      <c r="B18" s="1636">
        <v>439</v>
      </c>
      <c r="C18" s="1636">
        <v>327</v>
      </c>
      <c r="D18" s="1636">
        <f t="shared" si="100"/>
        <v>327</v>
      </c>
      <c r="E18" s="1636">
        <v>627</v>
      </c>
      <c r="F18" s="1637">
        <v>283</v>
      </c>
      <c r="G18" s="1879">
        <v>2017</v>
      </c>
      <c r="H18" s="1635">
        <v>4</v>
      </c>
      <c r="I18" s="1635">
        <v>1.71</v>
      </c>
      <c r="J18" s="1635">
        <v>1.78</v>
      </c>
      <c r="K18" s="1635">
        <v>1.71</v>
      </c>
      <c r="L18" s="1634">
        <v>1.43</v>
      </c>
      <c r="N18" s="1628">
        <f t="shared" ref="N18" si="107">I18/100</f>
        <v>1.7100000000000001E-2</v>
      </c>
      <c r="O18" s="1629">
        <f t="shared" ref="O18" si="108">J18/100</f>
        <v>1.78E-2</v>
      </c>
      <c r="P18" s="1629">
        <f t="shared" ref="P18" si="109">K18/100</f>
        <v>1.7100000000000001E-2</v>
      </c>
      <c r="Q18" s="1629">
        <f t="shared" ref="Q18" si="110">L18/100</f>
        <v>1.43E-2</v>
      </c>
      <c r="R18" s="1630"/>
      <c r="S18" s="1638"/>
      <c r="T18" s="1633"/>
      <c r="U18" s="1633"/>
      <c r="V18" s="1633"/>
      <c r="AC18" s="1633"/>
      <c r="AD18" s="1633"/>
      <c r="AE18" s="1633"/>
      <c r="AF18" s="1633"/>
    </row>
    <row r="19" spans="1:32" s="1589" customFormat="1" ht="14.45" customHeight="1">
      <c r="A19" s="1623" t="s">
        <v>1740</v>
      </c>
      <c r="B19" s="1624">
        <f t="shared" si="90"/>
        <v>431.80730811680002</v>
      </c>
      <c r="C19" s="1624">
        <f t="shared" ref="C19:C20" si="111">C20*(1+O19)</f>
        <v>320.57880516480003</v>
      </c>
      <c r="D19" s="1624">
        <f t="shared" si="100"/>
        <v>320.57880516480003</v>
      </c>
      <c r="E19" s="1624">
        <f t="shared" ref="E19:F21" si="112">E20*(1+P19)</f>
        <v>615.96110553196797</v>
      </c>
      <c r="F19" s="1624">
        <f t="shared" si="112"/>
        <v>279.46777300108801</v>
      </c>
      <c r="G19" s="1876"/>
      <c r="H19" s="1626">
        <v>3</v>
      </c>
      <c r="I19" s="1586">
        <v>2.98</v>
      </c>
      <c r="J19" s="1586">
        <v>2.11</v>
      </c>
      <c r="K19" s="1586">
        <v>3.24</v>
      </c>
      <c r="L19" s="1587">
        <v>1.72</v>
      </c>
      <c r="N19" s="1628">
        <f t="shared" ref="N19:Q20" si="113">I19/100</f>
        <v>2.98E-2</v>
      </c>
      <c r="O19" s="1629">
        <f t="shared" si="113"/>
        <v>2.1099999999999997E-2</v>
      </c>
      <c r="P19" s="1629">
        <f t="shared" si="113"/>
        <v>3.2400000000000005E-2</v>
      </c>
      <c r="Q19" s="1629">
        <f t="shared" si="113"/>
        <v>1.72E-2</v>
      </c>
      <c r="S19" s="1642"/>
    </row>
    <row r="20" spans="1:32" s="1589" customFormat="1" ht="14.45" customHeight="1">
      <c r="A20" s="1623" t="s">
        <v>1640</v>
      </c>
      <c r="B20" s="1624">
        <f t="shared" si="90"/>
        <v>419.31181600000002</v>
      </c>
      <c r="C20" s="1624">
        <f t="shared" si="111"/>
        <v>313.95436800000004</v>
      </c>
      <c r="D20" s="1624">
        <f t="shared" si="100"/>
        <v>313.95436800000004</v>
      </c>
      <c r="E20" s="1624">
        <f t="shared" si="112"/>
        <v>596.63028431999999</v>
      </c>
      <c r="F20" s="1624">
        <f t="shared" si="112"/>
        <v>274.74220703999998</v>
      </c>
      <c r="G20" s="1876"/>
      <c r="H20" s="1639">
        <v>2</v>
      </c>
      <c r="I20" s="1640">
        <v>3.4</v>
      </c>
      <c r="J20" s="1640">
        <v>2</v>
      </c>
      <c r="K20" s="1640">
        <v>3.82</v>
      </c>
      <c r="L20" s="1641">
        <v>1.68</v>
      </c>
      <c r="N20" s="1628">
        <f t="shared" si="113"/>
        <v>3.4000000000000002E-2</v>
      </c>
      <c r="O20" s="1629">
        <f t="shared" si="113"/>
        <v>0.02</v>
      </c>
      <c r="P20" s="1629">
        <f t="shared" si="113"/>
        <v>3.8199999999999998E-2</v>
      </c>
      <c r="Q20" s="1629">
        <f t="shared" si="113"/>
        <v>1.6799999999999999E-2</v>
      </c>
      <c r="S20" s="1642"/>
    </row>
    <row r="21" spans="1:32" s="1589" customFormat="1" ht="15" customHeight="1" thickBot="1">
      <c r="A21" s="1623" t="s">
        <v>1641</v>
      </c>
      <c r="B21" s="1624">
        <f t="shared" si="90"/>
        <v>405.524</v>
      </c>
      <c r="C21" s="1624">
        <f t="shared" ref="C21" si="114">C22*(1+O21)</f>
        <v>307.79840000000002</v>
      </c>
      <c r="D21" s="1624">
        <f t="shared" si="100"/>
        <v>307.79840000000002</v>
      </c>
      <c r="E21" s="1624">
        <f t="shared" si="112"/>
        <v>574.67759999999998</v>
      </c>
      <c r="F21" s="1624">
        <f t="shared" si="112"/>
        <v>270.20280000000002</v>
      </c>
      <c r="G21" s="1884"/>
      <c r="H21" s="1626">
        <v>1</v>
      </c>
      <c r="I21" s="1586">
        <v>3.45</v>
      </c>
      <c r="J21" s="1586">
        <v>1.92</v>
      </c>
      <c r="K21" s="1586">
        <v>3.92</v>
      </c>
      <c r="L21" s="1587">
        <v>1.58</v>
      </c>
      <c r="N21" s="1628">
        <f>I21/100</f>
        <v>3.4500000000000003E-2</v>
      </c>
      <c r="O21" s="1629">
        <f t="shared" ref="O21" si="115">J21/100</f>
        <v>1.9199999999999998E-2</v>
      </c>
      <c r="P21" s="1629">
        <f t="shared" ref="P21" si="116">K21/100</f>
        <v>3.9199999999999999E-2</v>
      </c>
      <c r="Q21" s="1629">
        <f t="shared" ref="Q21" si="117">L21/100</f>
        <v>1.5800000000000002E-2</v>
      </c>
      <c r="S21" s="1631">
        <f>B21/B22-1</f>
        <v>3.4499999999999975E-2</v>
      </c>
      <c r="T21" s="1632">
        <f>C21/C22-1</f>
        <v>1.9200000000000106E-2</v>
      </c>
      <c r="U21" s="1632">
        <f>E21/E22-1</f>
        <v>3.9199999999999902E-2</v>
      </c>
      <c r="V21" s="1632">
        <f>F21/F22-1</f>
        <v>1.5800000000000036E-2</v>
      </c>
    </row>
    <row r="22" spans="1:32">
      <c r="A22" s="1623" t="s">
        <v>277</v>
      </c>
      <c r="B22" s="1643">
        <v>392</v>
      </c>
      <c r="C22" s="1643">
        <v>302</v>
      </c>
      <c r="D22" s="1643">
        <f t="shared" si="100"/>
        <v>302</v>
      </c>
      <c r="E22" s="1643">
        <v>553</v>
      </c>
      <c r="F22" s="1644">
        <v>266</v>
      </c>
      <c r="G22" s="1879">
        <v>2016</v>
      </c>
      <c r="H22" s="1635">
        <v>4</v>
      </c>
      <c r="I22" s="1635">
        <v>4.5599999999999996</v>
      </c>
      <c r="J22" s="1635">
        <v>2.15</v>
      </c>
      <c r="K22" s="1635">
        <v>5.32</v>
      </c>
      <c r="L22" s="1634">
        <v>1.57</v>
      </c>
      <c r="N22" s="1628">
        <f>I22/100</f>
        <v>4.5599999999999995E-2</v>
      </c>
      <c r="O22" s="1629">
        <f t="shared" ref="O22:Q37" si="118">J22/100</f>
        <v>2.1499999999999998E-2</v>
      </c>
      <c r="P22" s="1629">
        <f t="shared" si="118"/>
        <v>5.3200000000000004E-2</v>
      </c>
      <c r="Q22" s="1629">
        <f t="shared" si="118"/>
        <v>1.5700000000000002E-2</v>
      </c>
      <c r="R22" s="1630"/>
      <c r="S22" s="1638"/>
      <c r="T22" s="1633"/>
      <c r="U22" s="1633"/>
      <c r="V22" s="1633"/>
      <c r="AC22" s="1633"/>
      <c r="AD22" s="1633"/>
      <c r="AE22" s="1633"/>
      <c r="AF22" s="1633"/>
    </row>
    <row r="23" spans="1:32">
      <c r="A23" s="1623" t="s">
        <v>276</v>
      </c>
      <c r="B23" s="1624">
        <f t="shared" ref="B23:C25" si="119">B22/(1+N22)</f>
        <v>374.90436113236416</v>
      </c>
      <c r="C23" s="1624">
        <f t="shared" si="119"/>
        <v>295.64366128242779</v>
      </c>
      <c r="D23" s="1624">
        <f t="shared" ref="D23:D82" si="120">C23</f>
        <v>295.64366128242779</v>
      </c>
      <c r="E23" s="1624">
        <f t="shared" ref="E23:F25" si="121">E22/(1+P22)</f>
        <v>525.06646410938095</v>
      </c>
      <c r="F23" s="1624">
        <f t="shared" si="121"/>
        <v>261.88835286009646</v>
      </c>
      <c r="G23" s="1876"/>
      <c r="H23" s="1626">
        <v>3</v>
      </c>
      <c r="I23" s="1626">
        <v>4.12</v>
      </c>
      <c r="J23" s="1626">
        <v>2</v>
      </c>
      <c r="K23" s="1626">
        <v>4.79</v>
      </c>
      <c r="L23" s="1645">
        <v>1.97</v>
      </c>
      <c r="N23" s="1628">
        <f t="shared" ref="N23:Q57" si="122">I23/100</f>
        <v>4.1200000000000001E-2</v>
      </c>
      <c r="O23" s="1629">
        <f t="shared" si="118"/>
        <v>0.02</v>
      </c>
      <c r="P23" s="1629">
        <f t="shared" si="118"/>
        <v>4.7899999999999998E-2</v>
      </c>
      <c r="Q23" s="1629">
        <f t="shared" si="118"/>
        <v>1.9699999999999999E-2</v>
      </c>
      <c r="R23" s="1630"/>
      <c r="S23" s="1628"/>
      <c r="T23" s="1629"/>
      <c r="U23" s="1629"/>
      <c r="V23" s="1629"/>
    </row>
    <row r="24" spans="1:32">
      <c r="A24" s="1623" t="s">
        <v>266</v>
      </c>
      <c r="B24" s="1624">
        <f t="shared" si="119"/>
        <v>360.06949782209392</v>
      </c>
      <c r="C24" s="1624">
        <f t="shared" si="119"/>
        <v>289.84672674747821</v>
      </c>
      <c r="D24" s="1624">
        <f t="shared" si="120"/>
        <v>289.84672674747821</v>
      </c>
      <c r="E24" s="1624">
        <f t="shared" si="121"/>
        <v>501.06543001181495</v>
      </c>
      <c r="F24" s="1624">
        <f t="shared" si="121"/>
        <v>256.82882500744967</v>
      </c>
      <c r="G24" s="1876"/>
      <c r="H24" s="1639">
        <v>2</v>
      </c>
      <c r="I24" s="1639">
        <v>3.85</v>
      </c>
      <c r="J24" s="1639">
        <v>1.95</v>
      </c>
      <c r="K24" s="1639">
        <v>4.4800000000000004</v>
      </c>
      <c r="L24" s="1646">
        <v>1.41</v>
      </c>
      <c r="N24" s="1628">
        <f t="shared" si="122"/>
        <v>3.85E-2</v>
      </c>
      <c r="O24" s="1629">
        <f t="shared" si="118"/>
        <v>1.95E-2</v>
      </c>
      <c r="P24" s="1629">
        <f t="shared" si="118"/>
        <v>4.4800000000000006E-2</v>
      </c>
      <c r="Q24" s="1629">
        <f t="shared" si="118"/>
        <v>1.41E-2</v>
      </c>
      <c r="R24" s="1630"/>
      <c r="S24" s="1628"/>
      <c r="T24" s="1629"/>
      <c r="U24" s="1629"/>
      <c r="V24" s="1629"/>
    </row>
    <row r="25" spans="1:32" ht="13.5" thickBot="1">
      <c r="A25" s="1623" t="s">
        <v>275</v>
      </c>
      <c r="B25" s="1624">
        <f t="shared" si="119"/>
        <v>346.720748986128</v>
      </c>
      <c r="C25" s="1624">
        <f t="shared" si="119"/>
        <v>284.30282172386285</v>
      </c>
      <c r="D25" s="1624">
        <f t="shared" si="120"/>
        <v>284.30282172386285</v>
      </c>
      <c r="E25" s="1624">
        <f t="shared" si="121"/>
        <v>479.58023546306947</v>
      </c>
      <c r="F25" s="1624">
        <f t="shared" si="121"/>
        <v>253.25788877571213</v>
      </c>
      <c r="G25" s="1877"/>
      <c r="H25" s="1626">
        <v>1</v>
      </c>
      <c r="I25" s="1626">
        <v>4.09</v>
      </c>
      <c r="J25" s="1626">
        <v>2.93</v>
      </c>
      <c r="K25" s="1626">
        <v>4.54</v>
      </c>
      <c r="L25" s="1645">
        <v>1.48</v>
      </c>
      <c r="N25" s="1628">
        <f t="shared" si="122"/>
        <v>4.0899999999999999E-2</v>
      </c>
      <c r="O25" s="1629">
        <f t="shared" si="118"/>
        <v>2.9300000000000003E-2</v>
      </c>
      <c r="P25" s="1629">
        <f t="shared" si="118"/>
        <v>4.5400000000000003E-2</v>
      </c>
      <c r="Q25" s="1629">
        <f t="shared" si="118"/>
        <v>1.4800000000000001E-2</v>
      </c>
      <c r="R25" s="1630"/>
      <c r="S25" s="1631">
        <f>B25/B26-1</f>
        <v>4.1203450408792808E-2</v>
      </c>
      <c r="T25" s="1632">
        <f>C25/C26-1</f>
        <v>2.6363977342465095E-2</v>
      </c>
      <c r="U25" s="1632">
        <f>E25/E26-1</f>
        <v>4.4837114298626357E-2</v>
      </c>
      <c r="V25" s="1632">
        <f>F25/F26-1</f>
        <v>1.7099954922538574E-2</v>
      </c>
      <c r="AC25" s="1629"/>
      <c r="AD25" s="1629"/>
      <c r="AE25" s="1629"/>
      <c r="AF25" s="1629"/>
    </row>
    <row r="26" spans="1:32" ht="13.5" thickBot="1">
      <c r="A26" s="1623" t="s">
        <v>274</v>
      </c>
      <c r="B26" s="1643">
        <v>333</v>
      </c>
      <c r="C26" s="1643">
        <v>277</v>
      </c>
      <c r="D26" s="1643">
        <f t="shared" si="120"/>
        <v>277</v>
      </c>
      <c r="E26" s="1643">
        <v>459</v>
      </c>
      <c r="F26" s="1644">
        <v>249</v>
      </c>
      <c r="G26" s="1875">
        <v>2015</v>
      </c>
      <c r="H26" s="1647">
        <v>4</v>
      </c>
      <c r="I26" s="1647">
        <v>1.63</v>
      </c>
      <c r="J26" s="1647">
        <v>1.1100000000000001</v>
      </c>
      <c r="K26" s="1647">
        <v>1.77</v>
      </c>
      <c r="L26" s="1648">
        <v>1.89</v>
      </c>
      <c r="N26" s="1649">
        <f t="shared" si="122"/>
        <v>1.6299999999999999E-2</v>
      </c>
      <c r="O26" s="1650">
        <f t="shared" si="118"/>
        <v>1.11E-2</v>
      </c>
      <c r="P26" s="1650">
        <f t="shared" si="118"/>
        <v>1.77E-2</v>
      </c>
      <c r="Q26" s="1650">
        <f t="shared" si="118"/>
        <v>1.89E-2</v>
      </c>
      <c r="R26" s="1630"/>
      <c r="AC26" s="1633"/>
      <c r="AD26" s="1633"/>
      <c r="AE26" s="1633"/>
      <c r="AF26" s="1633"/>
    </row>
    <row r="27" spans="1:32">
      <c r="A27" s="1623" t="s">
        <v>273</v>
      </c>
      <c r="B27" s="1624">
        <f t="shared" ref="B27:C29" si="123">B26/(1+N26)</f>
        <v>327.65915576109415</v>
      </c>
      <c r="C27" s="1624">
        <f t="shared" si="123"/>
        <v>273.95905449510434</v>
      </c>
      <c r="D27" s="1624">
        <f t="shared" si="120"/>
        <v>273.95905449510434</v>
      </c>
      <c r="E27" s="1624">
        <f t="shared" ref="E27:F29" si="124">E26/(1+P26)</f>
        <v>451.01699911565294</v>
      </c>
      <c r="F27" s="1624">
        <f t="shared" si="124"/>
        <v>244.38119540681129</v>
      </c>
      <c r="G27" s="1876"/>
      <c r="H27" s="1652">
        <v>3</v>
      </c>
      <c r="I27" s="1652">
        <v>1.65</v>
      </c>
      <c r="J27" s="1652">
        <v>0.92</v>
      </c>
      <c r="K27" s="1652">
        <v>1.88</v>
      </c>
      <c r="L27" s="1653">
        <v>1.26</v>
      </c>
      <c r="N27" s="1628">
        <f t="shared" si="122"/>
        <v>1.6500000000000001E-2</v>
      </c>
      <c r="O27" s="1654">
        <f t="shared" si="118"/>
        <v>9.1999999999999998E-3</v>
      </c>
      <c r="P27" s="1654">
        <f t="shared" si="118"/>
        <v>1.8799999999999997E-2</v>
      </c>
      <c r="Q27" s="1654">
        <f t="shared" si="118"/>
        <v>1.26E-2</v>
      </c>
      <c r="R27" s="1630"/>
      <c r="S27" s="1628"/>
      <c r="T27" s="1629"/>
      <c r="U27" s="1629"/>
      <c r="V27" s="1629"/>
    </row>
    <row r="28" spans="1:32">
      <c r="A28" s="1623" t="s">
        <v>272</v>
      </c>
      <c r="B28" s="1624">
        <f t="shared" si="123"/>
        <v>322.34053690220776</v>
      </c>
      <c r="C28" s="1624">
        <f t="shared" si="123"/>
        <v>271.46160770422546</v>
      </c>
      <c r="D28" s="1624">
        <f t="shared" si="120"/>
        <v>271.46160770422546</v>
      </c>
      <c r="E28" s="1624">
        <f t="shared" si="124"/>
        <v>442.69434542172456</v>
      </c>
      <c r="F28" s="1624">
        <f t="shared" si="124"/>
        <v>241.34030753190925</v>
      </c>
      <c r="G28" s="1876"/>
      <c r="H28" s="1639">
        <v>2</v>
      </c>
      <c r="I28" s="1639">
        <v>0.77</v>
      </c>
      <c r="J28" s="1639">
        <v>0.69</v>
      </c>
      <c r="K28" s="1639">
        <v>0.8</v>
      </c>
      <c r="L28" s="1646">
        <v>0.88</v>
      </c>
      <c r="N28" s="1628">
        <f t="shared" si="122"/>
        <v>7.7000000000000002E-3</v>
      </c>
      <c r="O28" s="1654">
        <f t="shared" si="118"/>
        <v>6.8999999999999999E-3</v>
      </c>
      <c r="P28" s="1654">
        <f t="shared" si="118"/>
        <v>8.0000000000000002E-3</v>
      </c>
      <c r="Q28" s="1654">
        <f t="shared" si="118"/>
        <v>8.8000000000000005E-3</v>
      </c>
      <c r="R28" s="1630"/>
      <c r="S28" s="1628"/>
      <c r="T28" s="1629"/>
      <c r="U28" s="1629"/>
      <c r="V28" s="1629"/>
    </row>
    <row r="29" spans="1:32">
      <c r="A29" s="1623" t="s">
        <v>271</v>
      </c>
      <c r="B29" s="1624">
        <f t="shared" si="123"/>
        <v>319.87748030386797</v>
      </c>
      <c r="C29" s="1624">
        <f t="shared" si="123"/>
        <v>269.60135833173649</v>
      </c>
      <c r="D29" s="1624">
        <f t="shared" si="120"/>
        <v>269.60135833173649</v>
      </c>
      <c r="E29" s="1624">
        <f t="shared" si="124"/>
        <v>439.18089823583784</v>
      </c>
      <c r="F29" s="1624">
        <f t="shared" si="124"/>
        <v>239.23503918706311</v>
      </c>
      <c r="G29" s="1877"/>
      <c r="H29" s="1626">
        <v>1</v>
      </c>
      <c r="I29" s="1626">
        <v>0.51</v>
      </c>
      <c r="J29" s="1626">
        <v>0.54</v>
      </c>
      <c r="K29" s="1626">
        <v>0.48</v>
      </c>
      <c r="L29" s="1645">
        <v>0.93</v>
      </c>
      <c r="N29" s="1631">
        <f t="shared" si="122"/>
        <v>5.1000000000000004E-3</v>
      </c>
      <c r="O29" s="1632">
        <f t="shared" si="118"/>
        <v>5.4000000000000003E-3</v>
      </c>
      <c r="P29" s="1632">
        <f t="shared" si="118"/>
        <v>4.7999999999999996E-3</v>
      </c>
      <c r="Q29" s="1632">
        <f t="shared" si="118"/>
        <v>9.300000000000001E-3</v>
      </c>
      <c r="R29" s="1630"/>
      <c r="S29" s="1631">
        <f>B29/B30-1</f>
        <v>5.9040261127922822E-3</v>
      </c>
      <c r="T29" s="1632">
        <f>C29/C30-1</f>
        <v>5.9752176557332781E-3</v>
      </c>
      <c r="U29" s="1632">
        <f>E29/E30-1</f>
        <v>4.9906138119859556E-3</v>
      </c>
      <c r="V29" s="1632">
        <f>F29/F30-1</f>
        <v>9.4305450930933787E-3</v>
      </c>
      <c r="AC29" s="1629"/>
      <c r="AD29" s="1629"/>
      <c r="AE29" s="1629"/>
      <c r="AF29" s="1629"/>
    </row>
    <row r="30" spans="1:32" ht="13.5" thickBot="1">
      <c r="A30" s="1623" t="s">
        <v>270</v>
      </c>
      <c r="B30" s="1655">
        <v>318</v>
      </c>
      <c r="C30" s="1655">
        <v>268</v>
      </c>
      <c r="D30" s="1655">
        <f t="shared" si="120"/>
        <v>268</v>
      </c>
      <c r="E30" s="1655">
        <v>437</v>
      </c>
      <c r="F30" s="1656">
        <v>237</v>
      </c>
      <c r="G30" s="1875">
        <v>2014</v>
      </c>
      <c r="H30" s="1647">
        <v>4</v>
      </c>
      <c r="I30" s="1647">
        <v>0.21</v>
      </c>
      <c r="J30" s="1647">
        <v>0.41</v>
      </c>
      <c r="K30" s="1647">
        <v>0.12</v>
      </c>
      <c r="L30" s="1648">
        <v>0.89</v>
      </c>
      <c r="N30" s="1628">
        <f t="shared" si="122"/>
        <v>2.0999999999999999E-3</v>
      </c>
      <c r="O30" s="1629">
        <f t="shared" si="118"/>
        <v>4.0999999999999995E-3</v>
      </c>
      <c r="P30" s="1629">
        <f t="shared" si="118"/>
        <v>1.1999999999999999E-3</v>
      </c>
      <c r="Q30" s="1629">
        <f t="shared" si="118"/>
        <v>8.8999999999999999E-3</v>
      </c>
      <c r="R30" s="1630"/>
      <c r="S30" s="1638"/>
      <c r="T30" s="1633"/>
      <c r="U30" s="1633"/>
      <c r="V30" s="1633"/>
      <c r="AC30" s="1633"/>
      <c r="AD30" s="1633"/>
      <c r="AE30" s="1633"/>
      <c r="AF30" s="1633"/>
    </row>
    <row r="31" spans="1:32">
      <c r="A31" s="1623" t="s">
        <v>269</v>
      </c>
      <c r="B31" s="1624">
        <f t="shared" ref="B31:C33" si="125">B30/(1+N30)</f>
        <v>317.33359944117353</v>
      </c>
      <c r="C31" s="1624">
        <f t="shared" si="125"/>
        <v>266.90568668459315</v>
      </c>
      <c r="D31" s="1624">
        <f t="shared" si="120"/>
        <v>266.90568668459315</v>
      </c>
      <c r="E31" s="1624">
        <f t="shared" ref="E31:F33" si="126">E30/(1+P30)</f>
        <v>436.47622852576905</v>
      </c>
      <c r="F31" s="1624">
        <f t="shared" si="126"/>
        <v>234.90930716622066</v>
      </c>
      <c r="G31" s="1876"/>
      <c r="H31" s="1657">
        <v>3</v>
      </c>
      <c r="I31" s="1657">
        <v>0.83</v>
      </c>
      <c r="J31" s="1657">
        <v>1.47</v>
      </c>
      <c r="K31" s="1657">
        <v>0.65</v>
      </c>
      <c r="L31" s="1658">
        <v>0.72</v>
      </c>
      <c r="N31" s="1628">
        <f t="shared" si="122"/>
        <v>8.3000000000000001E-3</v>
      </c>
      <c r="O31" s="1629">
        <f t="shared" si="118"/>
        <v>1.47E-2</v>
      </c>
      <c r="P31" s="1629">
        <f t="shared" si="118"/>
        <v>6.5000000000000006E-3</v>
      </c>
      <c r="Q31" s="1629">
        <f t="shared" si="118"/>
        <v>7.1999999999999998E-3</v>
      </c>
      <c r="R31" s="1630"/>
      <c r="S31" s="1628"/>
      <c r="T31" s="1629"/>
      <c r="U31" s="1629"/>
      <c r="V31" s="1629"/>
    </row>
    <row r="32" spans="1:32" ht="13.5" thickBot="1">
      <c r="A32" s="1623" t="s">
        <v>268</v>
      </c>
      <c r="B32" s="1624">
        <f t="shared" si="125"/>
        <v>314.72141172386546</v>
      </c>
      <c r="C32" s="1624">
        <f t="shared" si="125"/>
        <v>263.03901319069001</v>
      </c>
      <c r="D32" s="1624">
        <f t="shared" si="120"/>
        <v>263.03901319069001</v>
      </c>
      <c r="E32" s="1624">
        <f t="shared" si="126"/>
        <v>433.65745506782821</v>
      </c>
      <c r="F32" s="1624">
        <f t="shared" si="126"/>
        <v>233.23005080045735</v>
      </c>
      <c r="G32" s="1876"/>
      <c r="H32" s="1647">
        <v>2</v>
      </c>
      <c r="I32" s="1647">
        <v>2.4</v>
      </c>
      <c r="J32" s="1647">
        <v>2.0299999999999998</v>
      </c>
      <c r="K32" s="1647">
        <v>2.59</v>
      </c>
      <c r="L32" s="1648">
        <v>1.52</v>
      </c>
      <c r="N32" s="1628">
        <f t="shared" si="122"/>
        <v>2.4E-2</v>
      </c>
      <c r="O32" s="1629">
        <f t="shared" si="118"/>
        <v>2.0299999999999999E-2</v>
      </c>
      <c r="P32" s="1629">
        <f t="shared" si="118"/>
        <v>2.5899999999999999E-2</v>
      </c>
      <c r="Q32" s="1629">
        <f t="shared" si="118"/>
        <v>1.52E-2</v>
      </c>
      <c r="R32" s="1630"/>
      <c r="S32" s="1628"/>
      <c r="T32" s="1629"/>
      <c r="U32" s="1629"/>
      <c r="V32" s="1629"/>
    </row>
    <row r="33" spans="1:32" s="1663" customFormat="1" ht="13.5" thickBot="1">
      <c r="A33" s="1659" t="s">
        <v>267</v>
      </c>
      <c r="B33" s="1660">
        <f t="shared" si="125"/>
        <v>307.34512863658733</v>
      </c>
      <c r="C33" s="1660">
        <f t="shared" si="125"/>
        <v>257.80556031626975</v>
      </c>
      <c r="D33" s="1660">
        <f t="shared" si="120"/>
        <v>257.80556031626975</v>
      </c>
      <c r="E33" s="1660">
        <f t="shared" si="126"/>
        <v>422.70928459677179</v>
      </c>
      <c r="F33" s="1660">
        <f t="shared" si="126"/>
        <v>229.73803270336617</v>
      </c>
      <c r="G33" s="1877"/>
      <c r="H33" s="1661">
        <v>1</v>
      </c>
      <c r="I33" s="1661">
        <v>2.97</v>
      </c>
      <c r="J33" s="1661">
        <v>2.34</v>
      </c>
      <c r="K33" s="1661">
        <v>3.28</v>
      </c>
      <c r="L33" s="1662">
        <v>1.36</v>
      </c>
      <c r="N33" s="1664">
        <f t="shared" si="122"/>
        <v>2.9700000000000001E-2</v>
      </c>
      <c r="O33" s="1665">
        <f t="shared" si="118"/>
        <v>2.3399999999999997E-2</v>
      </c>
      <c r="P33" s="1665">
        <f t="shared" si="118"/>
        <v>3.2799999999999996E-2</v>
      </c>
      <c r="Q33" s="1665">
        <f t="shared" si="118"/>
        <v>1.3600000000000001E-2</v>
      </c>
      <c r="R33" s="1666"/>
      <c r="S33" s="1667">
        <f>B33/B34-1</f>
        <v>2.7910129219355539E-2</v>
      </c>
      <c r="T33" s="1668">
        <f>C33/C34-1</f>
        <v>2.3037937762975247E-2</v>
      </c>
      <c r="U33" s="1668">
        <f>E33/E34-1</f>
        <v>3.3519033243940788E-2</v>
      </c>
      <c r="V33" s="1668">
        <f>F33/F34-1</f>
        <v>1.2061818076502862E-2</v>
      </c>
      <c r="AC33" s="1665"/>
      <c r="AD33" s="1665"/>
      <c r="AE33" s="1665"/>
      <c r="AF33" s="1665"/>
    </row>
    <row r="34" spans="1:32" ht="13.5" thickBot="1">
      <c r="A34" s="1623" t="s">
        <v>1642</v>
      </c>
      <c r="B34" s="1643">
        <v>299</v>
      </c>
      <c r="C34" s="1643">
        <v>252</v>
      </c>
      <c r="D34" s="1643">
        <f t="shared" si="120"/>
        <v>252</v>
      </c>
      <c r="E34" s="1643">
        <v>409</v>
      </c>
      <c r="F34" s="1644">
        <v>227</v>
      </c>
      <c r="G34" s="1880">
        <v>2013</v>
      </c>
      <c r="H34" s="1669">
        <v>4</v>
      </c>
      <c r="I34" s="1669">
        <v>1.83</v>
      </c>
      <c r="J34" s="1669">
        <v>1.68</v>
      </c>
      <c r="K34" s="1669">
        <v>1.97</v>
      </c>
      <c r="L34" s="1670">
        <v>0.87</v>
      </c>
      <c r="N34" s="1649">
        <f t="shared" si="122"/>
        <v>1.83E-2</v>
      </c>
      <c r="O34" s="1650">
        <f t="shared" si="118"/>
        <v>1.6799999999999999E-2</v>
      </c>
      <c r="P34" s="1650">
        <f t="shared" si="118"/>
        <v>1.9699999999999999E-2</v>
      </c>
      <c r="Q34" s="1650">
        <f t="shared" si="118"/>
        <v>8.6999999999999994E-3</v>
      </c>
      <c r="R34" s="1630"/>
      <c r="S34" s="1638"/>
      <c r="T34" s="1633"/>
      <c r="U34" s="1633"/>
      <c r="V34" s="1633"/>
      <c r="AC34" s="1633"/>
      <c r="AD34" s="1633"/>
      <c r="AE34" s="1633"/>
      <c r="AF34" s="1633"/>
    </row>
    <row r="35" spans="1:32">
      <c r="A35" s="1623" t="s">
        <v>1643</v>
      </c>
      <c r="B35" s="1624">
        <f t="shared" ref="B35:C37" si="127">B34/(1+N34)</f>
        <v>293.62663262299913</v>
      </c>
      <c r="C35" s="1624">
        <f t="shared" si="127"/>
        <v>247.83634933123525</v>
      </c>
      <c r="D35" s="1624">
        <f t="shared" si="120"/>
        <v>247.83634933123525</v>
      </c>
      <c r="E35" s="1624">
        <f t="shared" ref="E35:F37" si="128">E34/(1+P34)</f>
        <v>401.09836226341076</v>
      </c>
      <c r="F35" s="1624">
        <f t="shared" si="128"/>
        <v>225.04213343908003</v>
      </c>
      <c r="G35" s="1881"/>
      <c r="H35" s="1652">
        <v>3</v>
      </c>
      <c r="I35" s="1652">
        <v>1.86</v>
      </c>
      <c r="J35" s="1652">
        <v>1.72</v>
      </c>
      <c r="K35" s="1652">
        <v>1.98</v>
      </c>
      <c r="L35" s="1653">
        <v>0.88</v>
      </c>
      <c r="N35" s="1628">
        <f t="shared" si="122"/>
        <v>1.8600000000000002E-2</v>
      </c>
      <c r="O35" s="1654">
        <f t="shared" si="118"/>
        <v>1.72E-2</v>
      </c>
      <c r="P35" s="1654">
        <f t="shared" si="118"/>
        <v>1.9799999999999998E-2</v>
      </c>
      <c r="Q35" s="1654">
        <f t="shared" si="118"/>
        <v>8.8000000000000005E-3</v>
      </c>
      <c r="R35" s="1630"/>
      <c r="S35" s="1628"/>
      <c r="T35" s="1629"/>
      <c r="U35" s="1629"/>
      <c r="V35" s="1629"/>
    </row>
    <row r="36" spans="1:32">
      <c r="A36" s="1623" t="s">
        <v>1644</v>
      </c>
      <c r="B36" s="1624">
        <f t="shared" si="127"/>
        <v>288.2649053828776</v>
      </c>
      <c r="C36" s="1624">
        <f t="shared" si="127"/>
        <v>243.64564425013293</v>
      </c>
      <c r="D36" s="1624">
        <f t="shared" si="120"/>
        <v>243.64564425013293</v>
      </c>
      <c r="E36" s="1624">
        <f t="shared" si="128"/>
        <v>393.31080825986544</v>
      </c>
      <c r="F36" s="1624">
        <f t="shared" si="128"/>
        <v>223.07903790551154</v>
      </c>
      <c r="G36" s="1881"/>
      <c r="H36" s="1639">
        <v>2</v>
      </c>
      <c r="I36" s="1639">
        <v>2.04</v>
      </c>
      <c r="J36" s="1639">
        <v>2.33</v>
      </c>
      <c r="K36" s="1639">
        <v>2.0699999999999998</v>
      </c>
      <c r="L36" s="1646">
        <v>0.69</v>
      </c>
      <c r="N36" s="1628">
        <f t="shared" si="122"/>
        <v>2.0400000000000001E-2</v>
      </c>
      <c r="O36" s="1654">
        <f t="shared" si="118"/>
        <v>2.3300000000000001E-2</v>
      </c>
      <c r="P36" s="1654">
        <f t="shared" si="118"/>
        <v>2.07E-2</v>
      </c>
      <c r="Q36" s="1654">
        <f t="shared" si="118"/>
        <v>6.8999999999999999E-3</v>
      </c>
      <c r="R36" s="1630"/>
      <c r="S36" s="1628"/>
      <c r="T36" s="1629"/>
      <c r="U36" s="1629"/>
      <c r="V36" s="1629"/>
    </row>
    <row r="37" spans="1:32">
      <c r="A37" s="1623" t="s">
        <v>1645</v>
      </c>
      <c r="B37" s="1624">
        <f t="shared" si="127"/>
        <v>282.50186729015837</v>
      </c>
      <c r="C37" s="1624">
        <f t="shared" si="127"/>
        <v>238.09796174155468</v>
      </c>
      <c r="D37" s="1624">
        <f t="shared" si="120"/>
        <v>238.09796174155468</v>
      </c>
      <c r="E37" s="1624">
        <f t="shared" si="128"/>
        <v>385.33438646014054</v>
      </c>
      <c r="F37" s="1624">
        <f t="shared" si="128"/>
        <v>221.55034055567739</v>
      </c>
      <c r="G37" s="1882"/>
      <c r="H37" s="1626">
        <v>1</v>
      </c>
      <c r="I37" s="1626">
        <v>1.67</v>
      </c>
      <c r="J37" s="1626">
        <v>1.31</v>
      </c>
      <c r="K37" s="1626">
        <v>1.85</v>
      </c>
      <c r="L37" s="1645">
        <v>0.96</v>
      </c>
      <c r="N37" s="1631">
        <f t="shared" si="122"/>
        <v>1.67E-2</v>
      </c>
      <c r="O37" s="1632">
        <f t="shared" si="118"/>
        <v>1.3100000000000001E-2</v>
      </c>
      <c r="P37" s="1632">
        <f t="shared" si="118"/>
        <v>1.8500000000000003E-2</v>
      </c>
      <c r="Q37" s="1632">
        <f t="shared" si="118"/>
        <v>9.5999999999999992E-3</v>
      </c>
      <c r="R37" s="1630"/>
      <c r="S37" s="1631">
        <f>B37/B38-1</f>
        <v>1.6193767230785472E-2</v>
      </c>
      <c r="T37" s="1632">
        <f>C37/C38-1</f>
        <v>1.7512657015190891E-2</v>
      </c>
      <c r="U37" s="1632">
        <f>E37/E38-1</f>
        <v>1.6713420739157048E-2</v>
      </c>
      <c r="V37" s="1632">
        <f>F37/F38-1</f>
        <v>7.0470025258062563E-3</v>
      </c>
      <c r="AC37" s="1629"/>
      <c r="AD37" s="1629"/>
      <c r="AE37" s="1629"/>
      <c r="AF37" s="1629"/>
    </row>
    <row r="38" spans="1:32" ht="13.5" thickBot="1">
      <c r="A38" s="1623" t="s">
        <v>1646</v>
      </c>
      <c r="B38" s="1671">
        <v>278</v>
      </c>
      <c r="C38" s="1671">
        <v>234</v>
      </c>
      <c r="D38" s="1671">
        <f t="shared" si="120"/>
        <v>234</v>
      </c>
      <c r="E38" s="1671">
        <v>379</v>
      </c>
      <c r="F38" s="1672">
        <v>220</v>
      </c>
      <c r="G38" s="1875">
        <v>2012</v>
      </c>
      <c r="H38" s="1647">
        <v>4</v>
      </c>
      <c r="I38" s="1647">
        <v>0.91</v>
      </c>
      <c r="J38" s="1647">
        <v>0.68</v>
      </c>
      <c r="K38" s="1647">
        <v>0.98</v>
      </c>
      <c r="L38" s="1648">
        <v>0.9</v>
      </c>
      <c r="N38" s="1628">
        <f t="shared" si="122"/>
        <v>9.1000000000000004E-3</v>
      </c>
      <c r="O38" s="1629">
        <f t="shared" si="122"/>
        <v>6.8000000000000005E-3</v>
      </c>
      <c r="P38" s="1629">
        <f t="shared" si="122"/>
        <v>9.7999999999999997E-3</v>
      </c>
      <c r="Q38" s="1629">
        <f t="shared" si="122"/>
        <v>9.0000000000000011E-3</v>
      </c>
      <c r="R38" s="1630"/>
      <c r="S38" s="1638"/>
      <c r="T38" s="1633"/>
      <c r="U38" s="1633"/>
      <c r="V38" s="1633"/>
      <c r="AC38" s="1633"/>
      <c r="AD38" s="1633"/>
      <c r="AE38" s="1633"/>
      <c r="AF38" s="1633"/>
    </row>
    <row r="39" spans="1:32">
      <c r="A39" s="1623" t="s">
        <v>1647</v>
      </c>
      <c r="B39" s="1624">
        <f>B38/(1+N38)</f>
        <v>275.49301357645425</v>
      </c>
      <c r="C39" s="1624">
        <f>C38/(1+O38)</f>
        <v>232.41954707985698</v>
      </c>
      <c r="D39" s="1624">
        <f t="shared" si="120"/>
        <v>232.41954707985698</v>
      </c>
      <c r="E39" s="1624">
        <f t="shared" ref="E39:F41" si="129">E38/(1+P38)</f>
        <v>375.32184591008121</v>
      </c>
      <c r="F39" s="1624">
        <f t="shared" si="129"/>
        <v>218.03766105054513</v>
      </c>
      <c r="G39" s="1876"/>
      <c r="H39" s="1652">
        <v>3</v>
      </c>
      <c r="I39" s="1652">
        <v>0.09</v>
      </c>
      <c r="J39" s="1652">
        <v>0.28999999999999998</v>
      </c>
      <c r="K39" s="1652">
        <v>-0.01</v>
      </c>
      <c r="L39" s="1653">
        <v>0.57999999999999996</v>
      </c>
      <c r="N39" s="1628">
        <f t="shared" si="122"/>
        <v>8.9999999999999998E-4</v>
      </c>
      <c r="O39" s="1629">
        <f t="shared" si="122"/>
        <v>2.8999999999999998E-3</v>
      </c>
      <c r="P39" s="1629">
        <f t="shared" si="122"/>
        <v>-1E-4</v>
      </c>
      <c r="Q39" s="1629">
        <f t="shared" si="122"/>
        <v>5.7999999999999996E-3</v>
      </c>
      <c r="R39" s="1630"/>
      <c r="S39" s="1628"/>
      <c r="T39" s="1629"/>
      <c r="U39" s="1629"/>
      <c r="V39" s="1629"/>
    </row>
    <row r="40" spans="1:32">
      <c r="A40" s="1623" t="s">
        <v>1648</v>
      </c>
      <c r="B40" s="1624">
        <f>B39/(1+N39)</f>
        <v>275.24529281292263</v>
      </c>
      <c r="C40" s="1624">
        <f>C39/(1+O39)</f>
        <v>231.74747938962707</v>
      </c>
      <c r="D40" s="1624">
        <f t="shared" si="120"/>
        <v>231.74747938962707</v>
      </c>
      <c r="E40" s="1624">
        <f t="shared" si="129"/>
        <v>375.35938184826603</v>
      </c>
      <c r="F40" s="1624">
        <f t="shared" si="129"/>
        <v>216.78033510692495</v>
      </c>
      <c r="G40" s="1876"/>
      <c r="H40" s="1639">
        <v>2</v>
      </c>
      <c r="I40" s="1639">
        <v>0.02</v>
      </c>
      <c r="J40" s="1639">
        <v>0.12</v>
      </c>
      <c r="K40" s="1639">
        <v>-0.08</v>
      </c>
      <c r="L40" s="1646">
        <v>1.24</v>
      </c>
      <c r="N40" s="1628">
        <f t="shared" si="122"/>
        <v>2.0000000000000001E-4</v>
      </c>
      <c r="O40" s="1629">
        <f t="shared" si="122"/>
        <v>1.1999999999999999E-3</v>
      </c>
      <c r="P40" s="1629">
        <f t="shared" si="122"/>
        <v>-8.0000000000000004E-4</v>
      </c>
      <c r="Q40" s="1629">
        <f t="shared" si="122"/>
        <v>1.24E-2</v>
      </c>
      <c r="R40" s="1630"/>
      <c r="S40" s="1628"/>
      <c r="T40" s="1629"/>
      <c r="U40" s="1629"/>
      <c r="V40" s="1629"/>
    </row>
    <row r="41" spans="1:32" ht="13.5" thickBot="1">
      <c r="A41" s="1623" t="s">
        <v>1649</v>
      </c>
      <c r="B41" s="1624">
        <f>B40/(1+N40)</f>
        <v>275.19025476197027</v>
      </c>
      <c r="C41" s="1673">
        <v>232</v>
      </c>
      <c r="D41" s="1673">
        <f t="shared" si="120"/>
        <v>232</v>
      </c>
      <c r="E41" s="1624">
        <f t="shared" si="129"/>
        <v>375.65990977608692</v>
      </c>
      <c r="F41" s="1624">
        <f t="shared" si="129"/>
        <v>214.12518283971252</v>
      </c>
      <c r="G41" s="1877"/>
      <c r="H41" s="1626">
        <v>1</v>
      </c>
      <c r="I41" s="1626">
        <v>0.02</v>
      </c>
      <c r="J41" s="1626">
        <v>0.13</v>
      </c>
      <c r="K41" s="1626">
        <v>-0.04</v>
      </c>
      <c r="L41" s="1645">
        <v>0.46</v>
      </c>
      <c r="N41" s="1628">
        <f t="shared" si="122"/>
        <v>2.0000000000000001E-4</v>
      </c>
      <c r="O41" s="1629">
        <f t="shared" si="122"/>
        <v>1.2999999999999999E-3</v>
      </c>
      <c r="P41" s="1629">
        <f t="shared" si="122"/>
        <v>-4.0000000000000002E-4</v>
      </c>
      <c r="Q41" s="1629">
        <f t="shared" si="122"/>
        <v>4.5999999999999999E-3</v>
      </c>
      <c r="R41" s="1630"/>
      <c r="S41" s="1631">
        <f>B41/B42-1</f>
        <v>6.9183549807361189E-4</v>
      </c>
      <c r="T41" s="1632">
        <f>C41/C42-1</f>
        <v>0</v>
      </c>
      <c r="U41" s="1632">
        <f>E41/E42-1</f>
        <v>-9.0449527636460303E-4</v>
      </c>
      <c r="V41" s="1632">
        <f>F41/F42-1</f>
        <v>5.2825485432512753E-3</v>
      </c>
      <c r="AC41" s="1629"/>
      <c r="AD41" s="1629"/>
      <c r="AE41" s="1629"/>
      <c r="AF41" s="1629"/>
    </row>
    <row r="42" spans="1:32" ht="13.5" thickBot="1">
      <c r="A42" s="1623" t="s">
        <v>1650</v>
      </c>
      <c r="B42" s="1643">
        <v>275</v>
      </c>
      <c r="C42" s="1643">
        <v>232</v>
      </c>
      <c r="D42" s="1643">
        <f t="shared" si="120"/>
        <v>232</v>
      </c>
      <c r="E42" s="1643">
        <v>376</v>
      </c>
      <c r="F42" s="1644">
        <v>213</v>
      </c>
      <c r="G42" s="1875">
        <v>2011</v>
      </c>
      <c r="H42" s="1647">
        <v>4</v>
      </c>
      <c r="I42" s="1647">
        <v>-0.2</v>
      </c>
      <c r="J42" s="1647">
        <v>0.04</v>
      </c>
      <c r="K42" s="1647">
        <v>-0.34</v>
      </c>
      <c r="L42" s="1648">
        <v>0.46</v>
      </c>
      <c r="N42" s="1649">
        <f t="shared" si="122"/>
        <v>-2E-3</v>
      </c>
      <c r="O42" s="1650">
        <f t="shared" si="122"/>
        <v>4.0000000000000002E-4</v>
      </c>
      <c r="P42" s="1650">
        <f t="shared" si="122"/>
        <v>-3.4000000000000002E-3</v>
      </c>
      <c r="Q42" s="1650">
        <f t="shared" si="122"/>
        <v>4.5999999999999999E-3</v>
      </c>
      <c r="R42" s="1630"/>
      <c r="S42" s="1638"/>
      <c r="T42" s="1633"/>
      <c r="U42" s="1633"/>
      <c r="V42" s="1633"/>
      <c r="AC42" s="1633"/>
      <c r="AD42" s="1633"/>
      <c r="AE42" s="1633"/>
      <c r="AF42" s="1633"/>
    </row>
    <row r="43" spans="1:32">
      <c r="A43" s="1623" t="s">
        <v>1651</v>
      </c>
      <c r="B43" s="1624">
        <f t="shared" ref="B43:C45" si="130">B42/(1+N42)</f>
        <v>275.55110220440883</v>
      </c>
      <c r="C43" s="1624">
        <f t="shared" si="130"/>
        <v>231.90723710515795</v>
      </c>
      <c r="D43" s="1624">
        <f t="shared" si="120"/>
        <v>231.90723710515795</v>
      </c>
      <c r="E43" s="1624">
        <f t="shared" ref="E43:F45" si="131">E42/(1+P42)</f>
        <v>377.28276138872161</v>
      </c>
      <c r="F43" s="1624">
        <f t="shared" si="131"/>
        <v>212.02468644236512</v>
      </c>
      <c r="G43" s="1876">
        <v>2011</v>
      </c>
      <c r="H43" s="1652">
        <v>3</v>
      </c>
      <c r="I43" s="1652">
        <v>0.13</v>
      </c>
      <c r="J43" s="1652">
        <v>0.75</v>
      </c>
      <c r="K43" s="1652">
        <v>-0.08</v>
      </c>
      <c r="L43" s="1653">
        <v>0.53</v>
      </c>
      <c r="N43" s="1628">
        <f t="shared" si="122"/>
        <v>1.2999999999999999E-3</v>
      </c>
      <c r="O43" s="1654">
        <f t="shared" si="122"/>
        <v>7.4999999999999997E-3</v>
      </c>
      <c r="P43" s="1654">
        <f t="shared" si="122"/>
        <v>-8.0000000000000004E-4</v>
      </c>
      <c r="Q43" s="1654">
        <f t="shared" si="122"/>
        <v>5.3E-3</v>
      </c>
      <c r="R43" s="1630"/>
      <c r="S43" s="1628"/>
      <c r="T43" s="1629"/>
      <c r="U43" s="1629"/>
      <c r="V43" s="1629"/>
    </row>
    <row r="44" spans="1:32">
      <c r="A44" s="1623" t="s">
        <v>1652</v>
      </c>
      <c r="B44" s="1624">
        <f t="shared" si="130"/>
        <v>275.19335084830601</v>
      </c>
      <c r="C44" s="1624">
        <f t="shared" si="130"/>
        <v>230.18088050139744</v>
      </c>
      <c r="D44" s="1624">
        <f t="shared" si="120"/>
        <v>230.18088050139744</v>
      </c>
      <c r="E44" s="1624">
        <f t="shared" si="131"/>
        <v>377.58482925212331</v>
      </c>
      <c r="F44" s="1624">
        <f t="shared" si="131"/>
        <v>210.90687997847917</v>
      </c>
      <c r="G44" s="1876">
        <v>2011</v>
      </c>
      <c r="H44" s="1639">
        <v>2</v>
      </c>
      <c r="I44" s="1639">
        <v>-0.4</v>
      </c>
      <c r="J44" s="1639">
        <v>0.17</v>
      </c>
      <c r="K44" s="1639">
        <v>-0.57999999999999996</v>
      </c>
      <c r="L44" s="1646">
        <v>-0.2</v>
      </c>
      <c r="N44" s="1628">
        <f t="shared" si="122"/>
        <v>-4.0000000000000001E-3</v>
      </c>
      <c r="O44" s="1654">
        <f t="shared" si="122"/>
        <v>1.7000000000000001E-3</v>
      </c>
      <c r="P44" s="1654">
        <f t="shared" si="122"/>
        <v>-5.7999999999999996E-3</v>
      </c>
      <c r="Q44" s="1654">
        <f t="shared" si="122"/>
        <v>-2E-3</v>
      </c>
      <c r="R44" s="1630"/>
      <c r="S44" s="1628"/>
      <c r="T44" s="1629"/>
      <c r="U44" s="1629"/>
      <c r="V44" s="1629"/>
    </row>
    <row r="45" spans="1:32" ht="13.5" thickBot="1">
      <c r="A45" s="1623" t="s">
        <v>1653</v>
      </c>
      <c r="B45" s="1624">
        <f t="shared" si="130"/>
        <v>276.29854502841971</v>
      </c>
      <c r="C45" s="1624">
        <f t="shared" si="130"/>
        <v>229.79023709833027</v>
      </c>
      <c r="D45" s="1624">
        <f t="shared" si="120"/>
        <v>229.79023709833027</v>
      </c>
      <c r="E45" s="1624">
        <f t="shared" si="131"/>
        <v>379.78759731655936</v>
      </c>
      <c r="F45" s="1624">
        <f t="shared" si="131"/>
        <v>211.32953905659235</v>
      </c>
      <c r="G45" s="1877">
        <v>2011</v>
      </c>
      <c r="H45" s="1626">
        <v>1</v>
      </c>
      <c r="I45" s="1626">
        <v>2.65</v>
      </c>
      <c r="J45" s="1626">
        <v>3.76</v>
      </c>
      <c r="K45" s="1626">
        <v>1.89</v>
      </c>
      <c r="L45" s="1645">
        <v>7.95</v>
      </c>
      <c r="N45" s="1631">
        <f t="shared" si="122"/>
        <v>2.6499999999999999E-2</v>
      </c>
      <c r="O45" s="1632">
        <f t="shared" si="122"/>
        <v>3.7599999999999995E-2</v>
      </c>
      <c r="P45" s="1632">
        <f t="shared" si="122"/>
        <v>1.89E-2</v>
      </c>
      <c r="Q45" s="1632">
        <f t="shared" si="122"/>
        <v>7.9500000000000001E-2</v>
      </c>
      <c r="R45" s="1630"/>
      <c r="S45" s="1631">
        <f>B45/B46-1</f>
        <v>2.713213765211786E-2</v>
      </c>
      <c r="T45" s="1632">
        <f>C45/C46-1</f>
        <v>3.9774828499231862E-2</v>
      </c>
      <c r="U45" s="1632">
        <f>E45/E46-1</f>
        <v>1.8197311840641772E-2</v>
      </c>
      <c r="V45" s="1632">
        <f>F45/F46-1</f>
        <v>7.8211933962205826E-2</v>
      </c>
      <c r="AC45" s="1629"/>
      <c r="AD45" s="1629"/>
      <c r="AE45" s="1629"/>
      <c r="AF45" s="1629"/>
    </row>
    <row r="46" spans="1:32" ht="13.5" thickBot="1">
      <c r="A46" s="1623" t="s">
        <v>1654</v>
      </c>
      <c r="B46" s="1643">
        <v>269</v>
      </c>
      <c r="C46" s="1643">
        <v>221</v>
      </c>
      <c r="D46" s="1643">
        <f t="shared" si="120"/>
        <v>221</v>
      </c>
      <c r="E46" s="1643">
        <v>373</v>
      </c>
      <c r="F46" s="1644">
        <v>196</v>
      </c>
      <c r="G46" s="1875">
        <v>2010</v>
      </c>
      <c r="H46" s="1647">
        <v>4</v>
      </c>
      <c r="I46" s="1647">
        <v>5.72</v>
      </c>
      <c r="J46" s="1647">
        <v>6.57</v>
      </c>
      <c r="K46" s="1647">
        <v>5.72</v>
      </c>
      <c r="L46" s="1648">
        <v>2.72</v>
      </c>
      <c r="N46" s="1628">
        <f t="shared" si="122"/>
        <v>5.7200000000000001E-2</v>
      </c>
      <c r="O46" s="1629">
        <f t="shared" si="122"/>
        <v>6.5700000000000008E-2</v>
      </c>
      <c r="P46" s="1629">
        <f t="shared" si="122"/>
        <v>5.7200000000000001E-2</v>
      </c>
      <c r="Q46" s="1629">
        <f t="shared" si="122"/>
        <v>2.7200000000000002E-2</v>
      </c>
      <c r="R46" s="1630"/>
      <c r="S46" s="1638"/>
      <c r="T46" s="1633"/>
      <c r="U46" s="1633"/>
      <c r="V46" s="1633"/>
      <c r="AC46" s="1633"/>
      <c r="AD46" s="1633"/>
      <c r="AE46" s="1633"/>
      <c r="AF46" s="1633"/>
    </row>
    <row r="47" spans="1:32">
      <c r="A47" s="1623" t="s">
        <v>1655</v>
      </c>
      <c r="B47" s="1624">
        <f t="shared" ref="B47:C49" si="132">B46/(1+N46)</f>
        <v>254.44570563753314</v>
      </c>
      <c r="C47" s="1624">
        <f t="shared" si="132"/>
        <v>207.37543398705074</v>
      </c>
      <c r="D47" s="1624">
        <f t="shared" si="120"/>
        <v>207.37543398705074</v>
      </c>
      <c r="E47" s="1624">
        <f t="shared" ref="E47:F49" si="133">E46/(1+P46)</f>
        <v>352.81876655315932</v>
      </c>
      <c r="F47" s="1624">
        <f t="shared" si="133"/>
        <v>190.809968847352</v>
      </c>
      <c r="G47" s="1876">
        <v>2010</v>
      </c>
      <c r="H47" s="1652">
        <v>3</v>
      </c>
      <c r="I47" s="1652">
        <v>4.7300000000000004</v>
      </c>
      <c r="J47" s="1652">
        <v>3.9</v>
      </c>
      <c r="K47" s="1652">
        <v>5.03</v>
      </c>
      <c r="L47" s="1653">
        <v>4.21</v>
      </c>
      <c r="N47" s="1628">
        <f t="shared" si="122"/>
        <v>4.7300000000000002E-2</v>
      </c>
      <c r="O47" s="1629">
        <f t="shared" si="122"/>
        <v>3.9E-2</v>
      </c>
      <c r="P47" s="1629">
        <f t="shared" si="122"/>
        <v>5.0300000000000004E-2</v>
      </c>
      <c r="Q47" s="1629">
        <f t="shared" si="122"/>
        <v>4.2099999999999999E-2</v>
      </c>
      <c r="R47" s="1630"/>
      <c r="S47" s="1628"/>
      <c r="T47" s="1629"/>
      <c r="U47" s="1629"/>
      <c r="V47" s="1629"/>
    </row>
    <row r="48" spans="1:32">
      <c r="A48" s="1623" t="s">
        <v>1656</v>
      </c>
      <c r="B48" s="1624">
        <f t="shared" si="132"/>
        <v>242.95398227588385</v>
      </c>
      <c r="C48" s="1624">
        <f t="shared" si="132"/>
        <v>199.59137053614126</v>
      </c>
      <c r="D48" s="1624">
        <f t="shared" si="120"/>
        <v>199.59137053614126</v>
      </c>
      <c r="E48" s="1624">
        <f t="shared" si="133"/>
        <v>335.92189522342125</v>
      </c>
      <c r="F48" s="1624">
        <f t="shared" si="133"/>
        <v>183.10139991109489</v>
      </c>
      <c r="G48" s="1876">
        <v>2010</v>
      </c>
      <c r="H48" s="1639">
        <v>2</v>
      </c>
      <c r="I48" s="1639">
        <v>4.6900000000000004</v>
      </c>
      <c r="J48" s="1639">
        <v>3.55</v>
      </c>
      <c r="K48" s="1639">
        <v>5.07</v>
      </c>
      <c r="L48" s="1646">
        <v>4.2300000000000004</v>
      </c>
      <c r="N48" s="1628">
        <f t="shared" si="122"/>
        <v>4.6900000000000004E-2</v>
      </c>
      <c r="O48" s="1629">
        <f t="shared" si="122"/>
        <v>3.5499999999999997E-2</v>
      </c>
      <c r="P48" s="1629">
        <f t="shared" si="122"/>
        <v>5.0700000000000002E-2</v>
      </c>
      <c r="Q48" s="1629">
        <f t="shared" si="122"/>
        <v>4.2300000000000004E-2</v>
      </c>
      <c r="R48" s="1630"/>
      <c r="S48" s="1628"/>
      <c r="T48" s="1629"/>
      <c r="U48" s="1629"/>
      <c r="V48" s="1629"/>
    </row>
    <row r="49" spans="1:32" ht="13.5" thickBot="1">
      <c r="A49" s="1623" t="s">
        <v>1657</v>
      </c>
      <c r="B49" s="1624">
        <f t="shared" si="132"/>
        <v>232.06990378821649</v>
      </c>
      <c r="C49" s="1624">
        <f t="shared" si="132"/>
        <v>192.74878854286936</v>
      </c>
      <c r="D49" s="1624">
        <f t="shared" si="120"/>
        <v>192.74878854286936</v>
      </c>
      <c r="E49" s="1624">
        <f t="shared" si="133"/>
        <v>319.71247284992984</v>
      </c>
      <c r="F49" s="1624">
        <f t="shared" si="133"/>
        <v>175.67053622862409</v>
      </c>
      <c r="G49" s="1877">
        <v>2010</v>
      </c>
      <c r="H49" s="1626">
        <v>1</v>
      </c>
      <c r="I49" s="1626">
        <v>5.4</v>
      </c>
      <c r="J49" s="1626">
        <v>3.2</v>
      </c>
      <c r="K49" s="1626">
        <v>6.16</v>
      </c>
      <c r="L49" s="1645">
        <v>4.51</v>
      </c>
      <c r="N49" s="1628">
        <f t="shared" si="122"/>
        <v>5.4000000000000006E-2</v>
      </c>
      <c r="O49" s="1629">
        <f t="shared" si="122"/>
        <v>3.2000000000000001E-2</v>
      </c>
      <c r="P49" s="1629">
        <f t="shared" si="122"/>
        <v>6.1600000000000002E-2</v>
      </c>
      <c r="Q49" s="1629">
        <f t="shared" si="122"/>
        <v>4.5100000000000001E-2</v>
      </c>
      <c r="R49" s="1630"/>
      <c r="S49" s="1631">
        <f>B49/B50-1</f>
        <v>5.4863199037347599E-2</v>
      </c>
      <c r="T49" s="1632">
        <f>C49/C50-1</f>
        <v>3.0742184721226584E-2</v>
      </c>
      <c r="U49" s="1632">
        <f>E49/E50-1</f>
        <v>6.2167683886810154E-2</v>
      </c>
      <c r="V49" s="1632">
        <f>F49/F50-1</f>
        <v>4.5657953741810031E-2</v>
      </c>
      <c r="AC49" s="1629"/>
      <c r="AD49" s="1629"/>
      <c r="AE49" s="1629"/>
      <c r="AF49" s="1629"/>
    </row>
    <row r="50" spans="1:32" ht="13.5" thickBot="1">
      <c r="A50" s="1623" t="s">
        <v>1658</v>
      </c>
      <c r="B50" s="1643">
        <v>220</v>
      </c>
      <c r="C50" s="1643">
        <v>187</v>
      </c>
      <c r="D50" s="1643">
        <f t="shared" si="120"/>
        <v>187</v>
      </c>
      <c r="E50" s="1643">
        <v>301</v>
      </c>
      <c r="F50" s="1644">
        <v>168</v>
      </c>
      <c r="G50" s="1875">
        <v>2009</v>
      </c>
      <c r="H50" s="1647">
        <v>4</v>
      </c>
      <c r="I50" s="1647">
        <v>2.2999999999999998</v>
      </c>
      <c r="J50" s="1647">
        <v>1.04</v>
      </c>
      <c r="K50" s="1647">
        <v>2.84</v>
      </c>
      <c r="L50" s="1648">
        <v>0.67</v>
      </c>
      <c r="N50" s="1649">
        <f t="shared" si="122"/>
        <v>2.3E-2</v>
      </c>
      <c r="O50" s="1650">
        <f t="shared" si="122"/>
        <v>1.04E-2</v>
      </c>
      <c r="P50" s="1650">
        <f t="shared" si="122"/>
        <v>2.8399999999999998E-2</v>
      </c>
      <c r="Q50" s="1650">
        <f t="shared" si="122"/>
        <v>6.7000000000000002E-3</v>
      </c>
      <c r="R50" s="1630"/>
      <c r="S50" s="1638"/>
      <c r="T50" s="1633"/>
      <c r="U50" s="1633"/>
      <c r="V50" s="1633"/>
      <c r="AC50" s="1633"/>
      <c r="AD50" s="1633"/>
      <c r="AE50" s="1633"/>
      <c r="AF50" s="1633"/>
    </row>
    <row r="51" spans="1:32">
      <c r="A51" s="1623" t="s">
        <v>1659</v>
      </c>
      <c r="B51" s="1624">
        <f t="shared" ref="B51:C53" si="134">B50/(1+N50)</f>
        <v>215.05376344086022</v>
      </c>
      <c r="C51" s="1624">
        <f t="shared" si="134"/>
        <v>185.0752177355503</v>
      </c>
      <c r="D51" s="1624">
        <f t="shared" si="120"/>
        <v>185.0752177355503</v>
      </c>
      <c r="E51" s="1624">
        <f t="shared" ref="E51:F53" si="135">E50/(1+P50)</f>
        <v>292.68767016725008</v>
      </c>
      <c r="F51" s="1624">
        <f t="shared" si="135"/>
        <v>166.88189132810174</v>
      </c>
      <c r="G51" s="1876">
        <v>2009</v>
      </c>
      <c r="H51" s="1652">
        <v>3</v>
      </c>
      <c r="I51" s="1652">
        <v>2.1</v>
      </c>
      <c r="J51" s="1652">
        <v>1.86</v>
      </c>
      <c r="K51" s="1652">
        <v>2.29</v>
      </c>
      <c r="L51" s="1653">
        <v>0.85</v>
      </c>
      <c r="N51" s="1628">
        <f t="shared" si="122"/>
        <v>2.1000000000000001E-2</v>
      </c>
      <c r="O51" s="1654">
        <f t="shared" si="122"/>
        <v>1.8600000000000002E-2</v>
      </c>
      <c r="P51" s="1654">
        <f t="shared" si="122"/>
        <v>2.29E-2</v>
      </c>
      <c r="Q51" s="1654">
        <f t="shared" si="122"/>
        <v>8.5000000000000006E-3</v>
      </c>
      <c r="R51" s="1630"/>
      <c r="S51" s="1628"/>
      <c r="T51" s="1629"/>
      <c r="U51" s="1629"/>
      <c r="V51" s="1629"/>
    </row>
    <row r="52" spans="1:32">
      <c r="A52" s="1623" t="s">
        <v>1660</v>
      </c>
      <c r="B52" s="1624">
        <f t="shared" si="134"/>
        <v>210.630522469011</v>
      </c>
      <c r="C52" s="1624">
        <f t="shared" si="134"/>
        <v>181.69567812247232</v>
      </c>
      <c r="D52" s="1624">
        <f t="shared" si="120"/>
        <v>181.69567812247232</v>
      </c>
      <c r="E52" s="1624">
        <f t="shared" si="135"/>
        <v>286.13517466736738</v>
      </c>
      <c r="F52" s="1624">
        <f t="shared" si="135"/>
        <v>165.47535084591149</v>
      </c>
      <c r="G52" s="1876">
        <v>2009</v>
      </c>
      <c r="H52" s="1639">
        <v>2</v>
      </c>
      <c r="I52" s="1639">
        <v>0.86</v>
      </c>
      <c r="J52" s="1639">
        <v>-1.1299999999999999</v>
      </c>
      <c r="K52" s="1639">
        <v>1.79</v>
      </c>
      <c r="L52" s="1646">
        <v>-2.0699999999999998</v>
      </c>
      <c r="N52" s="1628">
        <f t="shared" si="122"/>
        <v>8.6E-3</v>
      </c>
      <c r="O52" s="1654">
        <f t="shared" si="122"/>
        <v>-1.1299999999999999E-2</v>
      </c>
      <c r="P52" s="1654">
        <f t="shared" si="122"/>
        <v>1.7899999999999999E-2</v>
      </c>
      <c r="Q52" s="1654">
        <f t="shared" si="122"/>
        <v>-2.07E-2</v>
      </c>
      <c r="R52" s="1630"/>
      <c r="S52" s="1628"/>
      <c r="T52" s="1629"/>
      <c r="U52" s="1629"/>
      <c r="V52" s="1629"/>
    </row>
    <row r="53" spans="1:32">
      <c r="A53" s="1623" t="s">
        <v>1661</v>
      </c>
      <c r="B53" s="1624">
        <f t="shared" si="134"/>
        <v>208.83454537875372</v>
      </c>
      <c r="C53" s="1624">
        <f t="shared" si="134"/>
        <v>183.77230517090351</v>
      </c>
      <c r="D53" s="1624">
        <f t="shared" si="120"/>
        <v>183.77230517090351</v>
      </c>
      <c r="E53" s="1624">
        <f t="shared" si="135"/>
        <v>281.10342338870947</v>
      </c>
      <c r="F53" s="1624">
        <f t="shared" si="135"/>
        <v>168.97309388942256</v>
      </c>
      <c r="G53" s="1877">
        <v>2009</v>
      </c>
      <c r="H53" s="1626">
        <v>1</v>
      </c>
      <c r="I53" s="1626">
        <v>-2.64</v>
      </c>
      <c r="J53" s="1626">
        <v>-2.5299999999999998</v>
      </c>
      <c r="K53" s="1626">
        <v>-3.02</v>
      </c>
      <c r="L53" s="1645">
        <v>1.52</v>
      </c>
      <c r="N53" s="1631">
        <f t="shared" si="122"/>
        <v>-2.64E-2</v>
      </c>
      <c r="O53" s="1632">
        <f t="shared" si="122"/>
        <v>-2.53E-2</v>
      </c>
      <c r="P53" s="1632">
        <f t="shared" si="122"/>
        <v>-3.0200000000000001E-2</v>
      </c>
      <c r="Q53" s="1632">
        <f t="shared" si="122"/>
        <v>1.52E-2</v>
      </c>
      <c r="R53" s="1630"/>
      <c r="S53" s="1631">
        <f>B53/B54-1</f>
        <v>-2.4137638417038754E-2</v>
      </c>
      <c r="T53" s="1632">
        <f>C53/C54-1</f>
        <v>-2.248773845264096E-2</v>
      </c>
      <c r="U53" s="1632">
        <f>E53/E54-1</f>
        <v>-2.7323794502735366E-2</v>
      </c>
      <c r="V53" s="1632">
        <f>F53/F54-1</f>
        <v>1.7910204153148035E-2</v>
      </c>
      <c r="AC53" s="1629"/>
      <c r="AD53" s="1629"/>
      <c r="AE53" s="1629"/>
      <c r="AF53" s="1629"/>
    </row>
    <row r="54" spans="1:32" ht="13.5" thickBot="1">
      <c r="A54" s="1623" t="s">
        <v>1662</v>
      </c>
      <c r="B54" s="1671">
        <v>214</v>
      </c>
      <c r="C54" s="1671">
        <v>188</v>
      </c>
      <c r="D54" s="1671">
        <f t="shared" si="120"/>
        <v>188</v>
      </c>
      <c r="E54" s="1671">
        <v>289</v>
      </c>
      <c r="F54" s="1672">
        <v>166</v>
      </c>
      <c r="G54" s="1875">
        <v>2008</v>
      </c>
      <c r="H54" s="1647">
        <v>4</v>
      </c>
      <c r="I54" s="1647">
        <v>1.73</v>
      </c>
      <c r="J54" s="1647">
        <v>0.03</v>
      </c>
      <c r="K54" s="1647">
        <v>2.59</v>
      </c>
      <c r="L54" s="1648">
        <v>-1.66</v>
      </c>
      <c r="N54" s="1628">
        <f t="shared" si="122"/>
        <v>1.7299999999999999E-2</v>
      </c>
      <c r="O54" s="1629">
        <f t="shared" si="122"/>
        <v>2.9999999999999997E-4</v>
      </c>
      <c r="P54" s="1629">
        <f t="shared" si="122"/>
        <v>2.5899999999999999E-2</v>
      </c>
      <c r="Q54" s="1629">
        <f t="shared" si="122"/>
        <v>-1.66E-2</v>
      </c>
      <c r="R54" s="1630"/>
      <c r="S54" s="1638"/>
      <c r="T54" s="1633"/>
      <c r="U54" s="1633"/>
      <c r="V54" s="1633"/>
      <c r="AC54" s="1633"/>
      <c r="AD54" s="1633"/>
      <c r="AE54" s="1633"/>
      <c r="AF54" s="1633"/>
    </row>
    <row r="55" spans="1:32">
      <c r="A55" s="1623" t="s">
        <v>1663</v>
      </c>
      <c r="B55" s="1624">
        <f t="shared" ref="B55:C57" si="136">B54/(1+N54)</f>
        <v>210.36075887152265</v>
      </c>
      <c r="C55" s="1624">
        <f t="shared" si="136"/>
        <v>187.94361691492554</v>
      </c>
      <c r="D55" s="1624">
        <f t="shared" si="120"/>
        <v>187.94361691492554</v>
      </c>
      <c r="E55" s="1624">
        <f t="shared" ref="E55:F57" si="137">E54/(1+P54)</f>
        <v>281.70386977288234</v>
      </c>
      <c r="F55" s="1624">
        <f t="shared" si="137"/>
        <v>168.80211511083994</v>
      </c>
      <c r="G55" s="1876">
        <v>2008</v>
      </c>
      <c r="H55" s="1652">
        <v>3</v>
      </c>
      <c r="I55" s="1652">
        <v>1.96</v>
      </c>
      <c r="J55" s="1652">
        <v>2.36</v>
      </c>
      <c r="K55" s="1652">
        <v>1.82</v>
      </c>
      <c r="L55" s="1653">
        <v>2.2200000000000002</v>
      </c>
      <c r="N55" s="1628">
        <f t="shared" si="122"/>
        <v>1.9599999999999999E-2</v>
      </c>
      <c r="O55" s="1629">
        <f t="shared" si="122"/>
        <v>2.3599999999999999E-2</v>
      </c>
      <c r="P55" s="1629">
        <f t="shared" si="122"/>
        <v>1.8200000000000001E-2</v>
      </c>
      <c r="Q55" s="1629">
        <f t="shared" si="122"/>
        <v>2.2200000000000001E-2</v>
      </c>
      <c r="R55" s="1630"/>
      <c r="S55" s="1628"/>
      <c r="T55" s="1629"/>
      <c r="U55" s="1629"/>
      <c r="V55" s="1629"/>
    </row>
    <row r="56" spans="1:32">
      <c r="A56" s="1623" t="s">
        <v>1664</v>
      </c>
      <c r="B56" s="1624">
        <f t="shared" si="136"/>
        <v>206.31694671589116</v>
      </c>
      <c r="C56" s="1624">
        <f t="shared" si="136"/>
        <v>183.61041121036101</v>
      </c>
      <c r="D56" s="1624">
        <f t="shared" si="120"/>
        <v>183.61041121036101</v>
      </c>
      <c r="E56" s="1624">
        <f t="shared" si="137"/>
        <v>276.66850301795557</v>
      </c>
      <c r="F56" s="1624">
        <f t="shared" si="137"/>
        <v>165.1360938278614</v>
      </c>
      <c r="G56" s="1876">
        <v>2008</v>
      </c>
      <c r="H56" s="1639">
        <v>2</v>
      </c>
      <c r="I56" s="1639">
        <v>4.93</v>
      </c>
      <c r="J56" s="1639">
        <v>7.38</v>
      </c>
      <c r="K56" s="1639">
        <v>3.98</v>
      </c>
      <c r="L56" s="1646">
        <v>6.86</v>
      </c>
      <c r="N56" s="1628">
        <f t="shared" si="122"/>
        <v>4.9299999999999997E-2</v>
      </c>
      <c r="O56" s="1629">
        <f t="shared" si="122"/>
        <v>7.3800000000000004E-2</v>
      </c>
      <c r="P56" s="1629">
        <f t="shared" si="122"/>
        <v>3.9800000000000002E-2</v>
      </c>
      <c r="Q56" s="1629">
        <f t="shared" si="122"/>
        <v>6.8600000000000008E-2</v>
      </c>
      <c r="R56" s="1630"/>
      <c r="S56" s="1628"/>
      <c r="T56" s="1629"/>
      <c r="U56" s="1629"/>
      <c r="V56" s="1629"/>
    </row>
    <row r="57" spans="1:32" s="1677" customFormat="1" ht="13.5" thickBot="1">
      <c r="A57" s="1623" t="s">
        <v>1665</v>
      </c>
      <c r="B57" s="1674">
        <f t="shared" si="136"/>
        <v>196.62341248059772</v>
      </c>
      <c r="C57" s="1674">
        <f t="shared" si="136"/>
        <v>170.99125648199012</v>
      </c>
      <c r="D57" s="1674">
        <f t="shared" si="120"/>
        <v>170.99125648199012</v>
      </c>
      <c r="E57" s="1674">
        <f t="shared" si="137"/>
        <v>266.07857570490052</v>
      </c>
      <c r="F57" s="1674">
        <f t="shared" si="137"/>
        <v>154.53499328828505</v>
      </c>
      <c r="G57" s="1877">
        <v>2008</v>
      </c>
      <c r="H57" s="1675">
        <v>1</v>
      </c>
      <c r="I57" s="1675">
        <v>4.1399999999999997</v>
      </c>
      <c r="J57" s="1675">
        <v>3.45</v>
      </c>
      <c r="K57" s="1675">
        <v>4.95</v>
      </c>
      <c r="L57" s="1676">
        <v>4.82</v>
      </c>
      <c r="N57" s="1678">
        <f t="shared" si="122"/>
        <v>4.1399999999999999E-2</v>
      </c>
      <c r="O57" s="1679">
        <f t="shared" si="122"/>
        <v>3.4500000000000003E-2</v>
      </c>
      <c r="P57" s="1679">
        <f t="shared" si="122"/>
        <v>4.9500000000000002E-2</v>
      </c>
      <c r="Q57" s="1679">
        <f t="shared" si="122"/>
        <v>4.82E-2</v>
      </c>
      <c r="R57" s="1680"/>
      <c r="S57" s="1678">
        <f>B57/B58-1</f>
        <v>4.5869215322328349E-2</v>
      </c>
      <c r="T57" s="1679">
        <f>C57/C58-1</f>
        <v>3.6310645345394743E-2</v>
      </c>
      <c r="U57" s="1679">
        <f>E57/E58-1</f>
        <v>4.7553447657088688E-2</v>
      </c>
      <c r="V57" s="1679">
        <f>F57/F58-1</f>
        <v>4.4155360055980086E-2</v>
      </c>
      <c r="AC57" s="1679"/>
      <c r="AD57" s="1679"/>
      <c r="AE57" s="1679"/>
      <c r="AF57" s="1679"/>
    </row>
    <row r="58" spans="1:32" ht="13.5" thickBot="1">
      <c r="A58" s="1623" t="s">
        <v>1666</v>
      </c>
      <c r="B58" s="1643">
        <v>188</v>
      </c>
      <c r="C58" s="1643">
        <v>165</v>
      </c>
      <c r="D58" s="1643">
        <f t="shared" si="120"/>
        <v>165</v>
      </c>
      <c r="E58" s="1643">
        <v>254</v>
      </c>
      <c r="F58" s="1644">
        <v>148</v>
      </c>
      <c r="G58" s="1875">
        <v>2007</v>
      </c>
      <c r="H58" s="1681">
        <v>4</v>
      </c>
      <c r="I58" s="1681">
        <v>5.51</v>
      </c>
      <c r="J58" s="1681">
        <v>4.8899999999999997</v>
      </c>
      <c r="K58" s="1681">
        <v>6.43</v>
      </c>
      <c r="L58" s="1682">
        <v>5.36</v>
      </c>
      <c r="N58" s="1683">
        <f t="shared" ref="N58:O61" si="138">B58/B59-1</f>
        <v>4.1339718365245526E-2</v>
      </c>
      <c r="O58" s="1684">
        <f t="shared" si="138"/>
        <v>4.0324492593776018E-2</v>
      </c>
      <c r="P58" s="1684">
        <f t="shared" ref="P58:Q61" si="139">E58/E59-1</f>
        <v>6.1625555347990968E-2</v>
      </c>
      <c r="Q58" s="1684">
        <f t="shared" si="139"/>
        <v>4.6757569250590603E-2</v>
      </c>
      <c r="R58" s="1630"/>
      <c r="S58" s="1638"/>
      <c r="T58" s="1633"/>
      <c r="U58" s="1633"/>
      <c r="V58" s="1633"/>
      <c r="AC58" s="1633"/>
      <c r="AD58" s="1633"/>
      <c r="AE58" s="1633"/>
      <c r="AF58" s="1633"/>
    </row>
    <row r="59" spans="1:32">
      <c r="A59" s="1623" t="s">
        <v>1667</v>
      </c>
      <c r="B59" s="1624">
        <f t="shared" ref="B59:C61" si="140">B60+(B$58-B$62)*I59/SUM(I$58:I$61)</f>
        <v>180.5366651097618</v>
      </c>
      <c r="C59" s="1624">
        <f t="shared" si="140"/>
        <v>158.60435967302453</v>
      </c>
      <c r="D59" s="1624">
        <f t="shared" si="120"/>
        <v>158.60435967302453</v>
      </c>
      <c r="E59" s="1624">
        <f t="shared" ref="E59:F61" si="141">E60+(E$58-E$62)*K59/SUM(K$58:K$61)</f>
        <v>239.25573260785075</v>
      </c>
      <c r="F59" s="1624">
        <f t="shared" si="141"/>
        <v>141.38899430740037</v>
      </c>
      <c r="G59" s="1876">
        <v>2007</v>
      </c>
      <c r="H59" s="1652">
        <v>3</v>
      </c>
      <c r="I59" s="1652">
        <v>8.65</v>
      </c>
      <c r="J59" s="1652">
        <v>8.06</v>
      </c>
      <c r="K59" s="1652">
        <v>9.94</v>
      </c>
      <c r="L59" s="1653">
        <v>5.8</v>
      </c>
      <c r="N59" s="1683">
        <f t="shared" si="138"/>
        <v>6.940217571740015E-2</v>
      </c>
      <c r="O59" s="1684">
        <f t="shared" si="138"/>
        <v>7.1197482471153428E-2</v>
      </c>
      <c r="P59" s="1684">
        <f t="shared" si="139"/>
        <v>0.10529679922579582</v>
      </c>
      <c r="Q59" s="1684">
        <f t="shared" si="139"/>
        <v>5.3292245059512133E-2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1668</v>
      </c>
      <c r="B60" s="1624">
        <f t="shared" si="140"/>
        <v>168.82017748715555</v>
      </c>
      <c r="C60" s="1624">
        <f t="shared" si="140"/>
        <v>148.06267029972753</v>
      </c>
      <c r="D60" s="1624">
        <f t="shared" si="120"/>
        <v>148.06267029972753</v>
      </c>
      <c r="E60" s="1624">
        <f t="shared" si="141"/>
        <v>216.46288379323747</v>
      </c>
      <c r="F60" s="1624">
        <f t="shared" si="141"/>
        <v>134.23529411764704</v>
      </c>
      <c r="G60" s="1876">
        <v>2007</v>
      </c>
      <c r="H60" s="1639">
        <v>2</v>
      </c>
      <c r="I60" s="1639">
        <v>3.67</v>
      </c>
      <c r="J60" s="1639">
        <v>2.3199999999999998</v>
      </c>
      <c r="K60" s="1639">
        <v>5.0199999999999996</v>
      </c>
      <c r="L60" s="1646">
        <v>6.71</v>
      </c>
      <c r="N60" s="1683">
        <f t="shared" si="138"/>
        <v>3.0339138143848032E-2</v>
      </c>
      <c r="O60" s="1684">
        <f t="shared" si="138"/>
        <v>2.0922341588790472E-2</v>
      </c>
      <c r="P60" s="1684">
        <f t="shared" si="139"/>
        <v>5.6164796592717003E-2</v>
      </c>
      <c r="Q60" s="1684">
        <f t="shared" si="139"/>
        <v>6.5704536723887319E-2</v>
      </c>
      <c r="R60" s="1630"/>
      <c r="S60" s="1628"/>
      <c r="T60" s="1629"/>
      <c r="U60" s="1629"/>
      <c r="V60" s="1629"/>
      <c r="AC60" s="1685"/>
      <c r="AD60" s="1685"/>
      <c r="AE60" s="1685"/>
      <c r="AF60" s="1685"/>
    </row>
    <row r="61" spans="1:32">
      <c r="A61" s="1623" t="s">
        <v>1669</v>
      </c>
      <c r="B61" s="1624">
        <f t="shared" si="140"/>
        <v>163.84913591779542</v>
      </c>
      <c r="C61" s="1624">
        <f t="shared" si="140"/>
        <v>145.0283378746594</v>
      </c>
      <c r="D61" s="1624">
        <f t="shared" si="120"/>
        <v>145.0283378746594</v>
      </c>
      <c r="E61" s="1624">
        <f t="shared" si="141"/>
        <v>204.95180722891567</v>
      </c>
      <c r="F61" s="1624">
        <f t="shared" si="141"/>
        <v>125.95920303605313</v>
      </c>
      <c r="G61" s="1877">
        <v>2007</v>
      </c>
      <c r="H61" s="1626">
        <v>1</v>
      </c>
      <c r="I61" s="1626">
        <v>3.58</v>
      </c>
      <c r="J61" s="1626">
        <v>3.08</v>
      </c>
      <c r="K61" s="1626">
        <v>4.34</v>
      </c>
      <c r="L61" s="1645">
        <v>3.21</v>
      </c>
      <c r="N61" s="1686">
        <f t="shared" si="138"/>
        <v>3.0497710174814063E-2</v>
      </c>
      <c r="O61" s="1687">
        <f t="shared" si="138"/>
        <v>2.8569772160704998E-2</v>
      </c>
      <c r="P61" s="1687">
        <f t="shared" si="139"/>
        <v>5.1034908866234296E-2</v>
      </c>
      <c r="Q61" s="1687">
        <f t="shared" si="139"/>
        <v>3.245248390207478E-2</v>
      </c>
      <c r="R61" s="1630"/>
      <c r="S61" s="1631">
        <f>B61/B62-1</f>
        <v>3.0497710174814063E-2</v>
      </c>
      <c r="T61" s="1632">
        <f>C61/C62-1</f>
        <v>2.8569772160704998E-2</v>
      </c>
      <c r="U61" s="1632">
        <f>E61/E62-1</f>
        <v>5.1034908866234296E-2</v>
      </c>
      <c r="V61" s="1632">
        <f>F61/F62-1</f>
        <v>3.245248390207478E-2</v>
      </c>
      <c r="AC61" s="1685"/>
      <c r="AD61" s="1685"/>
      <c r="AE61" s="1685"/>
      <c r="AF61" s="1685"/>
    </row>
    <row r="62" spans="1:32" ht="13.5" thickBot="1">
      <c r="A62" s="1623" t="s">
        <v>1670</v>
      </c>
      <c r="B62" s="1655">
        <v>159</v>
      </c>
      <c r="C62" s="1655">
        <v>141</v>
      </c>
      <c r="D62" s="1655">
        <f t="shared" si="120"/>
        <v>141</v>
      </c>
      <c r="E62" s="1655">
        <v>195</v>
      </c>
      <c r="F62" s="1656">
        <v>122</v>
      </c>
      <c r="G62" s="1875">
        <v>2006</v>
      </c>
      <c r="H62" s="1647">
        <v>4</v>
      </c>
      <c r="I62" s="1647">
        <v>3.79</v>
      </c>
      <c r="J62" s="1647">
        <v>2.21</v>
      </c>
      <c r="K62" s="1647">
        <v>5.65</v>
      </c>
      <c r="L62" s="1648">
        <v>5.41</v>
      </c>
      <c r="N62" s="1683">
        <f t="shared" ref="N62:O65" si="142">I62/SUM(I$62:I$65)*(B$62/B$66-1)</f>
        <v>7.245466462748526E-2</v>
      </c>
      <c r="O62" s="1684">
        <f t="shared" si="142"/>
        <v>2.3237230038062766E-2</v>
      </c>
      <c r="P62" s="1684">
        <f t="shared" ref="P62:Q65" si="143">K62/SUM(K$62:K$65)*(E$62/E$66-1)</f>
        <v>0.16146893866323722</v>
      </c>
      <c r="Q62" s="1684">
        <f t="shared" si="143"/>
        <v>5.0755230321793784E-2</v>
      </c>
      <c r="R62" s="1630"/>
      <c r="S62" s="1638"/>
      <c r="T62" s="1633"/>
      <c r="U62" s="1633"/>
      <c r="V62" s="1633"/>
      <c r="AC62" s="1685"/>
      <c r="AD62" s="1685"/>
      <c r="AE62" s="1685"/>
      <c r="AF62" s="1685"/>
    </row>
    <row r="63" spans="1:32">
      <c r="A63" s="1623" t="s">
        <v>1671</v>
      </c>
      <c r="B63" s="1624">
        <f t="shared" ref="B63:C65" si="144">B64+(B$62-B$66)*I63/SUM(I$62:I$65)</f>
        <v>149.00125628140702</v>
      </c>
      <c r="C63" s="1624">
        <f t="shared" si="144"/>
        <v>137.95592286501378</v>
      </c>
      <c r="D63" s="1624">
        <f t="shared" si="120"/>
        <v>137.95592286501378</v>
      </c>
      <c r="E63" s="1624">
        <f t="shared" ref="E63:F65" si="145">E64+(E$62-E$66)*K63/SUM(K$62:K$65)</f>
        <v>169.97231450719823</v>
      </c>
      <c r="F63" s="1624">
        <f t="shared" si="145"/>
        <v>116.21390374331551</v>
      </c>
      <c r="G63" s="1876">
        <v>2006</v>
      </c>
      <c r="H63" s="1652">
        <v>3</v>
      </c>
      <c r="I63" s="1652">
        <v>0.92</v>
      </c>
      <c r="J63" s="1652">
        <v>1.08</v>
      </c>
      <c r="K63" s="1652">
        <v>0.73</v>
      </c>
      <c r="L63" s="1653">
        <v>1.08</v>
      </c>
      <c r="N63" s="1683">
        <f t="shared" si="142"/>
        <v>1.7587939698492462E-2</v>
      </c>
      <c r="O63" s="1684">
        <f t="shared" si="142"/>
        <v>1.1355750425840628E-2</v>
      </c>
      <c r="P63" s="1684">
        <f t="shared" si="143"/>
        <v>2.0862358446754544E-2</v>
      </c>
      <c r="Q63" s="1684">
        <f t="shared" si="143"/>
        <v>1.0132282578103011E-2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1672</v>
      </c>
      <c r="B64" s="1624">
        <f t="shared" si="144"/>
        <v>146.57412060301507</v>
      </c>
      <c r="C64" s="1624">
        <f t="shared" si="144"/>
        <v>136.46831955922866</v>
      </c>
      <c r="D64" s="1624">
        <f t="shared" si="120"/>
        <v>136.46831955922866</v>
      </c>
      <c r="E64" s="1624">
        <f t="shared" si="145"/>
        <v>166.73864894795128</v>
      </c>
      <c r="F64" s="1624">
        <f t="shared" si="145"/>
        <v>115.05882352941177</v>
      </c>
      <c r="G64" s="1876">
        <v>2006</v>
      </c>
      <c r="H64" s="1639">
        <v>2</v>
      </c>
      <c r="I64" s="1639">
        <v>0.96</v>
      </c>
      <c r="J64" s="1639">
        <v>0.25</v>
      </c>
      <c r="K64" s="1639">
        <v>1.9</v>
      </c>
      <c r="L64" s="1646">
        <v>0.95</v>
      </c>
      <c r="N64" s="1683">
        <f t="shared" si="142"/>
        <v>1.8352632728861701E-2</v>
      </c>
      <c r="O64" s="1684">
        <f t="shared" si="142"/>
        <v>2.6286459319075526E-3</v>
      </c>
      <c r="P64" s="1684">
        <f t="shared" si="143"/>
        <v>5.4299289107991269E-2</v>
      </c>
      <c r="Q64" s="1684">
        <f t="shared" si="143"/>
        <v>8.9126559714794995E-3</v>
      </c>
      <c r="R64" s="1630"/>
      <c r="S64" s="1628"/>
      <c r="T64" s="1629"/>
      <c r="U64" s="1629"/>
      <c r="V64" s="1629"/>
      <c r="AC64" s="1685"/>
      <c r="AD64" s="1685"/>
      <c r="AE64" s="1685"/>
      <c r="AF64" s="1685"/>
    </row>
    <row r="65" spans="1:32">
      <c r="A65" s="1623" t="s">
        <v>1673</v>
      </c>
      <c r="B65" s="1624">
        <f t="shared" si="144"/>
        <v>144.04145728643215</v>
      </c>
      <c r="C65" s="1624">
        <f t="shared" si="144"/>
        <v>136.12396694214877</v>
      </c>
      <c r="D65" s="1624">
        <f t="shared" si="120"/>
        <v>136.12396694214877</v>
      </c>
      <c r="E65" s="1624">
        <f t="shared" si="145"/>
        <v>158.32225913621264</v>
      </c>
      <c r="F65" s="1624">
        <f t="shared" si="145"/>
        <v>114.04278074866311</v>
      </c>
      <c r="G65" s="1877">
        <v>2006</v>
      </c>
      <c r="H65" s="1626">
        <v>1</v>
      </c>
      <c r="I65" s="1626">
        <v>2.29</v>
      </c>
      <c r="J65" s="1626">
        <v>3.72</v>
      </c>
      <c r="K65" s="1626">
        <v>0.75</v>
      </c>
      <c r="L65" s="1645">
        <v>0.04</v>
      </c>
      <c r="N65" s="1686">
        <f t="shared" si="142"/>
        <v>4.3778675988638847E-2</v>
      </c>
      <c r="O65" s="1687">
        <f t="shared" si="142"/>
        <v>3.9114251466784385E-2</v>
      </c>
      <c r="P65" s="1687">
        <f t="shared" si="143"/>
        <v>2.1433929911049188E-2</v>
      </c>
      <c r="Q65" s="1687">
        <f t="shared" si="143"/>
        <v>3.7526972511492629E-4</v>
      </c>
      <c r="R65" s="1630"/>
      <c r="S65" s="1631">
        <f>B65/B66-1</f>
        <v>4.3778675988638716E-2</v>
      </c>
      <c r="T65" s="1632">
        <f>C65/C66-1</f>
        <v>3.91142514667846E-2</v>
      </c>
      <c r="U65" s="1632">
        <f>E65/E66-1</f>
        <v>2.143392991104931E-2</v>
      </c>
      <c r="V65" s="1632">
        <f>F65/F66-1</f>
        <v>3.7526972511492396E-4</v>
      </c>
      <c r="AC65" s="1685"/>
      <c r="AD65" s="1685"/>
      <c r="AE65" s="1685"/>
      <c r="AF65" s="1685"/>
    </row>
    <row r="66" spans="1:32" ht="13.5" thickBot="1">
      <c r="A66" s="1623" t="s">
        <v>1674</v>
      </c>
      <c r="B66" s="1655">
        <v>138</v>
      </c>
      <c r="C66" s="1655">
        <v>131</v>
      </c>
      <c r="D66" s="1655">
        <f t="shared" si="120"/>
        <v>131</v>
      </c>
      <c r="E66" s="1655">
        <v>155</v>
      </c>
      <c r="F66" s="1656">
        <v>114</v>
      </c>
      <c r="G66" s="1875">
        <v>2005</v>
      </c>
      <c r="H66" s="1647">
        <v>4</v>
      </c>
      <c r="I66" s="1647">
        <v>3.29</v>
      </c>
      <c r="J66" s="1647">
        <v>1.44</v>
      </c>
      <c r="K66" s="1647">
        <v>0.66</v>
      </c>
      <c r="L66" s="1648">
        <v>7.78</v>
      </c>
      <c r="N66" s="1683">
        <f t="shared" ref="N66:O69" si="146">I66/SUM(I$66:I$69)*(B$66/B$70-1)</f>
        <v>9.9404603216919935E-2</v>
      </c>
      <c r="O66" s="1684">
        <f t="shared" si="146"/>
        <v>4.7636550760861554E-2</v>
      </c>
      <c r="P66" s="1684">
        <f t="shared" ref="P66:Q69" si="147">K66/SUM(K$66:K$69)*(E$66/E$70-1)</f>
        <v>8.3756345177664976E-2</v>
      </c>
      <c r="Q66" s="1684">
        <f t="shared" si="147"/>
        <v>5.2148766661559584E-2</v>
      </c>
      <c r="R66" s="1630"/>
      <c r="S66" s="1638"/>
      <c r="T66" s="1633"/>
      <c r="U66" s="1633"/>
      <c r="V66" s="1633"/>
      <c r="AC66" s="1685"/>
      <c r="AD66" s="1685"/>
      <c r="AE66" s="1685"/>
      <c r="AF66" s="1685"/>
    </row>
    <row r="67" spans="1:32">
      <c r="A67" s="1623" t="s">
        <v>1675</v>
      </c>
      <c r="B67" s="1624">
        <f t="shared" ref="B67:C69" si="148">B68+(B$66-B$70)*I67/SUM(I$66:I$69)</f>
        <v>125.9720430107527</v>
      </c>
      <c r="C67" s="1624">
        <f t="shared" si="148"/>
        <v>125.1883408071749</v>
      </c>
      <c r="D67" s="1624">
        <f t="shared" si="120"/>
        <v>125.1883408071749</v>
      </c>
      <c r="E67" s="1624">
        <f t="shared" ref="E67:F69" si="149">E68+(E$66-E$70)*K67/SUM(K$66:K$69)</f>
        <v>144.61421319796952</v>
      </c>
      <c r="F67" s="1624">
        <f t="shared" si="149"/>
        <v>108.42008196721311</v>
      </c>
      <c r="G67" s="1876">
        <v>2005</v>
      </c>
      <c r="H67" s="1652">
        <v>3</v>
      </c>
      <c r="I67" s="1652">
        <v>0.46</v>
      </c>
      <c r="J67" s="1652">
        <v>0.32</v>
      </c>
      <c r="K67" s="1652">
        <v>0.42</v>
      </c>
      <c r="L67" s="1653">
        <v>0.64</v>
      </c>
      <c r="N67" s="1683">
        <f t="shared" si="146"/>
        <v>1.3898515951301874E-2</v>
      </c>
      <c r="O67" s="1684">
        <f t="shared" si="146"/>
        <v>1.0585900169080346E-2</v>
      </c>
      <c r="P67" s="1684">
        <f t="shared" si="147"/>
        <v>5.3299492385786795E-2</v>
      </c>
      <c r="Q67" s="1684">
        <f t="shared" si="147"/>
        <v>4.2898728359123568E-3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1676</v>
      </c>
      <c r="B68" s="1624">
        <f t="shared" si="148"/>
        <v>124.29032258064517</v>
      </c>
      <c r="C68" s="1624">
        <f t="shared" si="148"/>
        <v>123.8968609865471</v>
      </c>
      <c r="D68" s="1624">
        <f t="shared" si="120"/>
        <v>123.8968609865471</v>
      </c>
      <c r="E68" s="1624">
        <f t="shared" si="149"/>
        <v>138.00507614213197</v>
      </c>
      <c r="F68" s="1624">
        <f t="shared" si="149"/>
        <v>107.96106557377048</v>
      </c>
      <c r="G68" s="1876">
        <v>2005</v>
      </c>
      <c r="H68" s="1639">
        <v>2</v>
      </c>
      <c r="I68" s="1639">
        <v>0.47</v>
      </c>
      <c r="J68" s="1639">
        <v>0.1</v>
      </c>
      <c r="K68" s="1639">
        <v>0.52</v>
      </c>
      <c r="L68" s="1646">
        <v>0.79</v>
      </c>
      <c r="N68" s="1683">
        <f t="shared" si="146"/>
        <v>1.420065760241713E-2</v>
      </c>
      <c r="O68" s="1684">
        <f t="shared" si="146"/>
        <v>3.3080938028376083E-3</v>
      </c>
      <c r="P68" s="1684">
        <f t="shared" si="147"/>
        <v>6.598984771573603E-2</v>
      </c>
      <c r="Q68" s="1684">
        <f t="shared" si="147"/>
        <v>5.2953117818293153E-3</v>
      </c>
      <c r="R68" s="1630"/>
      <c r="S68" s="1628"/>
      <c r="T68" s="1629"/>
      <c r="U68" s="1629"/>
      <c r="V68" s="1629"/>
      <c r="AC68" s="1685"/>
      <c r="AD68" s="1685"/>
      <c r="AE68" s="1685"/>
      <c r="AF68" s="1685"/>
    </row>
    <row r="69" spans="1:32">
      <c r="A69" s="1623" t="s">
        <v>1677</v>
      </c>
      <c r="B69" s="1624">
        <f t="shared" si="148"/>
        <v>122.57204301075269</v>
      </c>
      <c r="C69" s="1624">
        <f t="shared" si="148"/>
        <v>123.4932735426009</v>
      </c>
      <c r="D69" s="1624">
        <f t="shared" si="120"/>
        <v>123.4932735426009</v>
      </c>
      <c r="E69" s="1624">
        <f t="shared" si="149"/>
        <v>129.82233502538071</v>
      </c>
      <c r="F69" s="1624">
        <f t="shared" si="149"/>
        <v>107.39446721311475</v>
      </c>
      <c r="G69" s="1877">
        <v>2005</v>
      </c>
      <c r="H69" s="1626">
        <v>1</v>
      </c>
      <c r="I69" s="1626">
        <v>0.43</v>
      </c>
      <c r="J69" s="1626">
        <v>0.37</v>
      </c>
      <c r="K69" s="1626">
        <v>0.37</v>
      </c>
      <c r="L69" s="1645">
        <v>0.55000000000000004</v>
      </c>
      <c r="N69" s="1686">
        <f t="shared" si="146"/>
        <v>1.2992090997956099E-2</v>
      </c>
      <c r="O69" s="1687">
        <f t="shared" si="146"/>
        <v>1.2239947070499151E-2</v>
      </c>
      <c r="P69" s="1687">
        <f t="shared" si="147"/>
        <v>4.6954314720812178E-2</v>
      </c>
      <c r="Q69" s="1687">
        <f t="shared" si="147"/>
        <v>3.6866094683621815E-3</v>
      </c>
      <c r="R69" s="1630"/>
      <c r="S69" s="1631">
        <f>B69/B70-1</f>
        <v>1.2992090997956174E-2</v>
      </c>
      <c r="T69" s="1632">
        <f>C69/C70-1</f>
        <v>1.2239947070499246E-2</v>
      </c>
      <c r="U69" s="1632">
        <f>E69/E70-1</f>
        <v>4.695431472081224E-2</v>
      </c>
      <c r="V69" s="1632">
        <f>F69/F70-1</f>
        <v>3.6866094683620787E-3</v>
      </c>
      <c r="AC69" s="1685"/>
      <c r="AD69" s="1685"/>
      <c r="AE69" s="1685"/>
      <c r="AF69" s="1685"/>
    </row>
    <row r="70" spans="1:32" ht="13.5" thickBot="1">
      <c r="A70" s="1623" t="s">
        <v>1678</v>
      </c>
      <c r="B70" s="1671">
        <v>121</v>
      </c>
      <c r="C70" s="1671">
        <v>122</v>
      </c>
      <c r="D70" s="1671">
        <f t="shared" si="120"/>
        <v>122</v>
      </c>
      <c r="E70" s="1671">
        <v>124</v>
      </c>
      <c r="F70" s="1672">
        <v>107</v>
      </c>
      <c r="G70" s="1875">
        <v>2004</v>
      </c>
      <c r="H70" s="1647">
        <v>4</v>
      </c>
      <c r="I70" s="1647">
        <v>0.33</v>
      </c>
      <c r="J70" s="1647">
        <v>0.5</v>
      </c>
      <c r="K70" s="1647">
        <v>0.5</v>
      </c>
      <c r="L70" s="1648">
        <v>0</v>
      </c>
      <c r="N70" s="1683">
        <f t="shared" ref="N70:O73" si="150">I70/SUM(I$70:I$73)*(B$70/B$74-1)</f>
        <v>1.3391770148526898E-2</v>
      </c>
      <c r="O70" s="1684">
        <f t="shared" si="150"/>
        <v>1.063264221158958E-2</v>
      </c>
      <c r="P70" s="1684">
        <f t="shared" ref="P70:Q73" si="151">K70/SUM(K$70:K$73)*(E$70/E$74-1)</f>
        <v>2.2244466688911134E-2</v>
      </c>
      <c r="Q70" s="1684">
        <f t="shared" si="151"/>
        <v>0</v>
      </c>
      <c r="R70" s="1630"/>
      <c r="S70" s="1638"/>
      <c r="T70" s="1633"/>
      <c r="U70" s="1633"/>
      <c r="V70" s="1633"/>
      <c r="AC70" s="1685"/>
      <c r="AD70" s="1685"/>
      <c r="AE70" s="1685"/>
      <c r="AF70" s="1685"/>
    </row>
    <row r="71" spans="1:32">
      <c r="A71" s="1623" t="s">
        <v>1679</v>
      </c>
      <c r="B71" s="1624">
        <f t="shared" ref="B71:C73" si="152">B72+(B$70-B$74)*I71/SUM(I$70:I$73)</f>
        <v>119.51351351351352</v>
      </c>
      <c r="C71" s="1624">
        <f t="shared" si="152"/>
        <v>120.7878787878788</v>
      </c>
      <c r="D71" s="1624">
        <f t="shared" si="120"/>
        <v>120.7878787878788</v>
      </c>
      <c r="E71" s="1624">
        <f t="shared" ref="E71:F73" si="153">E72+(E$70-E$74)*K71/SUM(K$70:K$73)</f>
        <v>121.5975975975976</v>
      </c>
      <c r="F71" s="1624">
        <f t="shared" si="153"/>
        <v>107</v>
      </c>
      <c r="G71" s="1876">
        <v>2004</v>
      </c>
      <c r="H71" s="1652">
        <v>3</v>
      </c>
      <c r="I71" s="1652">
        <v>0.56000000000000005</v>
      </c>
      <c r="J71" s="1652">
        <v>0.8</v>
      </c>
      <c r="K71" s="1652">
        <v>0.83</v>
      </c>
      <c r="L71" s="1653">
        <v>0.06</v>
      </c>
      <c r="N71" s="1683">
        <f t="shared" si="150"/>
        <v>2.2725428130833527E-2</v>
      </c>
      <c r="O71" s="1684">
        <f t="shared" si="150"/>
        <v>1.7012227538543329E-2</v>
      </c>
      <c r="P71" s="1684">
        <f t="shared" si="151"/>
        <v>3.6925814703592477E-2</v>
      </c>
      <c r="Q71" s="1684">
        <f t="shared" si="151"/>
        <v>2.8846153846153744E-2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>
      <c r="A72" s="1623" t="s">
        <v>1680</v>
      </c>
      <c r="B72" s="1624">
        <f t="shared" si="152"/>
        <v>116.99099099099099</v>
      </c>
      <c r="C72" s="1624">
        <f t="shared" si="152"/>
        <v>118.84848484848486</v>
      </c>
      <c r="D72" s="1624">
        <f t="shared" si="120"/>
        <v>118.84848484848486</v>
      </c>
      <c r="E72" s="1624">
        <f t="shared" si="153"/>
        <v>117.60960960960961</v>
      </c>
      <c r="F72" s="1624">
        <f t="shared" si="153"/>
        <v>104</v>
      </c>
      <c r="G72" s="1876">
        <v>2004</v>
      </c>
      <c r="H72" s="1639">
        <v>2</v>
      </c>
      <c r="I72" s="1639">
        <v>1</v>
      </c>
      <c r="J72" s="1639">
        <v>1.5</v>
      </c>
      <c r="K72" s="1639">
        <v>1.5</v>
      </c>
      <c r="L72" s="1646">
        <v>0</v>
      </c>
      <c r="N72" s="1683">
        <f t="shared" si="150"/>
        <v>4.0581121662202721E-2</v>
      </c>
      <c r="O72" s="1684">
        <f t="shared" si="150"/>
        <v>3.1897926634768738E-2</v>
      </c>
      <c r="P72" s="1684">
        <f t="shared" si="151"/>
        <v>6.6733400066733395E-2</v>
      </c>
      <c r="Q72" s="1684">
        <f t="shared" si="151"/>
        <v>0</v>
      </c>
      <c r="R72" s="1630"/>
      <c r="S72" s="1628"/>
      <c r="T72" s="1629"/>
      <c r="U72" s="1629"/>
      <c r="V72" s="1629"/>
      <c r="AC72" s="1685"/>
      <c r="AD72" s="1685"/>
      <c r="AE72" s="1685"/>
      <c r="AF72" s="1685"/>
    </row>
    <row r="73" spans="1:32" s="1677" customFormat="1" ht="13.5" thickBot="1">
      <c r="A73" s="1623" t="s">
        <v>1681</v>
      </c>
      <c r="B73" s="1674">
        <f t="shared" si="152"/>
        <v>112.48648648648648</v>
      </c>
      <c r="C73" s="1674">
        <f t="shared" si="152"/>
        <v>115.21212121212122</v>
      </c>
      <c r="D73" s="1674">
        <f t="shared" si="120"/>
        <v>115.21212121212122</v>
      </c>
      <c r="E73" s="1674">
        <f t="shared" si="153"/>
        <v>110.4024024024024</v>
      </c>
      <c r="F73" s="1674">
        <f t="shared" si="153"/>
        <v>104</v>
      </c>
      <c r="G73" s="1877">
        <v>2004</v>
      </c>
      <c r="H73" s="1675">
        <v>1</v>
      </c>
      <c r="I73" s="1675">
        <v>0.33</v>
      </c>
      <c r="J73" s="1675">
        <v>0.5</v>
      </c>
      <c r="K73" s="1675">
        <v>0.5</v>
      </c>
      <c r="L73" s="1676">
        <v>0</v>
      </c>
      <c r="N73" s="1688">
        <f t="shared" si="150"/>
        <v>1.3391770148526898E-2</v>
      </c>
      <c r="O73" s="1689">
        <f t="shared" si="150"/>
        <v>1.063264221158958E-2</v>
      </c>
      <c r="P73" s="1689">
        <f t="shared" si="151"/>
        <v>2.2244466688911134E-2</v>
      </c>
      <c r="Q73" s="1689">
        <f t="shared" si="151"/>
        <v>0</v>
      </c>
      <c r="R73" s="1680"/>
      <c r="S73" s="1678">
        <f>B73/B74-1</f>
        <v>1.3391770148526883E-2</v>
      </c>
      <c r="T73" s="1679">
        <f>C73/C74-1</f>
        <v>1.063264221158966E-2</v>
      </c>
      <c r="U73" s="1679">
        <f>E73/E74-1</f>
        <v>2.2244466688911224E-2</v>
      </c>
      <c r="V73" s="1679">
        <f>F73/F74-1</f>
        <v>0</v>
      </c>
      <c r="AC73" s="1690"/>
      <c r="AD73" s="1690"/>
      <c r="AE73" s="1690"/>
      <c r="AF73" s="1690"/>
    </row>
    <row r="74" spans="1:32" ht="13.5" thickBot="1">
      <c r="A74" s="1623" t="s">
        <v>1682</v>
      </c>
      <c r="B74" s="1691">
        <v>111</v>
      </c>
      <c r="C74" s="1691">
        <v>114</v>
      </c>
      <c r="D74" s="1691">
        <f t="shared" si="120"/>
        <v>114</v>
      </c>
      <c r="E74" s="1691">
        <v>108</v>
      </c>
      <c r="F74" s="1692">
        <v>104</v>
      </c>
      <c r="G74" s="1875">
        <v>2003</v>
      </c>
      <c r="H74" s="1681">
        <v>4</v>
      </c>
      <c r="I74" s="1693"/>
      <c r="J74" s="1693"/>
      <c r="K74" s="1693"/>
      <c r="L74" s="1693"/>
      <c r="N74" s="1694"/>
      <c r="O74" s="1693"/>
      <c r="P74" s="1693"/>
      <c r="Q74" s="1693"/>
      <c r="S74" s="1694"/>
      <c r="T74" s="1693"/>
      <c r="U74" s="1693"/>
      <c r="V74" s="1693"/>
      <c r="AC74" s="1685"/>
      <c r="AD74" s="1685"/>
      <c r="AE74" s="1685"/>
      <c r="AF74" s="1685"/>
    </row>
    <row r="75" spans="1:32">
      <c r="A75" s="1623" t="s">
        <v>1683</v>
      </c>
      <c r="B75" s="1695">
        <f t="shared" ref="B75:C77" si="154">B76+(B$74-B$78)/4</f>
        <v>109.75</v>
      </c>
      <c r="C75" s="1695">
        <f t="shared" si="154"/>
        <v>112.25</v>
      </c>
      <c r="D75" s="1695">
        <f t="shared" si="120"/>
        <v>112.25</v>
      </c>
      <c r="E75" s="1695">
        <f t="shared" ref="E75:F77" si="155">E76+(E$74-E$78)/4</f>
        <v>107.25</v>
      </c>
      <c r="F75" s="1695">
        <f t="shared" si="155"/>
        <v>103.5</v>
      </c>
      <c r="G75" s="1876">
        <v>2003</v>
      </c>
      <c r="H75" s="1652">
        <v>3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>
      <c r="A76" s="1623" t="s">
        <v>1684</v>
      </c>
      <c r="B76" s="1695">
        <f t="shared" si="154"/>
        <v>108.5</v>
      </c>
      <c r="C76" s="1695">
        <f t="shared" si="154"/>
        <v>110.5</v>
      </c>
      <c r="D76" s="1695">
        <f t="shared" si="120"/>
        <v>110.5</v>
      </c>
      <c r="E76" s="1695">
        <f t="shared" si="155"/>
        <v>106.5</v>
      </c>
      <c r="F76" s="1695">
        <f t="shared" si="155"/>
        <v>103</v>
      </c>
      <c r="G76" s="1876">
        <v>2003</v>
      </c>
      <c r="H76" s="1639">
        <v>2</v>
      </c>
      <c r="I76" s="1693"/>
      <c r="J76" s="1693"/>
      <c r="K76" s="1693"/>
      <c r="L76" s="1693"/>
      <c r="AC76" s="1685"/>
      <c r="AD76" s="1685"/>
      <c r="AE76" s="1685"/>
      <c r="AF76" s="1685"/>
    </row>
    <row r="77" spans="1:32" ht="13.5" thickBot="1">
      <c r="A77" s="1623" t="s">
        <v>1685</v>
      </c>
      <c r="B77" s="1695">
        <f t="shared" si="154"/>
        <v>107.25</v>
      </c>
      <c r="C77" s="1695">
        <f t="shared" si="154"/>
        <v>108.75</v>
      </c>
      <c r="D77" s="1695">
        <f t="shared" si="120"/>
        <v>108.75</v>
      </c>
      <c r="E77" s="1695">
        <f t="shared" si="155"/>
        <v>105.75</v>
      </c>
      <c r="F77" s="1695">
        <f t="shared" si="155"/>
        <v>102.5</v>
      </c>
      <c r="G77" s="1877">
        <v>2003</v>
      </c>
      <c r="H77" s="1696">
        <v>1</v>
      </c>
      <c r="I77" s="1693"/>
      <c r="J77" s="1693"/>
      <c r="K77" s="1693"/>
      <c r="L77" s="1693"/>
      <c r="S77" s="1628"/>
      <c r="T77" s="1629"/>
      <c r="U77" s="1629"/>
      <c r="AC77" s="1685"/>
      <c r="AD77" s="1685"/>
      <c r="AE77" s="1685"/>
      <c r="AF77" s="1685"/>
    </row>
    <row r="78" spans="1:32" ht="13.5" thickBot="1">
      <c r="A78" s="1623" t="s">
        <v>1686</v>
      </c>
      <c r="B78" s="1697">
        <v>106</v>
      </c>
      <c r="C78" s="1697">
        <v>107</v>
      </c>
      <c r="D78" s="1697">
        <f t="shared" si="120"/>
        <v>107</v>
      </c>
      <c r="E78" s="1697">
        <v>105</v>
      </c>
      <c r="F78" s="1698">
        <v>102</v>
      </c>
      <c r="G78" s="1875">
        <v>2002</v>
      </c>
      <c r="H78" s="1647">
        <v>4</v>
      </c>
      <c r="I78" s="1693"/>
      <c r="J78" s="1693"/>
      <c r="K78" s="1693"/>
      <c r="L78" s="1693"/>
      <c r="N78" s="1694"/>
      <c r="O78" s="1693"/>
      <c r="P78" s="1693"/>
      <c r="Q78" s="1693"/>
      <c r="S78" s="1694"/>
      <c r="T78" s="1693"/>
      <c r="U78" s="1693"/>
      <c r="V78" s="1693"/>
      <c r="AC78" s="1685"/>
      <c r="AD78" s="1685"/>
      <c r="AE78" s="1685"/>
      <c r="AF78" s="1685"/>
    </row>
    <row r="79" spans="1:32">
      <c r="A79" s="1623" t="s">
        <v>1687</v>
      </c>
      <c r="B79" s="1695">
        <f t="shared" ref="B79:C81" si="156">B80+(B$78-B$82)/4</f>
        <v>105</v>
      </c>
      <c r="C79" s="1695">
        <f t="shared" si="156"/>
        <v>106</v>
      </c>
      <c r="D79" s="1695">
        <f t="shared" si="120"/>
        <v>106</v>
      </c>
      <c r="E79" s="1695">
        <f t="shared" ref="E79:F81" si="157">E80+(E$78-E$82)/4</f>
        <v>104.5</v>
      </c>
      <c r="F79" s="1695">
        <f t="shared" si="157"/>
        <v>101.5</v>
      </c>
      <c r="G79" s="1876">
        <v>2002</v>
      </c>
      <c r="H79" s="1652">
        <v>3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>
      <c r="A80" s="1623" t="s">
        <v>1688</v>
      </c>
      <c r="B80" s="1695">
        <f t="shared" si="156"/>
        <v>104</v>
      </c>
      <c r="C80" s="1695">
        <f t="shared" si="156"/>
        <v>105</v>
      </c>
      <c r="D80" s="1695">
        <f t="shared" si="120"/>
        <v>105</v>
      </c>
      <c r="E80" s="1695">
        <f t="shared" si="157"/>
        <v>104</v>
      </c>
      <c r="F80" s="1695">
        <f t="shared" si="157"/>
        <v>101</v>
      </c>
      <c r="G80" s="1876">
        <v>2002</v>
      </c>
      <c r="H80" s="1639">
        <v>2</v>
      </c>
      <c r="I80" s="1693"/>
      <c r="J80" s="1693"/>
      <c r="K80" s="1693"/>
      <c r="L80" s="1693"/>
      <c r="AC80" s="1685"/>
      <c r="AD80" s="1685"/>
      <c r="AE80" s="1685"/>
      <c r="AF80" s="1685"/>
    </row>
    <row r="81" spans="1:32" s="1663" customFormat="1" ht="13.5" thickBot="1">
      <c r="A81" s="1659" t="s">
        <v>1689</v>
      </c>
      <c r="B81" s="1666">
        <f t="shared" si="156"/>
        <v>103</v>
      </c>
      <c r="C81" s="1666">
        <f t="shared" si="156"/>
        <v>104</v>
      </c>
      <c r="D81" s="1666">
        <f t="shared" si="120"/>
        <v>104</v>
      </c>
      <c r="E81" s="1666">
        <f t="shared" si="157"/>
        <v>103.5</v>
      </c>
      <c r="F81" s="1666">
        <f t="shared" si="157"/>
        <v>100.5</v>
      </c>
      <c r="G81" s="1877">
        <v>2002</v>
      </c>
      <c r="H81" s="1699">
        <v>1</v>
      </c>
      <c r="I81" s="1700"/>
      <c r="J81" s="1700"/>
      <c r="K81" s="1700"/>
      <c r="L81" s="1700"/>
      <c r="N81" s="1701"/>
      <c r="S81" s="1701"/>
      <c r="AC81" s="1702"/>
      <c r="AD81" s="1702"/>
      <c r="AE81" s="1702"/>
      <c r="AF81" s="1702"/>
    </row>
    <row r="82" spans="1:32" ht="13.5" thickBot="1">
      <c r="B82" s="1703">
        <v>102</v>
      </c>
      <c r="C82" s="1704">
        <v>103</v>
      </c>
      <c r="D82" s="1704">
        <f t="shared" si="120"/>
        <v>103</v>
      </c>
      <c r="E82" s="1704">
        <v>103</v>
      </c>
      <c r="F82" s="1705">
        <v>100</v>
      </c>
      <c r="I82" s="1693"/>
      <c r="J82" s="1693"/>
      <c r="K82" s="1693"/>
      <c r="L82" s="1693"/>
      <c r="N82" s="1694"/>
      <c r="O82" s="1693"/>
      <c r="P82" s="1693"/>
      <c r="Q82" s="1693"/>
      <c r="S82" s="1694"/>
      <c r="T82" s="1693"/>
      <c r="U82" s="1693"/>
      <c r="V82" s="1693"/>
      <c r="AC82" s="1633"/>
      <c r="AD82" s="1633"/>
      <c r="AE82" s="1633"/>
      <c r="AF82" s="1633"/>
    </row>
    <row r="84" spans="1:32" s="1707" customFormat="1">
      <c r="A84" s="1706" t="s">
        <v>1696</v>
      </c>
      <c r="G84" s="1708"/>
      <c r="N84" s="1708"/>
      <c r="S84" s="1708"/>
    </row>
    <row r="85" spans="1:32" s="1707" customFormat="1">
      <c r="A85" s="1707" t="s">
        <v>1697</v>
      </c>
      <c r="G85" s="1708"/>
      <c r="N85" s="1708"/>
      <c r="S85" s="1708"/>
    </row>
    <row r="86" spans="1:32" s="1707" customFormat="1">
      <c r="A86" s="1707" t="s">
        <v>1698</v>
      </c>
      <c r="G86" s="1708"/>
      <c r="I86" s="1709"/>
      <c r="J86" s="1709"/>
      <c r="K86" s="1709"/>
      <c r="L86" s="1709"/>
      <c r="N86" s="1710"/>
      <c r="O86" s="1709"/>
      <c r="P86" s="1709"/>
      <c r="Q86" s="1709"/>
      <c r="S86" s="1710"/>
      <c r="T86" s="1709"/>
      <c r="U86" s="1709"/>
      <c r="V86" s="1709"/>
    </row>
    <row r="87" spans="1:32" s="1707" customFormat="1">
      <c r="A87" s="1707" t="s">
        <v>1699</v>
      </c>
      <c r="G87" s="1708"/>
      <c r="N87" s="1708"/>
      <c r="S87" s="1708"/>
    </row>
    <row r="94" spans="1:32" ht="13.5" thickBot="1"/>
    <row r="95" spans="1:32" ht="24">
      <c r="S95" s="1711" t="s">
        <v>1690</v>
      </c>
      <c r="T95" s="1712" t="s">
        <v>1691</v>
      </c>
      <c r="U95" s="1712" t="s">
        <v>1692</v>
      </c>
      <c r="V95" s="1712" t="s">
        <v>1693</v>
      </c>
      <c r="W95" s="1713" t="s">
        <v>1694</v>
      </c>
      <c r="X95" s="1714">
        <v>2006</v>
      </c>
      <c r="Y95" s="1715">
        <v>4</v>
      </c>
      <c r="Z95" s="1715">
        <v>3.79</v>
      </c>
      <c r="AA95" s="1715">
        <v>2.21</v>
      </c>
      <c r="AB95" s="1715">
        <v>5.65</v>
      </c>
      <c r="AC95" s="1716">
        <v>5.41</v>
      </c>
    </row>
    <row r="96" spans="1:32">
      <c r="N96" s="1638"/>
      <c r="O96" s="1633"/>
      <c r="P96" s="1633"/>
      <c r="Q96" s="1633"/>
      <c r="S96" s="1717">
        <v>2006</v>
      </c>
      <c r="T96" s="1718">
        <v>15.1</v>
      </c>
      <c r="U96" s="1718">
        <v>7.43</v>
      </c>
      <c r="V96" s="1718">
        <v>26.26</v>
      </c>
      <c r="W96" s="1719">
        <v>7.6</v>
      </c>
      <c r="X96" s="1720">
        <v>2006</v>
      </c>
      <c r="Y96" s="1721">
        <v>3</v>
      </c>
      <c r="Z96" s="1721">
        <v>0.92</v>
      </c>
      <c r="AA96" s="1721">
        <v>1.08</v>
      </c>
      <c r="AB96" s="1721">
        <v>0.73</v>
      </c>
      <c r="AC96" s="1722">
        <v>1.08</v>
      </c>
    </row>
    <row r="97" spans="14:29">
      <c r="N97" s="1638"/>
      <c r="O97" s="1633"/>
      <c r="P97" s="1633"/>
      <c r="Q97" s="1633"/>
      <c r="S97" s="1723">
        <v>2005</v>
      </c>
      <c r="T97" s="1721">
        <v>13.9</v>
      </c>
      <c r="U97" s="1721">
        <v>7.49</v>
      </c>
      <c r="V97" s="1721">
        <v>24.92</v>
      </c>
      <c r="W97" s="1722">
        <v>6.51</v>
      </c>
      <c r="X97" s="1724">
        <v>2006</v>
      </c>
      <c r="Y97" s="1718">
        <v>2</v>
      </c>
      <c r="Z97" s="1718">
        <v>0.96</v>
      </c>
      <c r="AA97" s="1718">
        <v>0.25</v>
      </c>
      <c r="AB97" s="1718">
        <v>1.9</v>
      </c>
      <c r="AC97" s="1719">
        <v>0.95</v>
      </c>
    </row>
    <row r="98" spans="14:29" ht="13.5" thickBot="1">
      <c r="N98" s="1638"/>
      <c r="O98" s="1633"/>
      <c r="P98" s="1633"/>
      <c r="Q98" s="1633"/>
      <c r="S98" s="1717">
        <v>2004</v>
      </c>
      <c r="T98" s="1718">
        <v>9.48</v>
      </c>
      <c r="U98" s="1718">
        <v>7.2</v>
      </c>
      <c r="V98" s="1718">
        <v>14.68</v>
      </c>
      <c r="W98" s="1719">
        <v>2.2000000000000002</v>
      </c>
      <c r="X98" s="1725">
        <v>2006</v>
      </c>
      <c r="Y98" s="1726">
        <v>1</v>
      </c>
      <c r="Z98" s="1726">
        <v>2.29</v>
      </c>
      <c r="AA98" s="1726">
        <v>3.72</v>
      </c>
      <c r="AB98" s="1726">
        <v>0.75</v>
      </c>
      <c r="AC98" s="1727">
        <v>0.04</v>
      </c>
    </row>
    <row r="99" spans="14:29">
      <c r="N99" s="1638"/>
      <c r="O99" s="1633"/>
      <c r="P99" s="1633"/>
      <c r="Q99" s="1633"/>
      <c r="S99" s="1723">
        <v>2003</v>
      </c>
      <c r="T99" s="1721">
        <v>4.5</v>
      </c>
      <c r="U99" s="1721">
        <v>6.12</v>
      </c>
      <c r="V99" s="1721">
        <v>2.34</v>
      </c>
      <c r="W99" s="1722">
        <v>2.36</v>
      </c>
    </row>
    <row r="100" spans="14:29" ht="13.5" thickBot="1">
      <c r="N100" s="1638"/>
      <c r="O100" s="1633"/>
      <c r="P100" s="1633"/>
      <c r="Q100" s="1633"/>
      <c r="S100" s="1728">
        <v>2002</v>
      </c>
      <c r="T100" s="1729">
        <v>3.59</v>
      </c>
      <c r="U100" s="1729">
        <v>4.54</v>
      </c>
      <c r="V100" s="1729">
        <v>2.5499999999999998</v>
      </c>
      <c r="W100" s="1730">
        <v>1.52</v>
      </c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  <row r="116" spans="14:17">
      <c r="N116" s="1638"/>
      <c r="O116" s="1633"/>
      <c r="P116" s="1633"/>
      <c r="Q116" s="1633"/>
    </row>
  </sheetData>
  <sheetProtection sheet="1" objects="1" scenarios="1" formatCells="0" formatColumns="0" formatRows="0"/>
  <mergeCells count="20"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  <mergeCell ref="G74:G77"/>
    <mergeCell ref="G78:G81"/>
    <mergeCell ref="G50:G53"/>
    <mergeCell ref="G54:G57"/>
    <mergeCell ref="G58:G61"/>
    <mergeCell ref="G62:G65"/>
    <mergeCell ref="G66:G69"/>
    <mergeCell ref="G70:G73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32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16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M70" sqref="M70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110.82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38705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0</v>
      </c>
      <c r="C11" s="1732">
        <f ca="1">结果表!B18</f>
        <v>0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110.82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20" sqref="F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55" t="s">
        <v>1353</v>
      </c>
      <c r="B2" s="1755"/>
      <c r="C2" s="1755"/>
      <c r="D2" s="1755"/>
      <c r="E2" s="1755"/>
      <c r="F2" s="1755"/>
      <c r="G2" s="1755"/>
      <c r="H2" s="1746"/>
      <c r="I2" s="1745"/>
      <c r="X2" s="221"/>
      <c r="AG2" s="189"/>
    </row>
    <row r="3" spans="1:33" ht="13.5">
      <c r="A3" s="1756" t="s">
        <v>1354</v>
      </c>
      <c r="B3" s="1757"/>
      <c r="C3" s="1758"/>
      <c r="D3" s="1759" t="s">
        <v>1355</v>
      </c>
      <c r="E3" s="1757"/>
      <c r="F3" s="1757"/>
      <c r="G3" s="1760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61" t="s">
        <v>1356</v>
      </c>
      <c r="E4" s="1762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63" t="s">
        <v>1360</v>
      </c>
      <c r="B5" s="1764">
        <f>主表!F5</f>
        <v>1942</v>
      </c>
      <c r="C5" s="1765" t="s">
        <v>1361</v>
      </c>
      <c r="D5" s="1762" t="s">
        <v>1362</v>
      </c>
      <c r="E5" s="1766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63"/>
      <c r="B6" s="1764"/>
      <c r="C6" s="1765"/>
      <c r="D6" s="1767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63"/>
      <c r="B7" s="1764"/>
      <c r="C7" s="1765"/>
      <c r="D7" s="1767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63"/>
      <c r="B8" s="1764"/>
      <c r="C8" s="1765"/>
      <c r="D8" s="1768" t="s">
        <v>1384</v>
      </c>
      <c r="E8" s="1769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63"/>
      <c r="B9" s="1764"/>
      <c r="C9" s="1765"/>
      <c r="D9" s="1768" t="s">
        <v>1385</v>
      </c>
      <c r="E9" s="1769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63"/>
      <c r="B10" s="1764"/>
      <c r="C10" s="1765"/>
      <c r="D10" s="1768" t="s">
        <v>1386</v>
      </c>
      <c r="E10" s="1769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2" t="s">
        <v>1367</v>
      </c>
      <c r="E11" s="1766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2" t="s">
        <v>1369</v>
      </c>
      <c r="E12" s="1766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2" t="s">
        <v>1370</v>
      </c>
      <c r="E13" s="1766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1942</v>
      </c>
      <c r="C14" s="1301" t="s">
        <v>1372</v>
      </c>
      <c r="D14" s="1762" t="s">
        <v>1371</v>
      </c>
      <c r="E14" s="1766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4">
        <f ca="1">主表!F24</f>
        <v>1942</v>
      </c>
      <c r="C15" s="1770"/>
      <c r="D15" s="1768" t="s">
        <v>1374</v>
      </c>
      <c r="E15" s="1769"/>
      <c r="F15" s="1769"/>
      <c r="G15" s="1771"/>
      <c r="H15" s="1746"/>
      <c r="I15" s="1745"/>
      <c r="X15" s="221"/>
      <c r="AG15" s="189"/>
    </row>
    <row r="16" spans="1:33" ht="27.75" thickBot="1">
      <c r="A16" s="1294" t="s">
        <v>1375</v>
      </c>
      <c r="B16" s="1764">
        <f ca="1">主表!F25</f>
        <v>21.5212</v>
      </c>
      <c r="C16" s="1770"/>
      <c r="D16" s="1768" t="s">
        <v>1376</v>
      </c>
      <c r="E16" s="1769"/>
      <c r="F16" s="1769"/>
      <c r="G16" s="1771"/>
      <c r="H16" s="1303" t="str">
        <f ca="1">NUMBERSTRING(INT(B16*10000),2)&amp;"元整"</f>
        <v>贰拾壹万伍仟贰佰壹拾贰元整</v>
      </c>
      <c r="I16" s="1304"/>
      <c r="X16" s="221"/>
      <c r="AG16" s="189"/>
    </row>
    <row r="17" spans="1:33" ht="13.5">
      <c r="A17" s="1294" t="s">
        <v>1377</v>
      </c>
      <c r="B17" s="1777">
        <f>主表!F33</f>
        <v>0</v>
      </c>
      <c r="C17" s="1770"/>
      <c r="D17" s="1768" t="s">
        <v>1378</v>
      </c>
      <c r="E17" s="1769"/>
      <c r="F17" s="1769"/>
      <c r="G17" s="1771"/>
      <c r="H17" s="1746"/>
      <c r="I17" s="1745"/>
      <c r="X17" s="221"/>
      <c r="AG17" s="189"/>
    </row>
    <row r="18" spans="1:33" ht="27.75" thickBot="1">
      <c r="A18" s="1294" t="s">
        <v>1379</v>
      </c>
      <c r="B18" s="1764">
        <f ca="1">主表!F35</f>
        <v>0</v>
      </c>
      <c r="C18" s="1770"/>
      <c r="D18" s="1768" t="s">
        <v>1380</v>
      </c>
      <c r="E18" s="1769"/>
      <c r="F18" s="1769"/>
      <c r="G18" s="1771"/>
      <c r="H18" s="1746"/>
      <c r="I18" s="1745"/>
      <c r="X18" s="221"/>
      <c r="AG18" s="189"/>
    </row>
    <row r="19" spans="1:33" ht="27.75" thickBot="1">
      <c r="A19" s="1302" t="s">
        <v>1381</v>
      </c>
      <c r="B19" s="1772">
        <f ca="1">主表!F36</f>
        <v>0</v>
      </c>
      <c r="C19" s="1773"/>
      <c r="D19" s="1774" t="s">
        <v>1382</v>
      </c>
      <c r="E19" s="1775"/>
      <c r="F19" s="1775"/>
      <c r="G19" s="1776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C12" sqref="C12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3" t="s">
        <v>1275</v>
      </c>
      <c r="E2" s="1784"/>
      <c r="F2" s="1784"/>
      <c r="G2" s="1784"/>
      <c r="H2" s="1785"/>
      <c r="I2" s="1167"/>
      <c r="J2" s="1167"/>
      <c r="K2" s="1214"/>
      <c r="L2" s="1214"/>
      <c r="N2" s="501" t="s">
        <v>1153</v>
      </c>
      <c r="O2" s="484">
        <f>SUMPRODUCT((N6:N12=B20)*(O5:Q5=B21)*(O6:Q12))</f>
        <v>50</v>
      </c>
    </row>
    <row r="3" spans="1:18" ht="15.75" customHeight="1">
      <c r="A3" s="1181" t="s">
        <v>1775</v>
      </c>
      <c r="B3" s="1567">
        <v>38705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2</v>
      </c>
    </row>
    <row r="4" spans="1:18" ht="15.75" customHeight="1">
      <c r="A4" s="1193" t="s">
        <v>1776</v>
      </c>
      <c r="B4" s="1567">
        <v>38705</v>
      </c>
      <c r="C4" s="1166"/>
      <c r="D4" s="1173" t="s">
        <v>1276</v>
      </c>
      <c r="E4" s="1174" t="s">
        <v>1569</v>
      </c>
      <c r="F4" s="1175">
        <f ca="1">F5+F8+F9+F10</f>
        <v>1942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0.02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1942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2230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110.82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288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34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68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0.99399999999999999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1792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2003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1942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21.5212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6" t="s">
        <v>1277</v>
      </c>
      <c r="E26" s="1787"/>
      <c r="F26" s="1787"/>
      <c r="G26" s="1787"/>
      <c r="H26" s="1788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0.96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78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0.45</v>
      </c>
      <c r="H31" s="1231"/>
      <c r="I31" s="1778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0.35</v>
      </c>
      <c r="H32" s="1231"/>
      <c r="I32" s="1778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6" t="s">
        <v>1280</v>
      </c>
      <c r="E34" s="1787"/>
      <c r="F34" s="1787"/>
      <c r="G34" s="1787"/>
      <c r="H34" s="1788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79" t="s">
        <v>1257</v>
      </c>
      <c r="H35" s="1780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1" t="s">
        <v>1259</v>
      </c>
      <c r="H36" s="1782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110.82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六级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89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0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0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0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0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89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1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1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2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89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798" t="s">
        <v>928</v>
      </c>
      <c r="E16" s="1799"/>
      <c r="F16" s="1798" t="s">
        <v>926</v>
      </c>
      <c r="G16" s="1800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3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32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ROUND(SUMIF(地价!B3:F3,E2,地价!B33:F33),0)</f>
        <v>423</v>
      </c>
      <c r="G19" s="1468" t="s">
        <v>263</v>
      </c>
      <c r="H19" s="1310">
        <f>主表!B4</f>
        <v>38705</v>
      </c>
      <c r="I19" s="1509">
        <f>ROUND(SUMPRODUCT((地价!A10:A33=YEAR(H19)&amp;"-"&amp;ROUNDUP(MONTH(H19)/3,0))*(地价!B3:F3=E2)*(地价!B10:F33)),0)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0.99829999999999997</v>
      </c>
      <c r="D20" s="1469" t="s">
        <v>935</v>
      </c>
      <c r="E20" s="1470">
        <f ca="1">INDIRECT("'存贷款利率'!e"&amp;存贷款利率!$K$4)/100</f>
        <v>5.5800000000000002E-2</v>
      </c>
      <c r="F20" s="1467" t="s">
        <v>936</v>
      </c>
      <c r="G20" s="1471">
        <f ca="1">SUMIF(P18:S18,E2,P20:S20)</f>
        <v>6.4000000000000001E-2</v>
      </c>
      <c r="H20" s="1472" t="s">
        <v>1634</v>
      </c>
      <c r="I20" s="1024">
        <f>IF(H20="剩余土地使用年限",主表!B15,主表!B16)</f>
        <v>68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6.0999999999999999E-2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5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6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6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797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6.4000000000000001E-2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4" t="s">
        <v>1159</v>
      </c>
      <c r="B91" s="1794"/>
      <c r="C91" s="1794"/>
      <c r="D91" s="1794"/>
      <c r="E91" s="1794"/>
      <c r="F91" s="1794"/>
      <c r="G91" s="1794"/>
      <c r="H91" s="1794"/>
      <c r="I91" s="1794"/>
      <c r="J91" s="1794"/>
      <c r="K91" s="653"/>
      <c r="L91" s="653"/>
      <c r="M91" s="653"/>
      <c r="N91" s="653"/>
    </row>
    <row r="92" spans="1:37">
      <c r="A92" s="1802" t="s">
        <v>1160</v>
      </c>
      <c r="B92" s="1802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3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4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4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4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4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4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4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5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3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804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804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804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804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804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804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804"/>
      <c r="B109" s="1806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5"/>
      <c r="B110" s="1807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1" t="s">
        <v>1175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2021-03-29T06:58:22Z</dcterms:modified>
</cp:coreProperties>
</file>