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5" i="9" l="1"/>
  <c r="I47" i="21"/>
  <c r="G47" i="21"/>
  <c r="E47" i="21"/>
  <c r="I29" i="21"/>
  <c r="G29" i="21"/>
  <c r="E29" i="21"/>
  <c r="I33" i="21"/>
  <c r="G33" i="21"/>
  <c r="E33" i="21"/>
  <c r="I27" i="21"/>
  <c r="G27" i="21"/>
  <c r="E27" i="21"/>
  <c r="I7" i="21"/>
  <c r="G7" i="21"/>
  <c r="E7" i="21"/>
  <c r="I5" i="21"/>
  <c r="G5" i="21"/>
  <c r="E5" i="21"/>
  <c r="I23" i="1" l="1"/>
  <c r="L22" i="1"/>
  <c r="K23" i="1" s="1"/>
  <c r="I16" i="1"/>
  <c r="L23" i="1" l="1"/>
  <c r="E13" i="1" l="1"/>
  <c r="C6" i="11" l="1"/>
  <c r="BU3" i="63" l="1"/>
  <c r="BT3" i="63"/>
  <c r="W3" i="63"/>
  <c r="V3" i="63"/>
  <c r="AE3" i="63" s="1"/>
  <c r="U3" i="63"/>
  <c r="Z3" i="63" l="1"/>
  <c r="AA3" i="63" s="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s="1"/>
  <c r="F113"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s="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AC27" i="21" s="1"/>
  <c r="F27" i="21"/>
  <c r="AA27" i="21" s="1"/>
  <c r="J29" i="21"/>
  <c r="AC29" i="21" s="1"/>
  <c r="H29" i="21"/>
  <c r="U29" i="21" s="1"/>
  <c r="F29" i="21"/>
  <c r="S29" i="21" s="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C26" i="21"/>
  <c r="W40" i="21"/>
  <c r="U27" i="21"/>
  <c r="U26" i="21"/>
  <c r="AB44" i="21"/>
  <c r="U30" i="21"/>
  <c r="AB36" i="21"/>
  <c r="AA43"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W23" i="21"/>
  <c r="AB25" i="21"/>
  <c r="AA25"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42" i="50"/>
  <c r="D43" i="50" s="1"/>
  <c r="D19" i="57"/>
  <c r="E2" i="36"/>
  <c r="C20" i="57"/>
  <c r="D5" i="61"/>
  <c r="E2" i="33"/>
  <c r="D4" i="61"/>
  <c r="E2" i="21"/>
  <c r="H23" i="31"/>
  <c r="F7" i="61"/>
  <c r="E2" i="37"/>
  <c r="C19" i="57"/>
  <c r="F4" i="61"/>
  <c r="E2" i="11"/>
  <c r="E2" i="35"/>
  <c r="D6" i="61"/>
  <c r="D3" i="61"/>
  <c r="F6" i="61"/>
  <c r="D20" i="57"/>
  <c r="F3" i="61"/>
  <c r="E2" i="34"/>
  <c r="F5" i="61"/>
  <c r="D7" i="61"/>
  <c r="W43" i="21" l="1"/>
  <c r="U43" i="21"/>
  <c r="S42" i="21"/>
  <c r="AB39" i="21"/>
  <c r="AC38" i="21"/>
  <c r="AB38" i="21"/>
  <c r="G113" i="21"/>
  <c r="H113" i="21" s="1"/>
  <c r="J37" i="21"/>
  <c r="H37" i="21"/>
  <c r="AB29" i="21"/>
  <c r="AA36" i="21"/>
  <c r="AA34" i="21"/>
  <c r="AC33" i="21"/>
  <c r="U33" i="21"/>
  <c r="U42" i="21"/>
  <c r="W34" i="21"/>
  <c r="AB32" i="21"/>
  <c r="AA32" i="21"/>
  <c r="AC32" i="21"/>
  <c r="U28" i="21"/>
  <c r="S28" i="21"/>
  <c r="AC28" i="21"/>
  <c r="S27" i="21"/>
  <c r="W27" i="21"/>
  <c r="S23" i="21"/>
  <c r="AB23" i="21"/>
  <c r="S21" i="21"/>
  <c r="W21" i="21"/>
  <c r="S19" i="21"/>
  <c r="AC19" i="21"/>
  <c r="U19" i="21"/>
  <c r="U17" i="21"/>
  <c r="S17" i="21"/>
  <c r="AB15" i="21"/>
  <c r="AA15" i="21"/>
  <c r="AC15" i="21"/>
  <c r="S10" i="21"/>
  <c r="W10" i="21"/>
  <c r="AC9" i="21"/>
  <c r="W8" i="21"/>
  <c r="S8" i="21"/>
  <c r="D95" i="57"/>
  <c r="D93" i="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20" i="11"/>
  <c r="C28" i="11" s="1"/>
  <c r="C27" i="11" s="1"/>
  <c r="C34" i="15"/>
  <c r="D8" i="62"/>
  <c r="C8" i="62"/>
  <c r="C14" i="50"/>
  <c r="C9" i="59"/>
  <c r="C8" i="59" s="1"/>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U37" i="21" l="1"/>
  <c r="AB37" i="21"/>
  <c r="F37" i="21"/>
  <c r="W37" i="21"/>
  <c r="AC37" i="21"/>
  <c r="D19" i="50"/>
  <c r="B32"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AA37" i="21" l="1"/>
  <c r="S37" i="21"/>
  <c r="C19" i="15"/>
  <c r="C20" i="15" s="1"/>
  <c r="C26" i="15" s="1"/>
  <c r="J7" i="36"/>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33" i="43" l="1"/>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7" i="43" l="1"/>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C97" i="57" l="1"/>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20" i="9"/>
  <c r="C19" i="9"/>
  <c r="C101" i="9" l="1"/>
  <c r="C102" i="9"/>
  <c r="N71" i="57"/>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D19" i="9"/>
  <c r="D101" i="9" l="1"/>
  <c r="G19" i="9"/>
  <c r="D22" i="9"/>
  <c r="B3" i="21"/>
  <c r="D35" i="9"/>
  <c r="D34" i="9" s="1"/>
  <c r="L65" i="40"/>
  <c r="M63" i="40"/>
  <c r="AA7" i="39"/>
  <c r="R47" i="39" s="1"/>
  <c r="R48" i="39" s="1"/>
  <c r="S7" i="39"/>
  <c r="M59" i="34"/>
  <c r="N59" i="34" s="1"/>
  <c r="O59" i="34" s="1"/>
  <c r="H7" i="34" s="1"/>
  <c r="AB7" i="39"/>
  <c r="U7" i="39"/>
  <c r="AC7" i="39"/>
  <c r="W7" i="39"/>
  <c r="L58" i="15"/>
  <c r="L61" i="15" s="1"/>
  <c r="D20" i="9"/>
  <c r="D102" i="9" l="1"/>
  <c r="G20" i="9"/>
  <c r="C32" i="9" s="1"/>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E121" i="9"/>
  <c r="D121" i="9" s="1"/>
  <c r="D122" i="9" s="1"/>
  <c r="I103" i="9" l="1"/>
  <c r="D107" i="9"/>
  <c r="H121" i="9"/>
  <c r="D14" i="62" s="1"/>
  <c r="E14" i="62" l="1"/>
  <c r="B5" i="62"/>
  <c r="F14" i="62"/>
  <c r="C103" i="9"/>
  <c r="I102" i="9"/>
  <c r="H122" i="9"/>
  <c r="D106" i="9"/>
  <c r="D112" i="9" s="1"/>
  <c r="D5" i="62" l="1"/>
  <c r="C5" i="62"/>
  <c r="D117" i="9"/>
  <c r="I115" i="9" s="1"/>
  <c r="D113" i="9"/>
  <c r="I111" i="9" s="1"/>
  <c r="D126" i="9" s="1"/>
  <c r="I110" i="9"/>
  <c r="D125" i="9" s="1"/>
  <c r="G14" i="62" s="1"/>
  <c r="B6" i="62" s="1"/>
  <c r="D45" i="9"/>
  <c r="N48" i="9"/>
  <c r="D6" i="62" l="1"/>
  <c r="C6" i="62"/>
  <c r="D53" i="9"/>
  <c r="D48" i="9" s="1"/>
  <c r="N52" i="9" s="1"/>
  <c r="O57" i="9" s="1"/>
  <c r="C78" i="9"/>
  <c r="C73" i="9" s="1"/>
  <c r="C85" i="9"/>
  <c r="C72" i="9"/>
  <c r="C79" i="9" s="1"/>
  <c r="D52" i="9"/>
  <c r="C64" i="9"/>
  <c r="C63" i="9" s="1"/>
  <c r="C67" i="9" s="1"/>
  <c r="C68" i="9" s="1"/>
  <c r="D54" i="9" s="1"/>
  <c r="C93" i="9"/>
  <c r="C86" i="9" s="1"/>
  <c r="C95" i="9" l="1"/>
  <c r="C80" i="9"/>
  <c r="E80" i="9" s="1"/>
  <c r="E81" i="9" s="1"/>
  <c r="O59" i="9"/>
  <c r="O58" i="9"/>
  <c r="Q57" i="9"/>
  <c r="C81" i="9" l="1"/>
  <c r="O61" i="9"/>
  <c r="O60" i="9"/>
  <c r="C96" i="9"/>
  <c r="E96" i="9" s="1"/>
  <c r="E97" i="9" s="1"/>
  <c r="C97" i="9"/>
  <c r="D58" i="9" s="1"/>
  <c r="G121" i="9"/>
  <c r="F121" i="9" s="1"/>
  <c r="F122"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刘朝阳</author>
    <author>vampire</author>
  </authors>
  <commentList>
    <comment ref="AZ2" authorId="0">
      <text>
        <r>
          <rPr>
            <b/>
            <sz val="9"/>
            <color indexed="81"/>
            <rFont val="宋体"/>
            <family val="3"/>
            <charset val="134"/>
          </rPr>
          <t>填写交易证明的类型，分为商品房合同、预售契约、买卖契约、认购书。</t>
        </r>
      </text>
    </comment>
    <comment ref="BA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I2" authorId="0">
      <text>
        <r>
          <rPr>
            <b/>
            <sz val="9"/>
            <color indexed="81"/>
            <rFont val="宋体"/>
            <family val="3"/>
            <charset val="134"/>
          </rPr>
          <t>填写数值型数据，保留小数点后一位。</t>
        </r>
      </text>
    </comment>
    <comment ref="BJ2" authorId="0">
      <text>
        <r>
          <rPr>
            <b/>
            <sz val="9"/>
            <color indexed="81"/>
            <rFont val="宋体"/>
            <family val="3"/>
            <charset val="134"/>
          </rPr>
          <t>此项填写合同日期，无合同日期填写预售登记日期，均无则在备注中注明</t>
        </r>
      </text>
    </comment>
    <comment ref="BK2" authorId="0">
      <text>
        <r>
          <rPr>
            <b/>
            <sz val="9"/>
            <color indexed="81"/>
            <rFont val="宋体"/>
            <family val="3"/>
            <charset val="134"/>
          </rPr>
          <t>在补充过程中发现合同遗漏的项目，不能正常补充的需注明。</t>
        </r>
      </text>
    </comment>
    <comment ref="BO2" authorId="1">
      <text>
        <r>
          <rPr>
            <b/>
            <sz val="9"/>
            <color indexed="81"/>
            <rFont val="宋体"/>
            <family val="3"/>
            <charset val="134"/>
          </rPr>
          <t>销售方式分为现售和预售两种方式</t>
        </r>
      </text>
    </comment>
    <comment ref="AZ6" authorId="0">
      <text>
        <r>
          <rPr>
            <b/>
            <sz val="9"/>
            <color indexed="81"/>
            <rFont val="宋体"/>
            <family val="3"/>
            <charset val="134"/>
          </rPr>
          <t>填写交易证明的类型，分为商品房合同、预售契约、买卖契约、认购书。</t>
        </r>
      </text>
    </comment>
    <comment ref="BA6"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I6" authorId="0">
      <text>
        <r>
          <rPr>
            <b/>
            <sz val="9"/>
            <color indexed="81"/>
            <rFont val="宋体"/>
            <family val="3"/>
            <charset val="134"/>
          </rPr>
          <t>填写数值型数据，保留小数点后一位。</t>
        </r>
      </text>
    </comment>
    <comment ref="BJ6" authorId="0">
      <text>
        <r>
          <rPr>
            <b/>
            <sz val="9"/>
            <color indexed="81"/>
            <rFont val="宋体"/>
            <family val="3"/>
            <charset val="134"/>
          </rPr>
          <t>此项填写合同日期，无合同日期填写预售登记日期，均无则在备注中注明</t>
        </r>
      </text>
    </comment>
    <comment ref="BK6" authorId="0">
      <text>
        <r>
          <rPr>
            <b/>
            <sz val="9"/>
            <color indexed="81"/>
            <rFont val="宋体"/>
            <family val="3"/>
            <charset val="134"/>
          </rPr>
          <t>在补充过程中发现合同遗漏的项目，不能正常补充的需注明。</t>
        </r>
      </text>
    </comment>
    <comment ref="BO6" authorId="1">
      <text>
        <r>
          <rPr>
            <b/>
            <sz val="9"/>
            <color indexed="81"/>
            <rFont val="宋体"/>
            <family val="3"/>
            <charset val="134"/>
          </rPr>
          <t>销售方式分为现售和预售两种方式</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<sst xmlns="http://schemas.openxmlformats.org/spreadsheetml/2006/main" count="7331" uniqueCount="3192">
  <si>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</si>
  <si>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</si>
  <si>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</si>
  <si>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</si>
  <si>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</si>
  <si>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</si>
  <si>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</si>
  <si>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</si>
  <si>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</si>
  <si>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</si>
  <si>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</si>
  <si>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</si>
  <si>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</si>
  <si>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</si>
  <si>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</si>
  <si>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</si>
  <si>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</si>
  <si>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</si>
  <si>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</si>
  <si>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</si>
  <si>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</si>
  <si>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</si>
  <si>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</si>
  <si>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</si>
  <si>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</si>
  <si>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</si>
  <si>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</si>
  <si>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</si>
  <si>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</si>
  <si>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</si>
  <si>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</si>
  <si>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</si>
  <si>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</si>
  <si>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</si>
  <si>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</si>
  <si>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</si>
  <si>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</si>
  <si>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</si>
  <si>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</si>
  <si>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</si>
  <si>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</si>
  <si>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</si>
  <si>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</si>
  <si>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</si>
  <si>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</si>
  <si>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</si>
  <si>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</si>
  <si>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</si>
  <si>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</si>
  <si>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</si>
  <si>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</si>
  <si>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</si>
  <si>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</si>
  <si>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</si>
  <si>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</si>
  <si>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</si>
  <si>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</si>
  <si>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</si>
  <si>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</si>
  <si>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</si>
  <si>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</si>
  <si>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</si>
  <si>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</si>
  <si>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</si>
  <si>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</si>
  <si>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</si>
  <si>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</si>
  <si>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</si>
  <si>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</si>
  <si>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</si>
  <si>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</si>
  <si>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</si>
  <si>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</si>
  <si>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</si>
  <si>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</si>
  <si>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</si>
  <si>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</si>
  <si>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</si>
  <si>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</si>
  <si>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</si>
  <si>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</si>
  <si>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</si>
  <si>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</si>
  <si>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</si>
  <si>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</si>
  <si>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</si>
  <si>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</si>
  <si>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</si>
  <si>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</si>
  <si>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</si>
  <si>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</si>
  <si>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</si>
  <si>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</si>
  <si>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</si>
  <si>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</si>
  <si>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</si>
  <si>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</si>
  <si>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</si>
  <si>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</si>
  <si>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</si>
  <si>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</si>
  <si>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</si>
  <si>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</si>
  <si>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</si>
  <si>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</si>
  <si>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</si>
  <si>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</si>
  <si>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</si>
  <si>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</si>
  <si>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</si>
  <si>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</si>
  <si>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</si>
  <si>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</si>
  <si>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</si>
  <si>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</si>
  <si>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</si>
  <si>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</si>
  <si>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</si>
  <si>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</si>
  <si>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</si>
  <si>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</si>
  <si>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</si>
  <si>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</si>
  <si>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</si>
  <si>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</si>
  <si>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</si>
  <si>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</si>
  <si>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</si>
  <si>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</si>
  <si>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</si>
  <si>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</si>
  <si>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</si>
  <si>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</si>
  <si>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</si>
  <si>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</si>
  <si>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</si>
  <si>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</si>
  <si>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</si>
  <si>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</si>
  <si>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</si>
  <si>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</si>
  <si>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</si>
  <si>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</si>
  <si>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</si>
  <si>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</si>
  <si>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</si>
  <si>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</si>
  <si>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</si>
  <si>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</si>
  <si>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</si>
  <si>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</si>
  <si>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</si>
  <si>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</si>
  <si>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</si>
  <si>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</si>
  <si>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</si>
  <si>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</si>
  <si>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</si>
  <si>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</si>
  <si>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</si>
  <si>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</si>
  <si>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</si>
  <si>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</si>
  <si>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</si>
  <si>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</si>
  <si>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</si>
  <si>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</si>
  <si>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</si>
  <si>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</si>
  <si>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</si>
  <si>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</si>
  <si>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</si>
  <si>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</si>
  <si>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</si>
  <si>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</si>
  <si>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</si>
  <si>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</si>
  <si>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</si>
  <si>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</si>
  <si>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</si>
  <si>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</si>
  <si>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</si>
  <si>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</si>
  <si>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</si>
  <si>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</si>
  <si>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</si>
  <si>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</si>
  <si>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</si>
  <si>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</si>
  <si>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</si>
  <si>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</si>
  <si>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</si>
  <si>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</si>
  <si>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</si>
  <si>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</si>
  <si>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</si>
  <si>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</si>
  <si>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</si>
  <si>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</si>
  <si>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</si>
  <si>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</si>
  <si>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</si>
  <si>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</si>
  <si>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</si>
  <si>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</si>
  <si>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</si>
  <si>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</si>
  <si>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</si>
  <si>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</si>
  <si>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</si>
  <si>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</si>
  <si>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</si>
  <si>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</si>
  <si>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</si>
  <si>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</si>
  <si>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</si>
  <si>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</si>
  <si>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</si>
  <si>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</si>
  <si>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</si>
  <si>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</si>
  <si>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</si>
  <si>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</si>
  <si>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</si>
  <si>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</si>
  <si>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</si>
  <si>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</si>
  <si>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</si>
  <si>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</si>
  <si>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</si>
  <si>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</si>
  <si>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</si>
  <si>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</si>
  <si>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</si>
  <si>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</si>
  <si>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</si>
  <si>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</si>
  <si>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</si>
  <si>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</si>
  <si>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</si>
  <si>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</si>
  <si>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</si>
  <si>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</si>
  <si>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</si>
  <si>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</si>
  <si>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</si>
  <si>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</si>
  <si>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</si>
  <si>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</si>
  <si>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</si>
  <si>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</si>
  <si>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</si>
  <si>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</si>
  <si>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</si>
  <si>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</si>
  <si>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</si>
  <si>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</si>
  <si>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</si>
  <si>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</si>
  <si>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</si>
  <si>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</si>
  <si>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</si>
  <si>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</si>
  <si>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</si>
  <si>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</si>
  <si>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</si>
  <si>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</si>
  <si>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</si>
  <si>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</si>
  <si>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</si>
  <si>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</si>
  <si>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</si>
  <si>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</si>
  <si>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</si>
  <si>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</si>
  <si>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</si>
  <si>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</si>
  <si>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</si>
  <si>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</si>
  <si>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</si>
  <si>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</si>
  <si>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</si>
  <si>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</si>
  <si>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</si>
  <si>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</si>
  <si>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</si>
  <si>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</si>
  <si>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</si>
  <si>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</si>
  <si>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</si>
  <si>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</si>
  <si>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</si>
  <si>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</si>
  <si>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</si>
  <si>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</si>
  <si>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</si>
  <si>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</si>
  <si>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</si>
  <si>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</si>
  <si>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</si>
  <si>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</si>
  <si>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</si>
  <si>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</si>
  <si>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</si>
  <si>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</si>
  <si>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</si>
  <si>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</si>
  <si>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</si>
  <si>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</si>
  <si>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</si>
  <si>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</si>
  <si>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</si>
  <si>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</si>
  <si>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</si>
  <si>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</si>
  <si>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</si>
  <si>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</si>
  <si>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</si>
  <si>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</si>
  <si>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</si>
  <si>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</si>
  <si>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</si>
  <si>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</si>
  <si>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</si>
  <si>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</si>
  <si>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</si>
  <si>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</si>
  <si>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</si>
  <si>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</si>
  <si>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</si>
  <si>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</si>
  <si>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</si>
  <si>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</si>
  <si>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</si>
  <si>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</si>
  <si>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</si>
  <si>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</si>
  <si>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</si>
  <si>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</si>
  <si>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</si>
  <si>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</si>
  <si>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</si>
  <si>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</si>
  <si>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</si>
  <si>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</si>
  <si>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</si>
  <si>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</si>
  <si>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</si>
  <si>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</si>
  <si>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</si>
  <si>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</si>
  <si>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</si>
  <si>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</si>
  <si>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</si>
  <si>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</si>
  <si>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</si>
  <si>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</si>
  <si>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</si>
  <si>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</si>
  <si>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</si>
  <si>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</si>
  <si>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</si>
  <si>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</si>
  <si>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</si>
  <si>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</si>
  <si>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</si>
  <si>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</si>
  <si>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</si>
  <si>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</si>
  <si>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</si>
  <si>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</si>
  <si>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</si>
  <si>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</si>
  <si>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</si>
  <si>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</si>
  <si>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</si>
  <si>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</si>
  <si>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</si>
  <si>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</si>
  <si>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</si>
  <si>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</si>
  <si>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</si>
  <si>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</si>
  <si>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</si>
  <si>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</si>
  <si>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</si>
  <si>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</si>
  <si>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</si>
  <si>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</si>
  <si>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</si>
  <si>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</si>
  <si>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</si>
  <si>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</si>
  <si>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</si>
  <si>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</si>
  <si>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</si>
  <si>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</si>
  <si>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</si>
  <si>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</si>
  <si>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</si>
  <si>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</si>
  <si>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</si>
  <si>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</si>
  <si>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</si>
  <si>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</si>
  <si>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</si>
  <si>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</si>
  <si>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</si>
  <si>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</si>
  <si>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</si>
  <si>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</si>
  <si>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</si>
  <si>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</si>
  <si>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</si>
  <si>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</si>
  <si>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</si>
  <si>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</si>
  <si>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</si>
  <si>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</si>
  <si>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</si>
  <si>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</si>
  <si>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</si>
  <si>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</si>
  <si>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</si>
  <si>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</si>
  <si>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</si>
  <si>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</si>
  <si>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</si>
  <si>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</si>
  <si>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</si>
  <si>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</si>
  <si>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</si>
  <si>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</si>
  <si>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</si>
  <si>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</si>
  <si>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</si>
  <si>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</si>
  <si>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</si>
  <si>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</si>
  <si>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</si>
  <si>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</si>
  <si>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</si>
  <si>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</si>
  <si>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</si>
  <si>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</si>
  <si>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</si>
  <si>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</si>
  <si>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</si>
  <si>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</si>
  <si>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</si>
  <si>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</si>
  <si>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</si>
  <si>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</si>
  <si>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</si>
  <si>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</si>
  <si>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</si>
  <si>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</si>
  <si>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</si>
  <si>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</si>
  <si>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</si>
  <si>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</si>
  <si>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</si>
  <si>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</si>
  <si>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</si>
  <si>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</si>
  <si>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</si>
  <si>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</si>
  <si>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</si>
  <si>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</si>
  <si>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</si>
  <si>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</si>
  <si>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</si>
  <si>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</si>
  <si>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</si>
  <si>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</si>
  <si>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</si>
  <si>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</si>
  <si>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</si>
  <si>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</si>
  <si>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</si>
  <si>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</si>
  <si>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</si>
  <si>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</si>
  <si>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</si>
  <si>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</si>
  <si>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</si>
  <si>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</si>
  <si>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</si>
  <si>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</si>
  <si>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</si>
  <si>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</si>
  <si>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</si>
  <si>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</si>
  <si>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</si>
  <si>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</si>
  <si>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</si>
  <si>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</si>
  <si>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</si>
  <si>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</si>
  <si>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</si>
  <si>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</si>
  <si>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</si>
  <si>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</si>
  <si>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</si>
  <si>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</si>
  <si>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</si>
  <si>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</si>
  <si>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</si>
  <si>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</si>
  <si>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</si>
  <si>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</si>
  <si>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</si>
  <si>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</si>
  <si>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</si>
  <si>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</si>
  <si>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</si>
  <si>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</si>
  <si>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</si>
  <si>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</si>
  <si>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</si>
  <si>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</si>
  <si>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</si>
  <si>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</si>
  <si>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</si>
  <si>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</si>
  <si>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</si>
  <si>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</si>
  <si>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</si>
  <si>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</si>
  <si>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</si>
  <si>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</si>
  <si>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</si>
  <si>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</si>
  <si>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</si>
  <si>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</si>
  <si>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</si>
  <si>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</si>
  <si>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</si>
  <si>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</si>
  <si>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</si>
  <si>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</si>
  <si>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</si>
  <si>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</si>
  <si>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</si>
  <si>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</si>
  <si>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</si>
  <si>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</si>
  <si>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</si>
  <si>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</si>
  <si>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</si>
  <si>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</si>
  <si>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</si>
  <si>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</si>
  <si>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</si>
  <si>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</si>
  <si>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</si>
  <si>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</si>
  <si>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</si>
  <si>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</si>
  <si>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</si>
  <si>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</si>
  <si>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</si>
  <si>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</si>
  <si>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</si>
  <si>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</si>
  <si>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</si>
  <si>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</si>
  <si>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</si>
  <si>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</si>
  <si>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</si>
  <si>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</si>
  <si>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</si>
  <si>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</si>
  <si>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</si>
  <si>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</si>
  <si>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</si>
  <si>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</si>
  <si>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</si>
  <si>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</si>
  <si>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</si>
  <si>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</si>
  <si>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</si>
  <si>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</si>
  <si>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</si>
  <si>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</si>
  <si>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</si>
  <si>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</si>
  <si>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</si>
  <si>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</si>
  <si>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</si>
  <si>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</si>
  <si>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</si>
  <si>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</si>
  <si>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</si>
  <si>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</si>
  <si>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</si>
  <si>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</si>
  <si>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</si>
  <si>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</si>
  <si>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</si>
  <si>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</si>
  <si>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</si>
  <si>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</si>
  <si>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</si>
  <si>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</si>
  <si>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</si>
  <si>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</si>
  <si>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</si>
  <si>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</si>
  <si>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</si>
  <si>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</si>
  <si>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</si>
  <si>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</si>
  <si>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</si>
  <si>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</si>
  <si>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</si>
  <si>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</si>
  <si>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</si>
  <si>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</si>
  <si>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</si>
  <si>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</si>
  <si>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</si>
  <si>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</si>
  <si>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</si>
  <si>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</si>
  <si>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</si>
  <si>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</si>
  <si>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</si>
  <si>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</si>
  <si>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</si>
  <si>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</si>
  <si>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</si>
  <si>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</si>
  <si>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</si>
  <si>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</si>
  <si>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</si>
  <si>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</si>
  <si>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</si>
  <si>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</si>
  <si>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</si>
  <si>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</si>
  <si>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</si>
  <si>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</si>
  <si>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</si>
  <si>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</si>
  <si>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</si>
  <si>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</si>
  <si>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</si>
  <si>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</si>
  <si>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</si>
  <si>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</si>
  <si>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</si>
  <si>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</si>
  <si>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</si>
  <si>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</si>
  <si>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</si>
  <si>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</si>
  <si>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</si>
  <si>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</si>
  <si>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</si>
  <si>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</si>
  <si>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</si>
  <si>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</si>
  <si>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</si>
  <si>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</si>
  <si>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</si>
  <si>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</si>
  <si>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</si>
  <si>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</si>
  <si>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</si>
  <si>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</si>
  <si>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</si>
  <si>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</si>
  <si>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</si>
  <si>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</si>
  <si>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</si>
  <si>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</si>
  <si>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</si>
  <si>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</si>
  <si>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</si>
  <si>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</si>
  <si>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</si>
  <si>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</si>
  <si>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</si>
  <si>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</si>
  <si>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</si>
  <si>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</si>
  <si>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</si>
  <si>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</si>
  <si>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</si>
  <si>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</si>
  <si>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</si>
  <si>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</si>
  <si>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</si>
  <si>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</si>
  <si>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</si>
  <si>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</si>
  <si>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</si>
  <si>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</si>
  <si>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</si>
  <si>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</si>
  <si>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</si>
  <si>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</si>
  <si>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</si>
  <si>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</si>
  <si>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</si>
  <si>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</si>
  <si>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</si>
  <si>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</si>
  <si>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</si>
  <si>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</si>
  <si>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</si>
  <si>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</si>
  <si>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</si>
  <si>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</si>
  <si>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</si>
  <si>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</si>
  <si>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</si>
  <si>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</si>
  <si>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</si>
  <si>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</si>
  <si>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</si>
  <si>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</si>
  <si>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</si>
  <si>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</si>
  <si>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</si>
  <si>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</si>
  <si>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</si>
  <si>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</si>
  <si>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</si>
  <si>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</si>
  <si>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</si>
  <si>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</si>
  <si>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</si>
  <si>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</si>
  <si>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</si>
  <si>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</si>
  <si>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</si>
  <si>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</si>
  <si>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</si>
  <si>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</si>
  <si>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</si>
  <si>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</si>
  <si>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</si>
  <si>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</si>
  <si>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</si>
  <si>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</si>
  <si>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</si>
  <si>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</si>
  <si>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</si>
  <si>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</si>
  <si>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</si>
  <si>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</si>
  <si>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</si>
  <si>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</si>
  <si>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</si>
  <si>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</si>
  <si>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</si>
  <si>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</si>
  <si>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</si>
  <si>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</si>
  <si>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</si>
  <si>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</si>
  <si>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</si>
  <si>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</si>
  <si>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</si>
  <si>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</si>
  <si>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</si>
  <si>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</si>
  <si>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</si>
  <si>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</si>
  <si>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</si>
  <si>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</si>
  <si>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</si>
  <si>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</si>
  <si>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</si>
  <si>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</si>
  <si>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</si>
  <si>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</si>
  <si>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</si>
  <si>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</si>
  <si>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</si>
  <si>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</si>
  <si>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</si>
  <si>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</si>
  <si>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</si>
  <si>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</si>
  <si>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</si>
  <si>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</si>
  <si>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</si>
  <si>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</si>
  <si>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</si>
  <si>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</si>
  <si>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</si>
  <si>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</si>
  <si>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</si>
  <si>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</si>
  <si>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</si>
  <si>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</si>
  <si>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</si>
  <si>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</si>
  <si>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</si>
  <si>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</si>
  <si>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</si>
  <si>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</si>
  <si>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</si>
  <si>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</si>
  <si>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</si>
  <si>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</si>
  <si>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</si>
  <si>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</si>
  <si>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</si>
  <si>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</si>
  <si>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</si>
  <si>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</si>
  <si>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</si>
  <si>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</si>
  <si>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</si>
  <si>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</si>
  <si>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</si>
  <si>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</si>
  <si>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</si>
  <si>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</si>
  <si>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</si>
  <si>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</si>
  <si>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</si>
  <si>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</si>
  <si>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</si>
  <si>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</si>
  <si>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</si>
  <si>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</si>
  <si>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</si>
  <si>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</si>
  <si>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</si>
  <si>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</si>
  <si>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</si>
  <si>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</si>
  <si>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</si>
  <si>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</si>
  <si>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</si>
  <si>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</si>
  <si>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</si>
  <si>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</si>
  <si>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</si>
  <si>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</si>
  <si>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</si>
  <si>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</si>
  <si>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</si>
  <si>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</si>
  <si>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</si>
  <si>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</si>
  <si>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</si>
  <si>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</si>
  <si>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</si>
  <si>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</si>
  <si>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</si>
  <si>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</si>
  <si>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</si>
  <si>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</si>
  <si>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</si>
  <si>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</si>
  <si>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</si>
  <si>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</si>
  <si>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</si>
  <si>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</si>
  <si>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</si>
  <si>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</si>
  <si>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</si>
  <si>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</si>
  <si>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</si>
  <si>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</si>
  <si>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</si>
  <si>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</si>
  <si>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</si>
  <si>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</si>
  <si>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</si>
  <si>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</si>
  <si>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</si>
  <si>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</si>
  <si>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</si>
  <si>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</si>
  <si>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</si>
  <si>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</si>
  <si>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</si>
  <si>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</si>
  <si>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</si>
  <si>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</si>
  <si>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</si>
  <si>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</si>
  <si>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</si>
  <si>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</si>
  <si>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</si>
  <si>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</si>
  <si>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</si>
  <si>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</si>
  <si>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</si>
  <si>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</si>
  <si>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</si>
  <si>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</si>
  <si>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</si>
  <si>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</si>
  <si>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</si>
  <si>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</si>
  <si>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</si>
  <si>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</si>
  <si>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</si>
  <si>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</si>
  <si>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</si>
  <si>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</si>
  <si>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</si>
  <si>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</si>
  <si>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</si>
  <si>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</si>
  <si>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</si>
  <si>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</si>
  <si>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</si>
  <si>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</si>
  <si>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</si>
  <si>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</si>
  <si>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</si>
  <si>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</si>
  <si>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</si>
  <si>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</si>
  <si>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</si>
  <si>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</si>
  <si>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</si>
  <si>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</si>
  <si>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</si>
  <si>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</si>
  <si>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</si>
  <si>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</si>
  <si>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</si>
  <si>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</si>
  <si>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</si>
  <si>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</si>
  <si>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</si>
  <si>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</si>
  <si>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</si>
  <si>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</si>
  <si>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</si>
  <si>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</si>
  <si>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</si>
  <si>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</si>
  <si>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</si>
  <si>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</si>
  <si>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</si>
  <si>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</si>
  <si>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</si>
  <si>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</si>
  <si>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</si>
  <si>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</si>
  <si>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</si>
  <si>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</si>
  <si>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</si>
  <si>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</si>
  <si>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</si>
  <si>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</si>
  <si>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</si>
  <si>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</si>
  <si>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</si>
  <si>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</si>
  <si>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</si>
  <si>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</si>
  <si>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</si>
  <si>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</si>
  <si>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</si>
  <si>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</si>
  <si>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</si>
  <si>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</si>
  <si>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</si>
  <si>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</si>
  <si>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</si>
  <si>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</si>
  <si>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</si>
  <si>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</si>
  <si>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</si>
  <si>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</si>
  <si>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</si>
  <si>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</si>
  <si>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</si>
  <si>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</si>
  <si>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</si>
  <si>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</si>
  <si>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</si>
  <si>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</si>
  <si>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</si>
  <si>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</si>
  <si>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</si>
  <si>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</si>
  <si>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</si>
  <si>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</si>
  <si>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</si>
  <si>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</si>
  <si>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</si>
  <si>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</si>
  <si>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</si>
  <si>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</si>
  <si>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</si>
  <si>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</si>
  <si>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</si>
  <si>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</si>
  <si>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</si>
  <si>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</si>
  <si>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</si>
  <si>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</si>
  <si>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</si>
  <si>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</si>
  <si>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</si>
  <si>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</si>
  <si>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</si>
  <si>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</si>
  <si>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</si>
  <si>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</si>
  <si>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</si>
  <si>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</si>
  <si>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</si>
  <si>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</si>
  <si>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</si>
  <si>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</si>
  <si>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</si>
  <si>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</si>
  <si>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</si>
  <si>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</si>
  <si>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</si>
  <si>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</si>
  <si>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</si>
  <si>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</si>
  <si>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</si>
  <si>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</si>
  <si>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</si>
  <si>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</si>
  <si>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</si>
  <si>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</si>
  <si>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</si>
  <si>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</si>
  <si>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</si>
  <si>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</si>
  <si>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</si>
  <si>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</si>
  <si>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</si>
  <si>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</si>
  <si>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</si>
  <si>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</si>
  <si>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</si>
  <si>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</si>
  <si>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</si>
  <si>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</si>
  <si>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</si>
  <si>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</si>
  <si>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</si>
  <si>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</si>
  <si>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</si>
  <si>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</si>
  <si>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</si>
  <si>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</si>
  <si>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</si>
  <si>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</si>
  <si>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</si>
  <si>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</si>
  <si>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</si>
  <si>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</si>
  <si>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</si>
  <si>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</si>
  <si>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</si>
  <si>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</si>
  <si>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</si>
  <si>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</si>
  <si>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</si>
  <si>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</si>
  <si>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</si>
  <si>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</si>
  <si>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</si>
  <si>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</si>
  <si>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</si>
  <si>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</si>
  <si>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</si>
  <si>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</si>
  <si>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</si>
  <si>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</si>
  <si>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</si>
  <si>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</si>
  <si>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</si>
  <si>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</si>
  <si>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</si>
  <si>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</si>
  <si>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</si>
  <si>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</si>
  <si>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</si>
  <si>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</si>
  <si>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</si>
  <si>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</si>
  <si>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</si>
  <si>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</si>
  <si>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</si>
  <si>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</si>
  <si>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</si>
  <si>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</si>
  <si>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</si>
  <si>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</si>
  <si>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</si>
  <si>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</si>
  <si>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</si>
  <si>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</si>
  <si>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</si>
  <si>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</si>
  <si>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</si>
  <si>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</si>
  <si>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</si>
  <si>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</si>
  <si>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</si>
  <si>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</si>
  <si>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</si>
  <si>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</si>
  <si>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</si>
  <si>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</si>
  <si>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</si>
  <si>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</si>
  <si>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</si>
  <si>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</si>
  <si>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</si>
  <si>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</si>
  <si>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</si>
  <si>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</si>
  <si>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</si>
  <si>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</si>
  <si>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</si>
  <si>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</si>
  <si>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</si>
  <si>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</si>
  <si>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</si>
  <si>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</si>
  <si>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</si>
  <si>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</si>
  <si>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</si>
  <si>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</si>
  <si>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</si>
  <si>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</si>
  <si>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</si>
  <si>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</si>
  <si>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</si>
  <si>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</si>
  <si>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</si>
  <si>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</si>
  <si>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</si>
  <si>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</si>
  <si>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</si>
  <si>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</si>
  <si>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</si>
  <si>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</si>
  <si>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</si>
  <si>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</si>
  <si>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</si>
  <si>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</si>
  <si>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</si>
  <si>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</si>
  <si>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</si>
  <si>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</si>
  <si>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</si>
  <si>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</si>
  <si>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</si>
  <si>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</si>
  <si>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</si>
  <si>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</si>
  <si>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</si>
  <si>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</si>
  <si>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</si>
  <si>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</si>
  <si>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</si>
  <si>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</si>
  <si>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</si>
  <si>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</si>
  <si>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</si>
  <si>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</si>
  <si>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</si>
  <si>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</si>
  <si>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</si>
  <si>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</si>
  <si>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</si>
  <si>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</si>
  <si>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</si>
  <si>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</si>
  <si>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</si>
  <si>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</si>
  <si>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</si>
  <si>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</si>
  <si>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</si>
  <si>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</si>
  <si>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</si>
  <si>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</si>
  <si>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</si>
  <si>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</si>
  <si>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</si>
  <si>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</si>
  <si>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</si>
  <si>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</si>
  <si>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</si>
  <si>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</si>
  <si>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</si>
  <si>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</si>
  <si>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</si>
  <si>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</si>
  <si>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</si>
  <si>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</si>
  <si>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</si>
  <si>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</si>
  <si>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</si>
  <si>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</si>
  <si>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</si>
  <si>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</si>
  <si>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</si>
  <si>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</si>
  <si>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</si>
  <si>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</si>
  <si>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</si>
  <si>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</si>
  <si>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</si>
  <si>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</si>
  <si>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</si>
  <si>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</si>
  <si>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</si>
  <si>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</si>
  <si>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</si>
  <si>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</si>
  <si>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</si>
  <si>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</si>
  <si>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</si>
  <si>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</si>
  <si>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</si>
  <si>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</si>
  <si>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</si>
  <si>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</si>
  <si>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</si>
  <si>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</si>
  <si>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</si>
  <si>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</si>
  <si>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</si>
  <si>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</si>
  <si>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</si>
  <si>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</si>
  <si>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</si>
  <si>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</si>
  <si>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</si>
  <si>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</si>
  <si>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</si>
  <si>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</si>
  <si>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</si>
  <si>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</si>
  <si>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</si>
  <si>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</si>
  <si>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</si>
  <si>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</si>
  <si>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</si>
  <si>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</si>
  <si>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</si>
  <si>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</si>
  <si>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</si>
  <si>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</si>
  <si>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</si>
  <si>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</si>
  <si>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</si>
  <si>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</si>
  <si>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</si>
  <si>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</si>
  <si>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</si>
  <si>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</si>
  <si>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</si>
  <si>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</si>
  <si>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</si>
  <si>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</si>
  <si>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</si>
  <si>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</si>
  <si>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</si>
  <si>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</si>
  <si>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</si>
  <si>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</si>
  <si>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</si>
  <si>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</si>
  <si>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</si>
  <si>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</si>
  <si>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</si>
  <si>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</si>
  <si>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</si>
  <si>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</si>
  <si>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</si>
  <si>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</si>
  <si>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</si>
  <si>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</si>
  <si>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</si>
  <si>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</si>
  <si>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</si>
  <si>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</si>
  <si>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</si>
  <si>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</si>
  <si>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</si>
  <si>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</si>
  <si>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</si>
  <si>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</si>
  <si>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</si>
  <si>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</si>
  <si>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</si>
  <si>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</si>
  <si>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</si>
  <si>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</si>
  <si>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</si>
  <si>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</si>
  <si>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</si>
  <si>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</si>
  <si>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</si>
  <si>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</si>
  <si>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</si>
  <si>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</si>
  <si>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</si>
  <si>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</si>
  <si>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</si>
  <si>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</si>
  <si>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</si>
  <si>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</si>
  <si>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</si>
  <si>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</si>
  <si>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</si>
  <si>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</si>
  <si>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</si>
  <si>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</si>
  <si>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</si>
  <si>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</si>
  <si>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</si>
  <si>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</si>
  <si>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</si>
  <si>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</si>
  <si>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</si>
  <si>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</si>
  <si>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</si>
  <si>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</si>
  <si>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</si>
  <si>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</si>
  <si>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</si>
  <si>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</si>
  <si>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</si>
  <si>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</si>
  <si>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</si>
  <si>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</si>
  <si>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</si>
  <si>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</si>
  <si>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</si>
  <si>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</si>
  <si>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</si>
  <si>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</si>
  <si>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</si>
  <si>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</si>
  <si>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</si>
  <si>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</si>
  <si>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</si>
  <si>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</si>
  <si>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</si>
  <si>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</si>
  <si>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</si>
  <si>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</si>
  <si>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</si>
  <si>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</si>
  <si>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</si>
  <si>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</si>
  <si>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</si>
  <si>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</si>
  <si>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</si>
  <si>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</si>
  <si>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</si>
  <si>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</si>
  <si>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</si>
  <si>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</si>
  <si>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</si>
  <si>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</si>
  <si>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</si>
  <si>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</si>
  <si>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</si>
  <si>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</si>
  <si>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</si>
  <si>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</si>
  <si>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</si>
  <si>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</si>
  <si>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</si>
  <si>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</si>
  <si>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</si>
  <si>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</si>
  <si>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</si>
  <si>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</si>
  <si>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</si>
  <si>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</si>
  <si>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</si>
  <si>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</si>
  <si>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</si>
  <si>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</si>
  <si>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</si>
  <si>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</si>
  <si>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</si>
  <si>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</si>
  <si>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</si>
  <si>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</si>
  <si>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</si>
  <si>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</si>
  <si>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</si>
  <si>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</si>
  <si>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</si>
  <si>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</si>
  <si>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</si>
  <si>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</si>
  <si>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</si>
  <si>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</si>
  <si>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</si>
  <si>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</si>
  <si>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</si>
  <si>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</si>
  <si>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</si>
  <si>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</si>
  <si>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</si>
  <si>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</si>
  <si>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</si>
  <si>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</si>
  <si>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</si>
  <si>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</si>
  <si>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</si>
  <si>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</si>
  <si>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</si>
  <si>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</si>
  <si>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</si>
  <si>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</si>
  <si>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</si>
  <si>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</si>
  <si>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</si>
  <si>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</si>
  <si>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</si>
  <si>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</si>
  <si>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</si>
  <si>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</si>
  <si>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</si>
  <si>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</si>
  <si>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</si>
  <si>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</si>
  <si>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</si>
  <si>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</si>
  <si>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</si>
  <si>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</si>
  <si>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</si>
  <si>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</si>
  <si>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</si>
  <si>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</si>
  <si>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</si>
  <si>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</si>
  <si>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</si>
  <si>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</si>
  <si>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</si>
  <si>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</si>
  <si>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</si>
  <si>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</si>
  <si>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</si>
  <si>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</si>
  <si>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</si>
  <si>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</si>
  <si>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</si>
  <si>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</si>
  <si>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</si>
  <si>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</si>
  <si>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</si>
  <si>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</si>
  <si>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</si>
  <si>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</si>
  <si>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</si>
  <si>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</si>
  <si>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</si>
  <si>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</si>
  <si>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</si>
  <si>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</si>
  <si>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</si>
  <si>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</si>
  <si>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</si>
  <si>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</si>
  <si>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</si>
  <si>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</si>
  <si>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</si>
  <si>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</si>
  <si>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</si>
  <si>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</si>
  <si>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</si>
  <si>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</si>
  <si>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</si>
  <si>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</si>
  <si>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</si>
  <si>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</si>
  <si>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</si>
  <si>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</si>
  <si>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</si>
  <si>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</si>
  <si>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</si>
  <si>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</si>
  <si>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</si>
  <si>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</si>
  <si>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</si>
  <si>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</si>
  <si>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</si>
  <si>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</si>
  <si>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</si>
  <si>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</si>
  <si>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</si>
  <si>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</si>
  <si>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</si>
  <si>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</si>
  <si>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</si>
  <si>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</si>
  <si>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</si>
  <si>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</si>
  <si>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</si>
  <si>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</si>
  <si>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</si>
  <si>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</si>
  <si>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</si>
  <si>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</si>
  <si>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</si>
  <si>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</si>
  <si>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</si>
  <si>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</si>
  <si>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</si>
  <si>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</si>
  <si>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</si>
  <si>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</si>
  <si>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</si>
  <si>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</si>
  <si>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</si>
  <si>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</si>
  <si>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</si>
  <si>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</si>
  <si>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</si>
  <si>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</si>
  <si>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</si>
  <si>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</si>
  <si>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</si>
  <si>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</si>
  <si>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</si>
  <si>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</si>
  <si>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</si>
  <si>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</si>
  <si>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</si>
  <si>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</si>
  <si>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</si>
  <si>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</si>
  <si>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</si>
  <si>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</si>
  <si>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</si>
  <si>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</si>
  <si>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</si>
  <si>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</si>
  <si>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</si>
  <si>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</si>
  <si>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</si>
  <si>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</si>
  <si>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</si>
  <si>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</si>
  <si>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</si>
  <si>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</si>
  <si>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</si>
  <si>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</si>
  <si>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</si>
  <si>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</si>
  <si>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</si>
  <si>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</si>
  <si>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</si>
  <si>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</si>
  <si>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</si>
  <si>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</si>
  <si>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</si>
  <si>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</si>
  <si>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</si>
  <si>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</si>
  <si>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</si>
  <si>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</si>
  <si>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</si>
  <si>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</si>
  <si>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</si>
  <si>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</si>
  <si>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</si>
  <si>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</si>
  <si>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</si>
  <si>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</si>
  <si>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</si>
  <si>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</si>
  <si>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</si>
  <si>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</si>
  <si>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</si>
  <si>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</si>
  <si>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</si>
  <si>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</si>
  <si>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</si>
  <si>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</si>
  <si>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</si>
  <si>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</si>
  <si>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</si>
  <si>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</si>
  <si>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</si>
  <si>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</si>
  <si>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</si>
  <si>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</si>
  <si>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</si>
  <si>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</si>
  <si>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</si>
  <si>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</si>
  <si>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</si>
  <si>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</si>
  <si>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</si>
  <si>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</si>
  <si>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</si>
  <si>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</si>
  <si>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</si>
  <si>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</si>
  <si>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</si>
  <si>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</si>
  <si>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</si>
  <si>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</si>
  <si>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</si>
  <si>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</si>
  <si>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</si>
  <si>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</si>
  <si>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</si>
  <si>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</si>
  <si>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</si>
  <si>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</si>
  <si>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</si>
  <si>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</si>
  <si>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</si>
  <si>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</si>
  <si>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</si>
  <si>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</si>
  <si>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</si>
  <si>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</si>
  <si>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</si>
  <si>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</si>
  <si>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</si>
  <si>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</si>
  <si>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</si>
  <si>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</si>
  <si>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</si>
  <si>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</si>
  <si>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</si>
  <si>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</si>
  <si>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</si>
  <si>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</si>
  <si>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</si>
  <si>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</si>
  <si>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</si>
  <si>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</si>
  <si>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</si>
  <si>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</si>
  <si>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</si>
  <si>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</si>
  <si>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</si>
  <si>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</si>
  <si>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</si>
  <si>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</si>
  <si>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</si>
  <si>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</si>
  <si>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</si>
  <si>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</si>
  <si>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</si>
  <si>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</si>
  <si>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</si>
  <si>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</si>
  <si>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</si>
  <si>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</si>
  <si>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</si>
  <si>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</si>
  <si>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</si>
  <si>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</si>
  <si>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</si>
  <si>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</si>
  <si>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</si>
  <si>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</si>
  <si>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</si>
  <si>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</si>
  <si>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</si>
  <si>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</si>
  <si>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</si>
  <si>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</si>
  <si>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</si>
  <si>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</si>
  <si>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</si>
  <si>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</si>
  <si>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</si>
  <si>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</si>
  <si>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</si>
  <si>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</si>
  <si>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</si>
  <si>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</si>
  <si>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</si>
  <si>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</si>
  <si>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</si>
  <si>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</si>
  <si>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</si>
  <si>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</si>
  <si>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</si>
  <si>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</si>
  <si>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</si>
  <si>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</si>
  <si>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</si>
  <si>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</si>
  <si>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</si>
  <si>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</si>
  <si>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</si>
  <si>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</si>
  <si>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</si>
  <si>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</si>
  <si>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</si>
  <si>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</si>
  <si>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</si>
  <si>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</si>
  <si>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</si>
  <si>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</si>
  <si>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</si>
  <si>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</si>
  <si>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</si>
  <si>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</si>
  <si>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</si>
  <si>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</si>
  <si>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</si>
  <si>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</si>
  <si>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</si>
  <si>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</si>
  <si>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</si>
  <si>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</si>
  <si>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</si>
  <si>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</si>
  <si>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</si>
  <si>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</si>
  <si>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</si>
  <si>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</si>
  <si>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</si>
  <si>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</si>
  <si>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</si>
  <si>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</si>
  <si>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</si>
  <si>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</si>
  <si>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</si>
  <si>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</si>
  <si>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</si>
  <si>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</si>
  <si>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</si>
  <si>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</si>
  <si>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</si>
  <si>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</si>
  <si>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</si>
  <si>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</si>
  <si>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</si>
  <si>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</si>
  <si>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</si>
  <si>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</si>
  <si>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</si>
  <si>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</si>
  <si>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</si>
  <si>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</si>
  <si>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</si>
  <si>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</si>
  <si>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</si>
  <si>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</si>
  <si>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</si>
  <si>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</si>
  <si>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</si>
  <si>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</si>
  <si>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</si>
  <si>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</si>
  <si>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</si>
  <si>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</si>
  <si>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</si>
  <si>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</si>
  <si>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</si>
  <si>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</si>
  <si>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</si>
  <si>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</si>
  <si>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</si>
  <si>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</si>
  <si>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</si>
  <si>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</si>
  <si>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</si>
  <si>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</si>
  <si>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</si>
  <si>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</si>
  <si>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</si>
  <si>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</si>
  <si>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</si>
  <si>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</si>
  <si>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</si>
  <si>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</si>
  <si>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</si>
  <si>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</si>
  <si>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</si>
  <si>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</si>
  <si>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</si>
  <si>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</si>
  <si>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</si>
  <si>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</si>
  <si>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</si>
  <si>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</si>
  <si>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</si>
  <si>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</si>
  <si>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</si>
  <si>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</si>
  <si>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</si>
  <si>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</si>
  <si>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</si>
  <si>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</si>
  <si>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</si>
  <si>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</si>
  <si>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</si>
  <si>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</si>
  <si>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</si>
  <si>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</si>
  <si>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</si>
  <si>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</si>
  <si>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</si>
  <si>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</si>
  <si>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</si>
  <si>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</si>
  <si>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</si>
  <si>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</si>
  <si>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</si>
  <si>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</si>
  <si>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</si>
  <si>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</si>
  <si>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</si>
  <si>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</si>
  <si>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</si>
  <si>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</si>
  <si>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</si>
  <si>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</si>
  <si>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</si>
  <si>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</si>
  <si>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</si>
  <si>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</si>
  <si>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</si>
  <si>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</si>
  <si>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</si>
  <si>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</si>
  <si>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</si>
  <si>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</si>
  <si>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</si>
  <si>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</si>
  <si>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</si>
  <si>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</si>
  <si>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</si>
  <si>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</si>
  <si>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</si>
  <si>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</si>
  <si>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</si>
  <si>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</si>
  <si>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</si>
  <si>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</si>
  <si>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</si>
  <si>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</si>
  <si>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</si>
  <si>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</si>
  <si>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</si>
  <si>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</si>
  <si>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</si>
  <si>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</si>
  <si>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</si>
  <si>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</si>
  <si>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</si>
  <si>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</si>
  <si>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</si>
  <si>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</si>
  <si>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</si>
  <si>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</si>
  <si>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</si>
  <si>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</si>
  <si>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</si>
  <si>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</si>
  <si>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</si>
  <si>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</si>
  <si>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</si>
  <si>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</si>
  <si>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</si>
  <si>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</si>
  <si>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</si>
  <si>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</si>
  <si>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</si>
  <si>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</si>
  <si>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</si>
  <si>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</si>
  <si>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</si>
  <si>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</si>
  <si>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</si>
  <si>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</si>
  <si>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</si>
  <si>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</si>
  <si>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</si>
  <si>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</si>
  <si>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</si>
  <si>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</si>
  <si>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</si>
  <si>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</si>
  <si>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</si>
  <si>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</si>
  <si>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</si>
  <si>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</si>
  <si>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</si>
  <si>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</si>
  <si>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</si>
  <si>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</si>
  <si>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</si>
  <si>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</si>
  <si>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</si>
  <si>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</si>
  <si>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</si>
  <si>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</si>
  <si>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</si>
  <si>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</si>
  <si>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</si>
  <si>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</si>
  <si>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</si>
  <si>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</si>
  <si>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</si>
  <si>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</si>
  <si>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</si>
  <si>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</si>
  <si>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</si>
  <si>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</si>
  <si>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</si>
  <si>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</si>
  <si>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</si>
  <si>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</si>
  <si>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</si>
  <si>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</si>
  <si>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</si>
  <si>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</si>
  <si>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</si>
  <si>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</si>
  <si>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</si>
  <si>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</si>
  <si>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</si>
  <si>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</si>
  <si>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</si>
  <si>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</si>
  <si>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</si>
  <si>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</si>
  <si>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</si>
  <si>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</si>
  <si>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</si>
  <si>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</si>
  <si>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</si>
  <si>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</si>
  <si>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</si>
  <si>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</si>
  <si>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</si>
  <si>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</si>
  <si>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</si>
  <si>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</si>
  <si>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</si>
  <si>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</si>
  <si>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</si>
  <si>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</si>
  <si>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</si>
  <si>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</si>
  <si>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</si>
  <si>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</si>
  <si>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</si>
  <si>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</si>
  <si>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</si>
  <si>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</si>
  <si>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</si>
  <si>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</si>
  <si>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</si>
  <si>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</si>
  <si>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</si>
  <si>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</si>
  <si>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</si>
  <si>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</si>
  <si>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</si>
  <si>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</si>
  <si>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</si>
  <si>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</si>
  <si>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</si>
  <si>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</si>
  <si>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</si>
  <si>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</si>
  <si>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</si>
  <si>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</si>
  <si>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</si>
  <si>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</si>
  <si>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</si>
  <si>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</si>
  <si>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</si>
  <si>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</si>
  <si>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</si>
  <si>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</si>
  <si>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</si>
  <si>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</si>
  <si>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</si>
  <si>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</si>
  <si>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</si>
  <si>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</si>
  <si>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</si>
  <si>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</si>
  <si>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</si>
  <si>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</si>
  <si>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</si>
  <si>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</si>
  <si>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</si>
  <si>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</si>
  <si>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</si>
  <si>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</si>
  <si>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</si>
  <si>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</si>
  <si>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</si>
  <si>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</si>
  <si>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</si>
  <si>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</si>
  <si>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</si>
  <si>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</si>
  <si>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</si>
  <si>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</si>
  <si>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</si>
  <si>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</si>
  <si>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</si>
  <si>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</si>
  <si>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</si>
  <si>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</si>
  <si>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</si>
  <si>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</si>
  <si>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</si>
  <si>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</si>
  <si>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</si>
  <si>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</si>
  <si>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</si>
  <si>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</si>
  <si>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</si>
  <si>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</si>
  <si>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</si>
  <si>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</si>
  <si>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</si>
  <si>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</si>
  <si>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</si>
  <si>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</si>
  <si>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</si>
  <si>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</si>
  <si>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</si>
  <si>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</si>
  <si>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</si>
  <si>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</si>
  <si>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</si>
  <si>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</si>
  <si>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</si>
  <si>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</si>
  <si>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</si>
  <si>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</si>
  <si>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</si>
  <si>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</si>
  <si>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</si>
  <si>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</si>
  <si>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</si>
  <si>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</si>
  <si>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</si>
  <si>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</si>
  <si>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</si>
  <si>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</si>
  <si>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</si>
  <si>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</si>
  <si>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</si>
  <si>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</si>
  <si>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</si>
  <si>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</si>
  <si>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</si>
  <si>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</si>
  <si>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</si>
  <si>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</si>
  <si>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</si>
  <si>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</si>
  <si>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</si>
  <si>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</si>
  <si>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</si>
  <si>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</si>
  <si>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</si>
  <si>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</si>
  <si>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</si>
  <si>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</si>
  <si>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</si>
  <si>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</si>
  <si>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</si>
  <si>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</si>
  <si>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</si>
  <si>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</si>
  <si>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</si>
  <si>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</si>
  <si>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</si>
  <si>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</si>
  <si>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</si>
  <si>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</si>
  <si>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</si>
  <si>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</si>
  <si>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</si>
  <si>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</si>
  <si>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</si>
  <si>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</si>
  <si>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</si>
  <si>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</si>
  <si>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</si>
  <si>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</si>
  <si>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</si>
  <si>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</si>
  <si>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</si>
  <si>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</si>
  <si>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</si>
  <si>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</si>
  <si>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</si>
  <si>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</si>
  <si>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</si>
  <si>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</si>
  <si>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</si>
  <si>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</si>
  <si>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</si>
  <si>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</si>
  <si>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</si>
  <si>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</si>
  <si>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</si>
  <si>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</si>
  <si>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</si>
  <si>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</si>
  <si>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</si>
  <si>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</si>
  <si>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</si>
  <si>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</si>
  <si>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</si>
  <si>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</si>
  <si>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</si>
  <si>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</si>
  <si>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</si>
  <si>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</si>
  <si>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</si>
  <si>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</si>
  <si>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</si>
  <si>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</si>
  <si>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</si>
  <si>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</si>
  <si>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</si>
  <si>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</si>
  <si>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</si>
  <si>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</si>
  <si>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</si>
  <si>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</si>
  <si>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</si>
  <si>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</si>
  <si>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</si>
  <si>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</si>
  <si>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</si>
  <si>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</si>
  <si>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</si>
  <si>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</si>
  <si>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</si>
  <si>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</si>
  <si>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</si>
  <si>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</si>
  <si>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</si>
  <si>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</si>
  <si>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</si>
  <si>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</si>
  <si>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</si>
  <si>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</si>
  <si>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</si>
  <si>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</si>
  <si>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</si>
  <si>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</si>
  <si>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</si>
  <si>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</si>
  <si>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</si>
  <si>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</si>
  <si>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</si>
  <si>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</si>
  <si>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</si>
  <si>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</si>
  <si>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</si>
  <si>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</si>
  <si>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</si>
  <si>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</si>
  <si>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</si>
  <si>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</si>
  <si>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</si>
  <si>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</si>
  <si>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</si>
  <si>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</si>
  <si>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</si>
  <si>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</si>
  <si>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</si>
  <si>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</si>
  <si>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</si>
  <si>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</si>
  <si>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</si>
  <si>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</si>
  <si>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</si>
  <si>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</si>
  <si>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</si>
  <si>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</si>
  <si>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</si>
  <si>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</si>
  <si>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</si>
  <si>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</si>
  <si>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</si>
  <si>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</si>
  <si>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</si>
  <si>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</si>
  <si>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</si>
  <si>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</si>
  <si>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</si>
  <si>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</si>
  <si>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</si>
  <si>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</si>
  <si>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</si>
  <si>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</si>
  <si>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</si>
  <si>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</si>
  <si>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</si>
  <si>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</si>
  <si>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</si>
  <si>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</si>
  <si>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</si>
  <si>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</si>
  <si>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</si>
  <si>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</si>
  <si>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</si>
  <si>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</si>
  <si>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</si>
  <si>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</si>
  <si>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</si>
  <si>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</si>
  <si>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</si>
  <si>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</si>
  <si>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</si>
  <si>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</si>
  <si>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</si>
  <si>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</si>
  <si>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</si>
  <si>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</si>
  <si>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</si>
  <si>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</si>
  <si>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</si>
  <si>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</si>
  <si>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</si>
  <si>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</si>
  <si>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</si>
  <si>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</si>
  <si>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</si>
  <si>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</si>
  <si>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</si>
  <si>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</si>
  <si>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</si>
  <si>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</si>
  <si>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</si>
  <si>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</si>
  <si>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</si>
  <si>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</si>
  <si>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</si>
  <si>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</si>
  <si>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</si>
  <si>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</si>
  <si>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</si>
  <si>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</si>
  <si>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</si>
  <si>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</si>
  <si>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</si>
  <si>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</si>
  <si>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</si>
  <si>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</si>
  <si>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</si>
  <si>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</si>
  <si>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</si>
  <si>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</si>
  <si>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</si>
  <si>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</si>
  <si>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</si>
  <si>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</si>
  <si>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</si>
  <si>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</si>
  <si>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</si>
  <si>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</si>
  <si>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</si>
  <si>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</si>
  <si>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</si>
  <si>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</si>
  <si>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</si>
  <si>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</si>
  <si>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</si>
  <si>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</si>
  <si>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</si>
  <si>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</si>
  <si>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</si>
  <si>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</si>
  <si>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</si>
  <si>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</si>
  <si>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</si>
  <si>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</si>
  <si>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</si>
  <si>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</si>
  <si>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</si>
  <si>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</si>
  <si>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</si>
  <si>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</si>
  <si>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</si>
  <si>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</si>
  <si>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</si>
  <si>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</si>
  <si>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</si>
  <si>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</si>
  <si>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</si>
  <si>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</si>
  <si>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</si>
  <si>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</si>
  <si>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</si>
  <si>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</si>
  <si>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</si>
  <si>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</si>
  <si>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</si>
  <si>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</si>
  <si>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</si>
  <si>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</si>
  <si>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</si>
  <si>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</si>
  <si>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</si>
  <si>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</si>
  <si>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</si>
  <si>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</si>
  <si>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</si>
  <si>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</si>
  <si>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</si>
  <si>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</si>
  <si>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</si>
  <si>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</si>
  <si>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</si>
  <si>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</si>
  <si>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</si>
  <si>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</si>
  <si>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</si>
  <si>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</si>
  <si>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</si>
  <si>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</si>
  <si>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</si>
  <si>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</si>
  <si>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</si>
  <si>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</si>
  <si>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</si>
  <si>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</si>
  <si>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</si>
  <si>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</si>
  <si>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</si>
  <si>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</si>
  <si>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</si>
  <si>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</si>
  <si>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</si>
  <si>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</si>
  <si>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</si>
  <si>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</si>
  <si>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</si>
  <si>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</si>
  <si>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</si>
  <si>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</si>
  <si>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</si>
  <si>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</si>
  <si>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</si>
  <si>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</si>
  <si>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</si>
  <si>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</si>
  <si>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</si>
  <si>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</si>
  <si>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</si>
  <si>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</si>
  <si>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</si>
  <si>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</si>
  <si>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</si>
  <si>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</si>
  <si>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</si>
  <si>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</si>
  <si>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</si>
  <si>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</si>
  <si>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</si>
  <si>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</si>
  <si>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</si>
  <si>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</si>
  <si>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</si>
  <si>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</si>
  <si>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</si>
  <si>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</si>
  <si>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</si>
  <si>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</si>
  <si>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</si>
  <si>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</si>
  <si>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</si>
  <si>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</si>
  <si>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</si>
  <si>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</si>
  <si>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</si>
  <si>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</si>
  <si>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</si>
  <si>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</si>
  <si>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</si>
  <si>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</si>
  <si>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</si>
  <si>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</si>
  <si>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</si>
  <si>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</si>
  <si>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</si>
  <si>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</si>
  <si>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</si>
  <si>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</si>
  <si>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</si>
  <si>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</si>
  <si>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</si>
  <si>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</si>
  <si>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</si>
  <si>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</si>
  <si>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</si>
  <si>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</si>
  <si>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</si>
  <si>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</si>
  <si>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</si>
  <si>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</si>
  <si>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</si>
  <si>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</si>
  <si>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</si>
  <si>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</si>
  <si>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</si>
  <si>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</si>
  <si>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</si>
  <si>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</si>
  <si>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</si>
  <si>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</si>
  <si>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</si>
  <si>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</si>
  <si>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</si>
  <si>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</si>
  <si>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</si>
  <si>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</si>
  <si>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</si>
  <si>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</si>
  <si>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</si>
  <si>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</si>
  <si>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</si>
  <si>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</si>
  <si>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</si>
  <si>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</si>
  <si>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</si>
  <si>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</si>
  <si>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</si>
  <si>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</si>
  <si>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</si>
  <si>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</si>
  <si>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</si>
  <si>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</si>
  <si>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</si>
  <si>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</si>
  <si>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</si>
  <si>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</si>
  <si>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</si>
  <si>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</si>
  <si>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</si>
  <si>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</si>
  <si>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</si>
  <si>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</si>
  <si>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</si>
  <si>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</si>
  <si>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</si>
  <si>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</si>
  <si>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</si>
  <si>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</si>
  <si>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</si>
  <si>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</si>
  <si>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</si>
  <si>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</si>
  <si>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</si>
  <si>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</si>
  <si>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</si>
  <si>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</si>
  <si>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</si>
  <si>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</si>
  <si>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</si>
  <si>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</si>
  <si>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</si>
  <si>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</si>
  <si>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</si>
  <si>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</si>
  <si>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</si>
  <si>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</si>
  <si>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</si>
  <si>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</si>
  <si>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</si>
  <si>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</si>
  <si>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</si>
  <si>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</si>
  <si>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</si>
  <si>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</si>
  <si>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</si>
  <si>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</si>
  <si>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</si>
  <si>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</si>
  <si>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</si>
  <si>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</si>
  <si>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</si>
  <si>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</si>
  <si>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</si>
  <si>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</si>
  <si>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</si>
  <si>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</si>
  <si>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</si>
  <si>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</si>
  <si>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</si>
  <si>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</si>
  <si>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</si>
  <si>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</si>
  <si>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</si>
  <si>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</si>
  <si>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</si>
  <si>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</si>
  <si>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</si>
  <si>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</si>
  <si>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</si>
  <si>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</si>
  <si>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</si>
  <si>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</si>
  <si>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</si>
  <si>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</si>
  <si>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</si>
  <si>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</si>
  <si>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</si>
  <si>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</si>
  <si>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</si>
  <si>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</si>
  <si>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</si>
  <si>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</si>
  <si>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</si>
  <si>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</si>
  <si>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</si>
  <si>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</si>
  <si>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</si>
  <si>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</si>
  <si>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</si>
  <si>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</si>
  <si>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</si>
  <si>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</si>
  <si>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</si>
  <si>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</si>
  <si>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</si>
  <si>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</si>
  <si>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</si>
  <si>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</si>
  <si>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</si>
  <si>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</si>
  <si>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</si>
  <si>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</si>
  <si>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</si>
  <si>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</si>
  <si>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</si>
  <si>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</si>
  <si>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</si>
  <si>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</si>
  <si>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</si>
  <si>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</si>
  <si>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</si>
  <si>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</si>
  <si>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</si>
  <si>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</si>
  <si>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</si>
  <si>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</si>
  <si>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</si>
  <si>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</si>
  <si>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</si>
  <si>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</si>
  <si>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</si>
  <si>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</si>
  <si>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</si>
  <si>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</si>
  <si>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</si>
  <si>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</si>
  <si>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</si>
  <si>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</si>
  <si>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</si>
  <si>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</si>
  <si>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</si>
  <si>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</si>
  <si>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</si>
  <si>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</si>
  <si>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</si>
  <si>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</si>
  <si>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</si>
  <si>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</si>
  <si>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</si>
  <si>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</si>
  <si>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</si>
  <si>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</si>
  <si>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</si>
  <si>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</si>
  <si>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</si>
  <si>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</si>
  <si>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</si>
  <si>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</si>
  <si>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</si>
  <si>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</si>
  <si>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</si>
  <si>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</si>
  <si>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</si>
  <si>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</si>
  <si>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</si>
  <si>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</si>
  <si>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</si>
  <si>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</si>
  <si>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</si>
  <si>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</si>
  <si>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</si>
  <si>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</si>
  <si>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</si>
  <si>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</si>
  <si>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</si>
  <si>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</si>
  <si>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</si>
  <si>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</si>
  <si>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</si>
  <si>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</si>
  <si>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</si>
  <si>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</si>
  <si>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</si>
  <si>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</si>
  <si>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</si>
  <si>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</si>
  <si>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</si>
  <si>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</si>
  <si>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</si>
  <si>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</si>
  <si>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</si>
  <si>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</si>
  <si>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</si>
  <si>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</si>
  <si>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</si>
  <si>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</si>
  <si>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</si>
  <si>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</si>
  <si>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</si>
  <si>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</si>
  <si>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</si>
  <si>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</si>
  <si>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</si>
  <si>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</si>
  <si>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</si>
  <si>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</si>
  <si>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</si>
  <si>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</si>
  <si>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</si>
  <si>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</si>
  <si>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</si>
  <si>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</si>
  <si>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</si>
  <si>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</si>
  <si>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</si>
  <si>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</si>
  <si>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</si>
  <si>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</si>
  <si>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</si>
  <si>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</si>
  <si>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</si>
  <si>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</si>
  <si>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</si>
  <si>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</si>
  <si>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</si>
  <si>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</si>
  <si>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</si>
  <si>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</si>
  <si>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</si>
  <si>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</si>
  <si>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</si>
  <si>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</si>
  <si>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</si>
  <si>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</si>
  <si>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</si>
  <si>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</si>
  <si>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</si>
  <si>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</si>
  <si>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</si>
  <si>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</si>
  <si>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</si>
  <si>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</si>
  <si>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</si>
  <si>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</si>
  <si>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</si>
  <si>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</si>
  <si>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</si>
  <si>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</si>
  <si>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</si>
  <si>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</si>
  <si>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</si>
  <si>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</si>
  <si>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</si>
  <si>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</si>
  <si>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</si>
  <si>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</si>
  <si>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</si>
  <si>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</si>
  <si>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</si>
  <si>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</si>
  <si>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</si>
  <si>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</si>
  <si>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</si>
  <si>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</si>
  <si>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</si>
  <si>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</si>
  <si>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</si>
  <si>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</si>
  <si>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</si>
  <si>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</si>
  <si>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</si>
  <si>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</si>
  <si>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</si>
  <si>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</si>
  <si>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</si>
  <si>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</si>
  <si>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</si>
  <si>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</si>
  <si>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</si>
  <si>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</si>
  <si>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</si>
  <si>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</si>
  <si>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</si>
  <si>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</si>
  <si>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</si>
  <si>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</si>
  <si>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</si>
  <si>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</si>
  <si>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</si>
  <si>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</si>
  <si>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</si>
  <si>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</si>
  <si>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</si>
  <si>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</si>
  <si>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</si>
  <si>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</si>
  <si>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</si>
  <si>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</si>
  <si>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</si>
  <si>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</si>
  <si>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</si>
  <si>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</si>
  <si>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</si>
  <si>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</si>
  <si>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</si>
  <si>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</si>
  <si>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</si>
  <si>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</si>
  <si>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</si>
  <si>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</si>
  <si>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</si>
  <si>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</si>
  <si>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</si>
  <si>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</si>
  <si>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</si>
  <si>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</si>
  <si>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</si>
  <si>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</si>
  <si>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</si>
  <si>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</si>
  <si>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</si>
  <si>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</si>
  <si>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</si>
  <si>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</si>
  <si>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</si>
  <si>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</si>
  <si>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</si>
  <si>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</si>
  <si>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</si>
  <si>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</si>
  <si>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</si>
  <si>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</si>
  <si>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</si>
  <si>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</si>
  <si>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</si>
  <si>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</si>
  <si>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</si>
  <si>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</si>
  <si>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</si>
  <si>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</si>
  <si>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</si>
  <si>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</si>
  <si>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</si>
  <si>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</si>
  <si>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</si>
  <si>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</si>
  <si>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</si>
  <si>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</si>
  <si>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</si>
  <si>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</si>
  <si>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</si>
  <si>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</si>
  <si>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</si>
  <si>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</si>
  <si>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</si>
  <si>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</si>
  <si>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</si>
  <si>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</si>
  <si>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</si>
  <si>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</si>
  <si>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</si>
  <si>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</si>
  <si>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</si>
  <si>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</si>
  <si>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</si>
  <si>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</si>
  <si>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</si>
  <si>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</si>
  <si>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</si>
  <si>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</si>
  <si>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</si>
  <si>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</si>
  <si>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</si>
  <si>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</si>
  <si>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</si>
  <si>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</si>
  <si>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</si>
  <si>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</si>
  <si>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</si>
  <si>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</si>
  <si>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</si>
  <si>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</si>
  <si>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</si>
  <si>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</si>
  <si>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</si>
  <si>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</si>
  <si>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</si>
  <si>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</si>
  <si>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</si>
  <si>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</si>
  <si>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</si>
  <si>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</si>
  <si>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</si>
  <si>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</si>
  <si>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</si>
  <si>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</si>
  <si>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</si>
  <si>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</si>
  <si>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</si>
  <si>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</si>
  <si>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</si>
  <si>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</si>
  <si>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</si>
  <si>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</si>
  <si>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</si>
  <si>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</si>
  <si>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</si>
  <si>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</si>
  <si>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</si>
  <si>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</si>
  <si>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</si>
  <si>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</si>
  <si>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</si>
  <si>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</si>
  <si>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</si>
  <si>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</si>
  <si>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</si>
  <si>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</si>
  <si>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</si>
  <si>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</si>
  <si>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</si>
  <si>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</si>
  <si>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</si>
  <si>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</si>
  <si>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</si>
  <si>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</si>
  <si>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</si>
  <si>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</si>
  <si>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</si>
  <si>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</si>
  <si>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</si>
  <si>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</si>
  <si>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</si>
  <si>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</si>
  <si>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</si>
  <si>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</si>
  <si>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</si>
  <si>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</si>
  <si>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</si>
  <si>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</si>
  <si>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</si>
  <si>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</si>
  <si>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</si>
  <si>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</si>
  <si>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</si>
  <si>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</si>
  <si>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</si>
  <si>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</si>
  <si>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</si>
  <si>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</si>
  <si>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</si>
  <si>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</si>
  <si>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</si>
  <si>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</si>
  <si>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</si>
  <si>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</si>
  <si>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利息：取LPR</t>
  </si>
  <si>
    <t>2006</t>
    <phoneticPr fontId="255" type="noConversion"/>
  </si>
  <si>
    <t>评估日期</t>
  </si>
  <si>
    <t>贷款机构</t>
  </si>
  <si>
    <t>评估人电话</t>
    <phoneticPr fontId="4" type="noConversion"/>
  </si>
  <si>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</si>
  <si>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</si>
  <si>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</si>
  <si>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</si>
  <si>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</si>
  <si>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</si>
  <si>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</si>
  <si>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</si>
  <si>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</si>
  <si>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</si>
  <si>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</si>
  <si>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</si>
  <si>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</si>
  <si>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</si>
  <si>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</si>
  <si>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</si>
  <si>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</si>
  <si>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</si>
  <si>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</si>
  <si>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</si>
  <si>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</si>
  <si>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phoneticPr fontId="4" type="noConversion"/>
  </si>
  <si>
    <t>建面成交单价</t>
    <phoneticPr fontId="4" type="noConversion"/>
  </si>
  <si>
    <t>评估总额</t>
  </si>
  <si>
    <t>评估总额(万元)</t>
  </si>
  <si>
    <t>建面评估单价(元/M2)</t>
    <phoneticPr fontId="4" type="noConversion"/>
  </si>
  <si>
    <t>风险率</t>
  </si>
  <si>
    <t>最高抵押额</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</si>
  <si>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</si>
  <si>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</si>
  <si>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</si>
  <si>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</si>
  <si>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</si>
  <si>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工行</t>
  </si>
  <si>
    <t>评估人</t>
  </si>
  <si>
    <t>工程进度</t>
  </si>
  <si>
    <t>结论</t>
  </si>
  <si>
    <t>备注</t>
  </si>
  <si>
    <t>复核人</t>
    <phoneticPr fontId="4" type="noConversion"/>
  </si>
  <si>
    <t>交付时间</t>
    <phoneticPr fontId="4" type="noConversion"/>
  </si>
  <si>
    <t>评估月份</t>
    <phoneticPr fontId="4" type="noConversion"/>
  </si>
  <si>
    <t>办公电话</t>
    <phoneticPr fontId="4" type="noConversion"/>
  </si>
  <si>
    <t>移动电话</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</si>
  <si>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</si>
  <si>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</si>
  <si>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</si>
  <si>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</si>
  <si>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</si>
  <si>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</si>
  <si>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</si>
  <si>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</si>
  <si>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</si>
  <si>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</si>
  <si>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</si>
  <si>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</si>
  <si>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</si>
  <si>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</si>
  <si>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</si>
  <si>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</si>
  <si>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</si>
  <si>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</si>
  <si>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</si>
  <si>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</si>
  <si>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</si>
  <si>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</si>
  <si>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</si>
  <si>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</si>
  <si>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</si>
  <si>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</si>
  <si>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</si>
  <si>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</si>
  <si>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2006-21-P-02288-U</t>
    <phoneticPr fontId="4" type="noConversion"/>
  </si>
  <si>
    <t>王红</t>
    <phoneticPr fontId="4" type="noConversion"/>
  </si>
  <si>
    <t>110221196805010042</t>
    <phoneticPr fontId="4" type="noConversion"/>
  </si>
  <si>
    <t>13716129797</t>
    <phoneticPr fontId="4" type="noConversion"/>
  </si>
  <si>
    <t>昌平区</t>
    <phoneticPr fontId="4" type="noConversion"/>
  </si>
  <si>
    <t>昌平区委党校职工宿舍楼</t>
    <phoneticPr fontId="4" type="noConversion"/>
  </si>
  <si>
    <t>2号楼（现为东关北里39号楼）</t>
    <phoneticPr fontId="4" type="noConversion"/>
  </si>
  <si>
    <t>3单元</t>
    <phoneticPr fontId="4" type="noConversion"/>
  </si>
  <si>
    <t>4层308号</t>
    <phoneticPr fontId="4" type="noConversion"/>
  </si>
  <si>
    <t>三室一厅一卫一厨</t>
    <phoneticPr fontId="4" type="noConversion"/>
  </si>
  <si>
    <t>复式、平层√、跃层、错层</t>
    <phoneticPr fontId="4" type="noConversion"/>
  </si>
  <si>
    <t>北京住房公积金管理中心昌平管理部</t>
    <phoneticPr fontId="4" type="noConversion"/>
  </si>
  <si>
    <t>马琳琳</t>
    <phoneticPr fontId="4" type="noConversion"/>
  </si>
  <si>
    <t>现房</t>
    <phoneticPr fontId="4" type="noConversion"/>
  </si>
  <si>
    <t>可抵押商品住宅</t>
  </si>
  <si>
    <t>诚信易鑫</t>
    <phoneticPr fontId="4" type="noConversion"/>
  </si>
  <si>
    <t>刘朝阳</t>
    <phoneticPr fontId="4" type="noConversion"/>
  </si>
  <si>
    <t>五</t>
    <phoneticPr fontId="4" type="noConversion"/>
  </si>
  <si>
    <t>四</t>
    <phoneticPr fontId="4" type="noConversion"/>
  </si>
  <si>
    <t>杨红英</t>
    <phoneticPr fontId="4" type="noConversion"/>
  </si>
  <si>
    <t>新增</t>
  </si>
  <si>
    <t>协议</t>
    <phoneticPr fontId="4" type="noConversion"/>
  </si>
  <si>
    <t>林建华</t>
    <phoneticPr fontId="4" type="noConversion"/>
  </si>
  <si>
    <t>二手房</t>
    <phoneticPr fontId="4" type="noConversion"/>
  </si>
  <si>
    <t>正常</t>
    <phoneticPr fontId="4" type="noConversion"/>
  </si>
  <si>
    <t>中介</t>
    <phoneticPr fontId="4" type="noConversion"/>
  </si>
  <si>
    <t>不含任何税费</t>
    <phoneticPr fontId="4" type="noConversion"/>
  </si>
  <si>
    <t>组团名</t>
    <phoneticPr fontId="4" type="noConversion"/>
  </si>
  <si>
    <t>交易情况</t>
    <phoneticPr fontId="4" type="noConversion"/>
  </si>
  <si>
    <t>交易方式</t>
    <phoneticPr fontId="4" type="noConversion"/>
  </si>
  <si>
    <t>价格内涵</t>
    <phoneticPr fontId="4" type="noConversion"/>
  </si>
  <si>
    <t>评估套内单价</t>
    <phoneticPr fontId="4" type="noConversion"/>
  </si>
  <si>
    <t>套内单价</t>
    <phoneticPr fontId="4" type="noConversion"/>
  </si>
  <si>
    <t>2005-21-P-00093-U</t>
    <phoneticPr fontId="4" type="noConversion"/>
  </si>
  <si>
    <t>郝仪云</t>
    <phoneticPr fontId="4" type="noConversion"/>
  </si>
  <si>
    <t>110221660917364</t>
    <phoneticPr fontId="4" type="noConversion"/>
  </si>
  <si>
    <t>13521407281</t>
    <phoneticPr fontId="4" type="noConversion"/>
  </si>
  <si>
    <t>昌平区</t>
    <phoneticPr fontId="4" type="noConversion"/>
  </si>
  <si>
    <t>昌平镇东关北里小区</t>
    <phoneticPr fontId="4" type="noConversion"/>
  </si>
  <si>
    <t>14号楼</t>
    <phoneticPr fontId="4" type="noConversion"/>
  </si>
  <si>
    <t>2单元</t>
    <phoneticPr fontId="4" type="noConversion"/>
  </si>
  <si>
    <t>4层(1)号</t>
    <phoneticPr fontId="4" type="noConversion"/>
  </si>
  <si>
    <t>两室一厅一卫一厨</t>
    <phoneticPr fontId="4" type="noConversion"/>
  </si>
  <si>
    <t>复式、平层√、跃层、错层</t>
    <phoneticPr fontId="4" type="noConversion"/>
  </si>
  <si>
    <t>三</t>
    <phoneticPr fontId="4" type="noConversion"/>
  </si>
  <si>
    <t>二</t>
    <phoneticPr fontId="4" type="noConversion"/>
  </si>
  <si>
    <t>张广</t>
    <phoneticPr fontId="4" type="noConversion"/>
  </si>
  <si>
    <t>现售</t>
    <phoneticPr fontId="4" type="noConversion"/>
  </si>
  <si>
    <t>含装修费</t>
    <phoneticPr fontId="4" type="noConversion"/>
  </si>
  <si>
    <t>2005-21-P-00165-U</t>
    <phoneticPr fontId="4" type="noConversion"/>
  </si>
  <si>
    <t>齐晓霞</t>
    <phoneticPr fontId="4" type="noConversion"/>
  </si>
  <si>
    <t>110228197108112640</t>
    <phoneticPr fontId="4" type="noConversion"/>
  </si>
  <si>
    <t>13121191295</t>
    <phoneticPr fontId="4" type="noConversion"/>
  </si>
  <si>
    <t>8号楼</t>
    <phoneticPr fontId="4" type="noConversion"/>
  </si>
  <si>
    <t>3单元</t>
    <phoneticPr fontId="4" type="noConversion"/>
  </si>
  <si>
    <t>4号</t>
    <phoneticPr fontId="4" type="noConversion"/>
  </si>
  <si>
    <t>二室一厅一卫一厨</t>
  </si>
  <si>
    <t>买卖协议</t>
    <phoneticPr fontId="4" type="noConversion"/>
  </si>
  <si>
    <t>邱洪彦</t>
    <phoneticPr fontId="4" type="noConversion"/>
  </si>
  <si>
    <t>不含税费</t>
    <phoneticPr fontId="4" type="noConversion"/>
  </si>
  <si>
    <t>2005-21-P-00236-U</t>
    <phoneticPr fontId="4" type="noConversion"/>
  </si>
  <si>
    <t>刘杰</t>
    <phoneticPr fontId="4" type="noConversion"/>
  </si>
  <si>
    <t>110221810705682</t>
    <phoneticPr fontId="4" type="noConversion"/>
  </si>
  <si>
    <t>13381308720</t>
    <phoneticPr fontId="4" type="noConversion"/>
  </si>
  <si>
    <t>36号楼</t>
    <phoneticPr fontId="4" type="noConversion"/>
  </si>
  <si>
    <t>4单元</t>
    <phoneticPr fontId="4" type="noConversion"/>
  </si>
  <si>
    <t>601号</t>
    <phoneticPr fontId="4" type="noConversion"/>
  </si>
  <si>
    <t>一室一厅一卫一厨</t>
    <phoneticPr fontId="4" type="noConversion"/>
  </si>
  <si>
    <t>新增</t>
    <phoneticPr fontId="4" type="noConversion"/>
  </si>
  <si>
    <t>双方</t>
    <phoneticPr fontId="4" type="noConversion"/>
  </si>
  <si>
    <t>2005-21-P-00252-U</t>
    <phoneticPr fontId="4" type="noConversion"/>
  </si>
  <si>
    <t>卢红</t>
    <phoneticPr fontId="4" type="noConversion"/>
  </si>
  <si>
    <t>110221197507170026</t>
    <phoneticPr fontId="4" type="noConversion"/>
  </si>
  <si>
    <t>69742015</t>
    <phoneticPr fontId="4" type="noConversion"/>
  </si>
  <si>
    <t>昌平区</t>
  </si>
  <si>
    <r>
      <t>昌平镇东关北里</t>
    </r>
    <r>
      <rPr>
        <sz val="10"/>
        <rFont val="Times New Roman"/>
        <family val="1"/>
      </rPr>
      <t/>
    </r>
    <phoneticPr fontId="4" type="noConversion"/>
  </si>
  <si>
    <t>1号楼</t>
  </si>
  <si>
    <t>501号</t>
    <phoneticPr fontId="4" type="noConversion"/>
  </si>
  <si>
    <t>复式、平层√、跃层、错层</t>
  </si>
  <si>
    <t>现房</t>
  </si>
  <si>
    <t>建成年代：1995年</t>
    <phoneticPr fontId="4" type="noConversion"/>
  </si>
  <si>
    <t>方山</t>
    <phoneticPr fontId="4" type="noConversion"/>
  </si>
  <si>
    <t>双方</t>
  </si>
  <si>
    <t>2005-21-P-00851-U</t>
    <phoneticPr fontId="4" type="noConversion"/>
  </si>
  <si>
    <t>李庆华</t>
    <phoneticPr fontId="4" type="noConversion"/>
  </si>
  <si>
    <t>142225197903050029</t>
    <phoneticPr fontId="4" type="noConversion"/>
  </si>
  <si>
    <t>60875934</t>
    <phoneticPr fontId="4" type="noConversion"/>
  </si>
  <si>
    <t>昌平镇东关北里</t>
    <phoneticPr fontId="4" type="noConversion"/>
  </si>
  <si>
    <t>1号</t>
    <phoneticPr fontId="4" type="noConversion"/>
  </si>
  <si>
    <t>二室一厅一卫一厨</t>
    <phoneticPr fontId="4" type="noConversion"/>
  </si>
  <si>
    <t>房屋屋顶预制板开裂，评估值因此偏低</t>
    <phoneticPr fontId="4" type="noConversion"/>
  </si>
  <si>
    <t>吴薇</t>
  </si>
  <si>
    <t>八</t>
    <phoneticPr fontId="4" type="noConversion"/>
  </si>
  <si>
    <t>孙燕军</t>
    <phoneticPr fontId="4" type="noConversion"/>
  </si>
  <si>
    <t>2005-21-P-01259-U</t>
    <phoneticPr fontId="4" type="noConversion"/>
  </si>
  <si>
    <t>李长喜</t>
    <phoneticPr fontId="4" type="noConversion"/>
  </si>
  <si>
    <t>110221196205157518</t>
    <phoneticPr fontId="4" type="noConversion"/>
  </si>
  <si>
    <t>13522070358</t>
    <phoneticPr fontId="4" type="noConversion"/>
  </si>
  <si>
    <t>6号楼</t>
    <phoneticPr fontId="4" type="noConversion"/>
  </si>
  <si>
    <t>403号</t>
    <phoneticPr fontId="4" type="noConversion"/>
  </si>
  <si>
    <t>三室一厅一卫一厨</t>
    <phoneticPr fontId="4" type="noConversion"/>
  </si>
  <si>
    <t>九</t>
    <phoneticPr fontId="4" type="noConversion"/>
  </si>
  <si>
    <t>安巍</t>
    <phoneticPr fontId="4" type="noConversion"/>
  </si>
  <si>
    <t>2005-21-P-02570-U</t>
    <phoneticPr fontId="4" type="noConversion"/>
  </si>
  <si>
    <t>王华</t>
    <phoneticPr fontId="4" type="noConversion"/>
  </si>
  <si>
    <t>110221197711144626</t>
    <phoneticPr fontId="4" type="noConversion"/>
  </si>
  <si>
    <t>13691183901</t>
    <phoneticPr fontId="4" type="noConversion"/>
  </si>
  <si>
    <t>203号</t>
    <phoneticPr fontId="4" type="noConversion"/>
  </si>
  <si>
    <t>魏伯欣</t>
  </si>
  <si>
    <t>十一</t>
    <phoneticPr fontId="4" type="noConversion"/>
  </si>
  <si>
    <t>夏学忠</t>
    <phoneticPr fontId="4" type="noConversion"/>
  </si>
  <si>
    <t>不含其它税费</t>
    <phoneticPr fontId="4" type="noConversion"/>
  </si>
  <si>
    <t>2005-21-P-02811-U</t>
    <phoneticPr fontId="4" type="noConversion"/>
  </si>
  <si>
    <t>张鑫</t>
    <phoneticPr fontId="4" type="noConversion"/>
  </si>
  <si>
    <t>130104198102110021</t>
    <phoneticPr fontId="4" type="noConversion"/>
  </si>
  <si>
    <t>13810973697</t>
    <phoneticPr fontId="4" type="noConversion"/>
  </si>
  <si>
    <t>1号楼</t>
    <phoneticPr fontId="4" type="noConversion"/>
  </si>
  <si>
    <t>1单元</t>
    <phoneticPr fontId="4" type="noConversion"/>
  </si>
  <si>
    <t>401号</t>
    <phoneticPr fontId="4" type="noConversion"/>
  </si>
  <si>
    <t>4</t>
    <phoneticPr fontId="4" type="noConversion"/>
  </si>
  <si>
    <t>三室一厅一卫一厨</t>
    <phoneticPr fontId="4" type="noConversion"/>
  </si>
  <si>
    <t>北京住房公积金管理中心昌平管理部</t>
    <phoneticPr fontId="4" type="noConversion"/>
  </si>
  <si>
    <t>马琳琳</t>
    <phoneticPr fontId="4" type="noConversion"/>
  </si>
  <si>
    <t>现房</t>
    <phoneticPr fontId="4" type="noConversion"/>
  </si>
  <si>
    <t>十一</t>
    <phoneticPr fontId="4" type="noConversion"/>
  </si>
  <si>
    <t>四</t>
    <phoneticPr fontId="4" type="noConversion"/>
  </si>
  <si>
    <t>杨红英</t>
    <phoneticPr fontId="4" type="noConversion"/>
  </si>
  <si>
    <t>协议</t>
    <phoneticPr fontId="4" type="noConversion"/>
  </si>
  <si>
    <t>张美云</t>
    <phoneticPr fontId="4" type="noConversion"/>
  </si>
  <si>
    <t>现售</t>
    <phoneticPr fontId="4" type="noConversion"/>
  </si>
  <si>
    <t>正常</t>
    <phoneticPr fontId="4" type="noConversion"/>
  </si>
  <si>
    <t>双方</t>
    <phoneticPr fontId="4" type="noConversion"/>
  </si>
  <si>
    <t>不含税费</t>
    <phoneticPr fontId="4" type="noConversion"/>
  </si>
  <si>
    <t>2005-21-P-03363-U</t>
    <phoneticPr fontId="4" type="noConversion"/>
  </si>
  <si>
    <t>许荣华</t>
    <phoneticPr fontId="4" type="noConversion"/>
  </si>
  <si>
    <t>110221197606166620</t>
    <phoneticPr fontId="4" type="noConversion"/>
  </si>
  <si>
    <t>13693571335</t>
    <phoneticPr fontId="4" type="noConversion"/>
  </si>
  <si>
    <t>昌平区</t>
    <phoneticPr fontId="4" type="noConversion"/>
  </si>
  <si>
    <t>昌平镇东关北里</t>
    <phoneticPr fontId="4" type="noConversion"/>
  </si>
  <si>
    <t>12号楼</t>
    <phoneticPr fontId="4" type="noConversion"/>
  </si>
  <si>
    <t>4单元</t>
    <phoneticPr fontId="4" type="noConversion"/>
  </si>
  <si>
    <t>2号</t>
    <phoneticPr fontId="4" type="noConversion"/>
  </si>
  <si>
    <t>三室一厅二卫一厨</t>
    <phoneticPr fontId="4" type="noConversion"/>
  </si>
  <si>
    <t>复式、平层√、跃层、错层</t>
    <phoneticPr fontId="4" type="noConversion"/>
  </si>
  <si>
    <t>刘朝阳</t>
    <phoneticPr fontId="4" type="noConversion"/>
  </si>
  <si>
    <t>十二</t>
    <phoneticPr fontId="4" type="noConversion"/>
  </si>
  <si>
    <t>三</t>
    <phoneticPr fontId="4" type="noConversion"/>
  </si>
  <si>
    <t>王书翥</t>
    <phoneticPr fontId="4" type="noConversion"/>
  </si>
  <si>
    <t>袁洁</t>
    <phoneticPr fontId="4" type="noConversion"/>
  </si>
  <si>
    <t>二手房</t>
    <phoneticPr fontId="4" type="noConversion"/>
  </si>
  <si>
    <t>不含任何税费</t>
    <phoneticPr fontId="4" type="noConversion"/>
  </si>
  <si>
    <t>核定资产</t>
  </si>
  <si>
    <t>房地产市场价值</t>
  </si>
  <si>
    <t>北京市</t>
  </si>
  <si>
    <t>自然人</t>
  </si>
  <si>
    <t>住宅</t>
    <phoneticPr fontId="7" type="noConversion"/>
  </si>
  <si>
    <t>元</t>
  </si>
  <si>
    <t>楼面单价</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</si>
  <si>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</si>
  <si>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</si>
  <si>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</si>
  <si>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</si>
  <si>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</si>
  <si>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</si>
  <si>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</si>
  <si>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</si>
  <si>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</si>
  <si>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</si>
  <si>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</si>
  <si>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</si>
  <si>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</si>
  <si>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</si>
  <si>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</si>
  <si>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</si>
  <si>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</si>
  <si>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折扣率</t>
    <phoneticPr fontId="4" type="noConversion"/>
  </si>
  <si>
    <t>已包含在土地购买价格中</t>
  </si>
  <si>
    <t>已包含在土地取得成本中</t>
  </si>
  <si>
    <t>东关北里39号楼3单元501</t>
    <phoneticPr fontId="4" type="noConversion"/>
  </si>
  <si>
    <t>住宅</t>
    <phoneticPr fontId="20" type="noConversion"/>
  </si>
  <si>
    <t>2014-3-19551-RA</t>
  </si>
  <si>
    <t>2020-3-19207-RB</t>
  </si>
  <si>
    <t>1992年</t>
    <phoneticPr fontId="146" type="noConversion"/>
  </si>
  <si>
    <t>1992年</t>
    <phoneticPr fontId="146" type="noConversion"/>
  </si>
  <si>
    <t>1996年</t>
    <phoneticPr fontId="146" type="noConversion"/>
  </si>
  <si>
    <t>南北</t>
  </si>
  <si>
    <t>南北</t>
    <phoneticPr fontId="146" type="noConversion"/>
  </si>
  <si>
    <t>1996年</t>
    <phoneticPr fontId="146" type="noConversion"/>
  </si>
  <si>
    <t>60-70（含）</t>
  </si>
  <si>
    <t>七通</t>
  </si>
  <si>
    <t>次干道</t>
    <phoneticPr fontId="20" type="noConversion"/>
  </si>
  <si>
    <t>楼层</t>
    <phoneticPr fontId="20" type="noConversion"/>
  </si>
  <si>
    <t>南北</t>
    <phoneticPr fontId="20" type="noConversion"/>
  </si>
  <si>
    <t xml:space="preserve"> 5/6</t>
    <phoneticPr fontId="20" type="noConversion"/>
  </si>
  <si>
    <t>建成年代</t>
    <phoneticPr fontId="146" type="noConversion"/>
  </si>
  <si>
    <t>朝向</t>
    <phoneticPr fontId="146" type="noConversion"/>
  </si>
  <si>
    <t>总楼层</t>
    <phoneticPr fontId="146" type="noConversion"/>
  </si>
  <si>
    <t xml:space="preserve"> 4/6</t>
    <phoneticPr fontId="20" type="noConversion"/>
  </si>
  <si>
    <t xml:space="preserve"> 5/6</t>
    <phoneticPr fontId="20" type="noConversion"/>
  </si>
  <si>
    <t xml:space="preserve"> 4/6</t>
    <phoneticPr fontId="20" type="noConversion"/>
  </si>
  <si>
    <t>高速路</t>
    <phoneticPr fontId="20" type="noConversion"/>
  </si>
  <si>
    <t>快速路</t>
    <phoneticPr fontId="20" type="noConversion"/>
  </si>
  <si>
    <t>主干道</t>
    <phoneticPr fontId="20" type="noConversion"/>
  </si>
  <si>
    <t>支路</t>
    <phoneticPr fontId="20" type="noConversion"/>
  </si>
  <si>
    <t>板楼</t>
  </si>
  <si>
    <t>板楼</t>
    <phoneticPr fontId="20" type="noConversion"/>
  </si>
  <si>
    <t>混合</t>
  </si>
  <si>
    <t>混合</t>
    <phoneticPr fontId="20" type="noConversion"/>
  </si>
  <si>
    <t>普通装修</t>
  </si>
  <si>
    <t>普通装修</t>
    <phoneticPr fontId="20" type="noConversion"/>
  </si>
  <si>
    <t>单位管理</t>
  </si>
  <si>
    <t>单位管理</t>
    <phoneticPr fontId="20" type="noConversion"/>
  </si>
  <si>
    <t>七通</t>
    <phoneticPr fontId="20" type="noConversion"/>
  </si>
  <si>
    <t>建成年代</t>
    <phoneticPr fontId="20" type="noConversion"/>
  </si>
  <si>
    <r>
      <t>2003</t>
    </r>
    <r>
      <rPr>
        <sz val="11"/>
        <rFont val="宋体"/>
        <family val="3"/>
        <charset val="134"/>
      </rPr>
      <t>年</t>
    </r>
    <phoneticPr fontId="20" type="noConversion"/>
  </si>
  <si>
    <t xml:space="preserve"> 3/6</t>
    <phoneticPr fontId="20" type="noConversion"/>
  </si>
  <si>
    <t xml:space="preserve"> 4/6</t>
    <phoneticPr fontId="20" type="noConversion"/>
  </si>
  <si>
    <t xml:space="preserve"> 2/6</t>
    <phoneticPr fontId="20" type="noConversion"/>
  </si>
  <si>
    <t xml:space="preserve"> 1/6</t>
    <phoneticPr fontId="20" type="noConversion"/>
  </si>
  <si>
    <t xml:space="preserve"> 6/6</t>
    <phoneticPr fontId="20" type="noConversion"/>
  </si>
  <si>
    <t>成本法</t>
  </si>
  <si>
    <t>比较法-住宅</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</si>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</sst>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quot;￥&quot;* #,##0.00_-;_-&quot;￥&quot;*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8" formatCode="[DBNum1][$-804]General"/>
  </numFmts>
  <fonts count="26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name val="宋体"/>
      <family val="2"/>
      <charset val="134"/>
      <scheme val="minor"/>
    </font>
    <font>
      <sz val="12"/>
      <color indexed="8"/>
      <name val="Times New Roman"/>
      <family val="1"/>
    </font>
    <font>
      <sz val="10"/>
      <name val="Times New Roman"/>
      <family val="1"/>
    </font>
    <font>
      <b/>
      <sz val="9"/>
      <color indexed="81"/>
      <name val="Times New Roman"/>
      <family val="1"/>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333333"/>
      <name val="Microsoft YaHei"/>
      <family val="2"/>
    </font>
  </fonts>
  <fills count="2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66CCFF"/>
        <bgColor indexed="64"/>
      </patternFill>
    </fill>
    <fill>
      <patternFill patternType="solid">
        <fgColor rgb="FFFFC000"/>
        <bgColor indexed="64"/>
      </patternFill>
    </fill>
    <fill>
      <patternFill patternType="solid">
        <fgColor rgb="FFFDFDC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style="medium">
        <color rgb="FFCCCCCC"/>
      </top>
      <bottom style="medium">
        <color rgb="FFCCCCCC"/>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4" fontId="254" fillId="0" borderId="0" applyFont="0" applyFill="0" applyBorder="0" applyAlignment="0" applyProtection="0">
      <alignment vertical="center"/>
    </xf>
    <xf numFmtId="9" fontId="254" fillId="0" borderId="0" applyFont="0" applyFill="0" applyBorder="0" applyAlignment="0" applyProtection="0">
      <alignment vertical="center"/>
    </xf>
  </cellStyleXfs>
  <cellXfs count="368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6" fillId="0" borderId="1" xfId="0" applyFont="1" applyBorder="1" applyAlignment="1"/>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49" fontId="16" fillId="21" borderId="1" xfId="0" applyNumberFormat="1" applyFont="1" applyFill="1" applyBorder="1" applyAlignment="1" applyProtection="1">
      <alignment horizontal="left"/>
      <protection locked="0"/>
    </xf>
    <xf numFmtId="0" fontId="16" fillId="21" borderId="1" xfId="0" applyFont="1" applyFill="1" applyBorder="1" applyAlignment="1" applyProtection="1">
      <alignment horizontal="center"/>
      <protection locked="0"/>
    </xf>
    <xf numFmtId="49" fontId="16" fillId="21" borderId="1" xfId="0" applyNumberFormat="1" applyFont="1" applyFill="1" applyBorder="1" applyAlignment="1" applyProtection="1">
      <alignment horizontal="center"/>
      <protection locked="0"/>
    </xf>
    <xf numFmtId="0" fontId="16" fillId="21" borderId="1" xfId="0" applyFont="1" applyFill="1" applyBorder="1" applyAlignment="1" applyProtection="1">
      <protection locked="0"/>
    </xf>
    <xf numFmtId="0" fontId="16" fillId="21" borderId="1" xfId="0" applyFont="1" applyFill="1" applyBorder="1" applyAlignment="1" applyProtection="1">
      <alignment horizontal="left"/>
      <protection locked="0"/>
    </xf>
    <xf numFmtId="0" fontId="16" fillId="21" borderId="1" xfId="0" applyFont="1" applyFill="1" applyBorder="1" applyAlignment="1" applyProtection="1">
      <alignment horizontal="right"/>
      <protection locked="0"/>
    </xf>
    <xf numFmtId="182" fontId="16" fillId="21" borderId="1" xfId="0" applyNumberFormat="1" applyFont="1" applyFill="1" applyBorder="1" applyAlignment="1" applyProtection="1">
      <alignment horizontal="left"/>
      <protection locked="0"/>
    </xf>
    <xf numFmtId="182" fontId="16" fillId="21" borderId="1" xfId="0" applyNumberFormat="1" applyFont="1" applyFill="1" applyBorder="1" applyAlignment="1" applyProtection="1">
      <alignment horizontal="right"/>
      <protection locked="0"/>
    </xf>
    <xf numFmtId="184" fontId="16" fillId="21" borderId="1" xfId="0" applyNumberFormat="1" applyFont="1" applyFill="1" applyBorder="1" applyAlignment="1" applyProtection="1">
      <protection locked="0"/>
    </xf>
    <xf numFmtId="0" fontId="136" fillId="21" borderId="1" xfId="0" applyFont="1" applyFill="1" applyBorder="1" applyAlignment="1" applyProtection="1">
      <alignment horizontal="center"/>
      <protection locked="0"/>
    </xf>
    <xf numFmtId="0" fontId="136" fillId="21" borderId="1" xfId="0" applyFont="1" applyFill="1" applyBorder="1" applyAlignment="1" applyProtection="1">
      <alignment horizontal="center"/>
      <protection locked="0"/>
    </xf>
    <xf numFmtId="0" fontId="136" fillId="21" borderId="1" xfId="0" applyFont="1" applyFill="1" applyBorder="1" applyAlignment="1">
      <alignment horizontal="center"/>
    </xf>
    <xf numFmtId="49" fontId="16" fillId="21" borderId="1" xfId="0" applyNumberFormat="1" applyFont="1" applyFill="1" applyBorder="1" applyAlignment="1" applyProtection="1">
      <protection locked="0"/>
    </xf>
    <xf numFmtId="196" fontId="16" fillId="21" borderId="1" xfId="0" applyNumberFormat="1" applyFont="1" applyFill="1" applyBorder="1" applyAlignment="1" applyProtection="1">
      <protection locked="0"/>
    </xf>
    <xf numFmtId="179" fontId="16" fillId="21" borderId="1" xfId="0" applyNumberFormat="1" applyFont="1" applyFill="1" applyBorder="1" applyAlignment="1" applyProtection="1">
      <protection locked="0"/>
    </xf>
    <xf numFmtId="31" fontId="16" fillId="21" borderId="1" xfId="0" applyNumberFormat="1" applyFont="1" applyFill="1" applyBorder="1" applyAlignment="1" applyProtection="1">
      <protection locked="0"/>
    </xf>
    <xf numFmtId="184" fontId="136" fillId="21" borderId="1" xfId="0" applyNumberFormat="1" applyFont="1" applyFill="1" applyBorder="1" applyAlignment="1" applyProtection="1">
      <alignment horizontal="center"/>
      <protection locked="0"/>
    </xf>
    <xf numFmtId="184" fontId="230" fillId="21" borderId="1" xfId="0" applyNumberFormat="1" applyFont="1" applyFill="1" applyBorder="1" applyAlignment="1" applyProtection="1">
      <alignment horizontal="center"/>
      <protection locked="0"/>
    </xf>
    <xf numFmtId="0" fontId="16" fillId="0" borderId="0" xfId="0" applyFont="1" applyAlignment="1" applyProtection="1">
      <protection locked="0"/>
    </xf>
    <xf numFmtId="49" fontId="136" fillId="21" borderId="1" xfId="0" applyNumberFormat="1" applyFont="1" applyFill="1" applyBorder="1" applyAlignment="1" applyProtection="1">
      <alignment horizontal="center"/>
      <protection locked="0"/>
    </xf>
    <xf numFmtId="182" fontId="136" fillId="21" borderId="1" xfId="0" applyNumberFormat="1" applyFont="1" applyFill="1" applyBorder="1" applyAlignment="1" applyProtection="1">
      <alignment horizontal="center"/>
      <protection locked="0"/>
    </xf>
    <xf numFmtId="0" fontId="230" fillId="21" borderId="1" xfId="0" applyFont="1" applyFill="1" applyBorder="1" applyAlignment="1" applyProtection="1">
      <alignment horizontal="center"/>
      <protection locked="0"/>
    </xf>
    <xf numFmtId="46" fontId="136" fillId="21" borderId="1" xfId="0" applyNumberFormat="1" applyFont="1" applyFill="1" applyBorder="1" applyAlignment="1" applyProtection="1">
      <alignment horizontal="center"/>
      <protection locked="0"/>
    </xf>
    <xf numFmtId="196" fontId="136" fillId="21" borderId="1" xfId="0" applyNumberFormat="1" applyFont="1" applyFill="1" applyBorder="1" applyAlignment="1" applyProtection="1">
      <alignment horizontal="center"/>
      <protection locked="0"/>
    </xf>
    <xf numFmtId="179" fontId="136" fillId="21" borderId="1" xfId="0" applyNumberFormat="1" applyFont="1" applyFill="1" applyBorder="1" applyAlignment="1" applyProtection="1">
      <alignment horizontal="center"/>
      <protection locked="0"/>
    </xf>
    <xf numFmtId="31" fontId="136" fillId="21" borderId="1" xfId="0" applyNumberFormat="1" applyFont="1" applyFill="1" applyBorder="1" applyAlignment="1" applyProtection="1">
      <alignment horizontal="center"/>
      <protection locked="0"/>
    </xf>
    <xf numFmtId="0" fontId="136" fillId="0" borderId="0" xfId="0" applyFont="1" applyAlignment="1" applyProtection="1">
      <alignment horizontal="center"/>
      <protection locked="0"/>
    </xf>
    <xf numFmtId="49" fontId="16" fillId="0" borderId="1" xfId="0" applyNumberFormat="1" applyFont="1" applyBorder="1" applyAlignment="1"/>
    <xf numFmtId="44" fontId="16" fillId="0" borderId="1" xfId="14" applyFont="1" applyFill="1" applyBorder="1" applyAlignment="1">
      <alignment horizontal="left"/>
    </xf>
    <xf numFmtId="1" fontId="16" fillId="0" borderId="1" xfId="0" applyNumberFormat="1" applyFont="1" applyBorder="1" applyAlignment="1">
      <alignment horizontal="center"/>
    </xf>
    <xf numFmtId="2" fontId="16" fillId="0" borderId="1" xfId="0" applyNumberFormat="1" applyFont="1" applyBorder="1" applyAlignment="1">
      <alignment horizontal="right"/>
    </xf>
    <xf numFmtId="182" fontId="16" fillId="0" borderId="1" xfId="0" applyNumberFormat="1" applyFont="1" applyBorder="1" applyAlignment="1"/>
    <xf numFmtId="182" fontId="16" fillId="0" borderId="1" xfId="0" applyNumberFormat="1" applyFont="1" applyBorder="1" applyAlignment="1">
      <alignment horizontal="right"/>
    </xf>
    <xf numFmtId="0" fontId="16" fillId="0" borderId="1" xfId="0" applyFont="1" applyBorder="1" applyAlignment="1" applyProtection="1">
      <protection locked="0"/>
    </xf>
    <xf numFmtId="31" fontId="16" fillId="0" borderId="1" xfId="0" applyNumberFormat="1" applyFont="1" applyBorder="1" applyAlignment="1"/>
    <xf numFmtId="198" fontId="16" fillId="0" borderId="1" xfId="0" applyNumberFormat="1" applyFont="1" applyBorder="1" applyAlignment="1">
      <alignment horizontal="center"/>
    </xf>
    <xf numFmtId="49" fontId="16" fillId="0" borderId="1" xfId="0" applyNumberFormat="1" applyFont="1" applyBorder="1" applyAlignment="1" applyProtection="1">
      <protection locked="0"/>
    </xf>
    <xf numFmtId="196" fontId="16" fillId="0" borderId="1" xfId="0" applyNumberFormat="1" applyFont="1" applyBorder="1" applyAlignment="1" applyProtection="1">
      <protection locked="0"/>
    </xf>
    <xf numFmtId="179" fontId="16" fillId="0" borderId="1" xfId="0" applyNumberFormat="1" applyFont="1" applyBorder="1" applyAlignment="1" applyProtection="1">
      <protection locked="0"/>
    </xf>
    <xf numFmtId="31" fontId="16" fillId="0" borderId="1" xfId="0" applyNumberFormat="1" applyFont="1" applyBorder="1" applyAlignment="1" applyProtection="1">
      <protection locked="0"/>
    </xf>
    <xf numFmtId="184" fontId="16" fillId="0" borderId="1" xfId="0" applyNumberFormat="1" applyFont="1" applyBorder="1" applyAlignment="1" applyProtection="1">
      <protection locked="0"/>
    </xf>
    <xf numFmtId="0" fontId="75" fillId="0" borderId="0" xfId="0" applyFont="1" applyAlignment="1"/>
    <xf numFmtId="0" fontId="16" fillId="22" borderId="1" xfId="0" applyFont="1" applyFill="1" applyBorder="1" applyAlignment="1" applyProtection="1">
      <protection locked="0"/>
    </xf>
    <xf numFmtId="49" fontId="16" fillId="22" borderId="1" xfId="0" applyNumberFormat="1" applyFont="1" applyFill="1" applyBorder="1" applyAlignment="1" applyProtection="1">
      <protection locked="0"/>
    </xf>
    <xf numFmtId="196" fontId="16" fillId="22" borderId="1" xfId="0" applyNumberFormat="1" applyFont="1" applyFill="1" applyBorder="1" applyAlignment="1" applyProtection="1">
      <protection locked="0"/>
    </xf>
    <xf numFmtId="179" fontId="16" fillId="22" borderId="1" xfId="0" applyNumberFormat="1" applyFont="1" applyFill="1" applyBorder="1" applyAlignment="1" applyProtection="1">
      <protection locked="0"/>
    </xf>
    <xf numFmtId="31" fontId="16" fillId="22" borderId="1" xfId="0" applyNumberFormat="1" applyFont="1" applyFill="1" applyBorder="1" applyAlignment="1" applyProtection="1">
      <protection locked="0"/>
    </xf>
    <xf numFmtId="0" fontId="136" fillId="23" borderId="1" xfId="0" applyFont="1" applyFill="1" applyBorder="1" applyAlignment="1" applyProtection="1">
      <alignment horizontal="center"/>
      <protection locked="0"/>
    </xf>
    <xf numFmtId="0" fontId="136" fillId="22" borderId="1" xfId="0" applyFont="1" applyFill="1" applyBorder="1" applyAlignment="1" applyProtection="1">
      <alignment horizontal="center"/>
      <protection locked="0"/>
    </xf>
    <xf numFmtId="46" fontId="136" fillId="22" borderId="1" xfId="0" applyNumberFormat="1" applyFont="1" applyFill="1" applyBorder="1" applyAlignment="1" applyProtection="1">
      <alignment horizontal="center"/>
      <protection locked="0"/>
    </xf>
    <xf numFmtId="49" fontId="136" fillId="22" borderId="1" xfId="0" applyNumberFormat="1" applyFont="1" applyFill="1" applyBorder="1" applyAlignment="1" applyProtection="1">
      <alignment horizontal="center"/>
      <protection locked="0"/>
    </xf>
    <xf numFmtId="196" fontId="136" fillId="22" borderId="1" xfId="0" applyNumberFormat="1" applyFont="1" applyFill="1" applyBorder="1" applyAlignment="1" applyProtection="1">
      <alignment horizontal="center"/>
      <protection locked="0"/>
    </xf>
    <xf numFmtId="179" fontId="136" fillId="22" borderId="1" xfId="0" applyNumberFormat="1" applyFont="1" applyFill="1" applyBorder="1" applyAlignment="1" applyProtection="1">
      <alignment horizontal="center"/>
      <protection locked="0"/>
    </xf>
    <xf numFmtId="31" fontId="136" fillId="22" borderId="1" xfId="0" applyNumberFormat="1" applyFont="1" applyFill="1" applyBorder="1" applyAlignment="1" applyProtection="1">
      <alignment horizontal="center"/>
      <protection locked="0"/>
    </xf>
    <xf numFmtId="0" fontId="16" fillId="0" borderId="0" xfId="0" applyFont="1" applyAlignment="1"/>
    <xf numFmtId="0" fontId="75" fillId="0" borderId="1" xfId="0" applyFont="1" applyBorder="1" applyAlignment="1" applyProtection="1">
      <alignment vertical="center" wrapText="1"/>
      <protection locked="0"/>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60" fillId="0" borderId="1" xfId="0" applyNumberFormat="1" applyFont="1" applyBorder="1" applyAlignment="1" applyProtection="1">
      <alignment horizontal="left" vertical="center" wrapText="1" shrinkToFit="1"/>
      <protection locked="0"/>
    </xf>
    <xf numFmtId="9" fontId="261"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0" fontId="260"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60" fillId="0" borderId="1" xfId="0" applyNumberFormat="1" applyFont="1" applyBorder="1" applyAlignment="1" applyProtection="1">
      <alignment horizontal="center" vertical="center" wrapText="1" shrinkToFit="1"/>
      <protection locked="0"/>
    </xf>
    <xf numFmtId="9" fontId="262" fillId="0" borderId="1" xfId="0" applyNumberFormat="1" applyFont="1" applyFill="1" applyBorder="1" applyAlignment="1" applyProtection="1">
      <alignment horizontal="center" vertical="center" wrapText="1"/>
      <protection locked="0"/>
    </xf>
    <xf numFmtId="0" fontId="260" fillId="0" borderId="18" xfId="0" applyNumberFormat="1" applyFont="1" applyBorder="1" applyAlignment="1" applyProtection="1">
      <alignment horizontal="left" vertical="center" wrapText="1" shrinkToFit="1"/>
      <protection locked="0"/>
    </xf>
    <xf numFmtId="9" fontId="263" fillId="24" borderId="18" xfId="0" applyNumberFormat="1" applyFont="1" applyFill="1" applyBorder="1" applyAlignment="1" applyProtection="1">
      <alignment horizontal="center" vertical="center" wrapText="1"/>
      <protection locked="0"/>
    </xf>
    <xf numFmtId="49" fontId="263" fillId="0" borderId="2" xfId="0" applyNumberFormat="1" applyFont="1" applyFill="1" applyBorder="1" applyAlignment="1" applyProtection="1">
      <alignment horizontal="center" vertical="center" wrapText="1"/>
      <protection locked="0"/>
    </xf>
    <xf numFmtId="49" fontId="263" fillId="0" borderId="51" xfId="0" applyNumberFormat="1" applyFont="1" applyFill="1" applyBorder="1" applyAlignment="1" applyProtection="1">
      <alignment horizontal="center" vertical="center" wrapText="1"/>
      <protection locked="0"/>
    </xf>
    <xf numFmtId="49" fontId="263"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4"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9" fontId="108" fillId="0" borderId="1" xfId="15" applyFont="1" applyBorder="1" applyAlignment="1" applyProtection="1">
      <alignment wrapText="1"/>
      <protection locked="0"/>
    </xf>
    <xf numFmtId="0" fontId="222"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6" fillId="25" borderId="1" xfId="0" applyFont="1" applyFill="1" applyBorder="1" applyAlignment="1"/>
    <xf numFmtId="49" fontId="16" fillId="25" borderId="1" xfId="0" applyNumberFormat="1" applyFont="1" applyFill="1" applyBorder="1" applyAlignment="1"/>
    <xf numFmtId="44" fontId="16" fillId="25" borderId="1" xfId="14" applyFont="1" applyFill="1" applyBorder="1" applyAlignment="1">
      <alignment horizontal="left"/>
    </xf>
    <xf numFmtId="1" fontId="16" fillId="25" borderId="1" xfId="0" applyNumberFormat="1" applyFont="1" applyFill="1" applyBorder="1" applyAlignment="1">
      <alignment horizontal="center"/>
    </xf>
    <xf numFmtId="2" fontId="16" fillId="25" borderId="1" xfId="0" applyNumberFormat="1" applyFont="1" applyFill="1" applyBorder="1" applyAlignment="1">
      <alignment horizontal="right"/>
    </xf>
    <xf numFmtId="182" fontId="16" fillId="25" borderId="1" xfId="0" applyNumberFormat="1" applyFont="1" applyFill="1" applyBorder="1" applyAlignment="1"/>
    <xf numFmtId="9" fontId="16" fillId="25" borderId="1" xfId="0" applyNumberFormat="1" applyFont="1" applyFill="1" applyBorder="1" applyAlignment="1"/>
    <xf numFmtId="182" fontId="16" fillId="25" borderId="1" xfId="0" applyNumberFormat="1" applyFont="1" applyFill="1" applyBorder="1" applyAlignment="1">
      <alignment horizontal="right"/>
    </xf>
    <xf numFmtId="0" fontId="16" fillId="25" borderId="1" xfId="0" applyFont="1" applyFill="1" applyBorder="1" applyAlignment="1" applyProtection="1">
      <protection locked="0"/>
    </xf>
    <xf numFmtId="31" fontId="16" fillId="25" borderId="1" xfId="0" applyNumberFormat="1" applyFont="1" applyFill="1" applyBorder="1" applyAlignment="1"/>
    <xf numFmtId="198" fontId="16" fillId="25" borderId="1" xfId="0" applyNumberFormat="1" applyFont="1" applyFill="1" applyBorder="1" applyAlignment="1">
      <alignment horizontal="center"/>
    </xf>
    <xf numFmtId="49" fontId="16" fillId="25" borderId="1" xfId="0" applyNumberFormat="1" applyFont="1" applyFill="1" applyBorder="1" applyAlignment="1" applyProtection="1">
      <protection locked="0"/>
    </xf>
    <xf numFmtId="196" fontId="16" fillId="25" borderId="1" xfId="0" applyNumberFormat="1" applyFont="1" applyFill="1" applyBorder="1" applyAlignment="1" applyProtection="1">
      <protection locked="0"/>
    </xf>
    <xf numFmtId="179" fontId="16" fillId="25" borderId="1" xfId="0" applyNumberFormat="1" applyFont="1" applyFill="1" applyBorder="1" applyAlignment="1" applyProtection="1">
      <protection locked="0"/>
    </xf>
    <xf numFmtId="31" fontId="16" fillId="25" borderId="1" xfId="0" applyNumberFormat="1" applyFont="1" applyFill="1" applyBorder="1" applyAlignment="1" applyProtection="1">
      <protection locked="0"/>
    </xf>
    <xf numFmtId="184" fontId="16" fillId="25" borderId="1" xfId="0" applyNumberFormat="1" applyFont="1" applyFill="1" applyBorder="1" applyAlignment="1" applyProtection="1">
      <protection locked="0"/>
    </xf>
    <xf numFmtId="0" fontId="16" fillId="25" borderId="0" xfId="0" applyFont="1" applyFill="1" applyAlignment="1"/>
    <xf numFmtId="0" fontId="16" fillId="25" borderId="0" xfId="0" applyFont="1" applyFill="1" applyAlignment="1" applyProtection="1">
      <protection locked="0"/>
    </xf>
    <xf numFmtId="0" fontId="16" fillId="8" borderId="1" xfId="0" applyFont="1" applyFill="1" applyBorder="1" applyAlignment="1"/>
    <xf numFmtId="49" fontId="16" fillId="8" borderId="1" xfId="0" applyNumberFormat="1" applyFont="1" applyFill="1" applyBorder="1" applyAlignment="1"/>
    <xf numFmtId="44" fontId="16" fillId="8" borderId="1" xfId="14" applyFont="1" applyFill="1" applyBorder="1" applyAlignment="1">
      <alignment horizontal="left"/>
    </xf>
    <xf numFmtId="1" fontId="16" fillId="8" borderId="1" xfId="0" applyNumberFormat="1" applyFont="1" applyFill="1" applyBorder="1" applyAlignment="1">
      <alignment horizontal="center"/>
    </xf>
    <xf numFmtId="2" fontId="16" fillId="8" borderId="1" xfId="0" applyNumberFormat="1" applyFont="1" applyFill="1" applyBorder="1" applyAlignment="1">
      <alignment horizontal="right"/>
    </xf>
    <xf numFmtId="182" fontId="16" fillId="8" borderId="1" xfId="0" applyNumberFormat="1" applyFont="1" applyFill="1" applyBorder="1" applyAlignment="1"/>
    <xf numFmtId="9" fontId="16" fillId="8" borderId="1" xfId="0" applyNumberFormat="1" applyFont="1" applyFill="1" applyBorder="1" applyAlignment="1"/>
    <xf numFmtId="182" fontId="16" fillId="8" borderId="1" xfId="0" applyNumberFormat="1" applyFont="1" applyFill="1" applyBorder="1" applyAlignment="1">
      <alignment horizontal="right"/>
    </xf>
    <xf numFmtId="0" fontId="16" fillId="8" borderId="1" xfId="0" applyFont="1" applyFill="1" applyBorder="1" applyAlignment="1" applyProtection="1">
      <protection locked="0"/>
    </xf>
    <xf numFmtId="31" fontId="16" fillId="8" borderId="1" xfId="0" applyNumberFormat="1" applyFont="1" applyFill="1" applyBorder="1" applyAlignment="1"/>
    <xf numFmtId="198" fontId="16" fillId="8" borderId="1" xfId="0" applyNumberFormat="1" applyFont="1" applyFill="1" applyBorder="1" applyAlignment="1">
      <alignment horizontal="center"/>
    </xf>
    <xf numFmtId="49" fontId="16" fillId="8" borderId="1" xfId="0" applyNumberFormat="1" applyFont="1" applyFill="1" applyBorder="1" applyAlignment="1" applyProtection="1">
      <protection locked="0"/>
    </xf>
    <xf numFmtId="196" fontId="16" fillId="8" borderId="1" xfId="0" applyNumberFormat="1" applyFont="1" applyFill="1" applyBorder="1" applyAlignment="1" applyProtection="1">
      <protection locked="0"/>
    </xf>
    <xf numFmtId="179" fontId="16" fillId="8" borderId="1" xfId="0" applyNumberFormat="1" applyFont="1" applyFill="1" applyBorder="1" applyAlignment="1" applyProtection="1">
      <protection locked="0"/>
    </xf>
    <xf numFmtId="31" fontId="16" fillId="8" borderId="1" xfId="0" applyNumberFormat="1" applyFont="1" applyFill="1" applyBorder="1" applyAlignment="1" applyProtection="1">
      <protection locked="0"/>
    </xf>
    <xf numFmtId="184" fontId="16" fillId="8" borderId="1" xfId="0" applyNumberFormat="1" applyFont="1" applyFill="1" applyBorder="1" applyAlignment="1" applyProtection="1">
      <protection locked="0"/>
    </xf>
    <xf numFmtId="0" fontId="16" fillId="8" borderId="0" xfId="0" applyFont="1" applyFill="1" applyAlignment="1"/>
    <xf numFmtId="0" fontId="16" fillId="8" borderId="0" xfId="0" applyFont="1" applyFill="1" applyAlignment="1" applyProtection="1">
      <protection locked="0"/>
    </xf>
    <xf numFmtId="0" fontId="264" fillId="0" borderId="0" xfId="0" applyFont="1">
      <alignment vertical="center"/>
    </xf>
    <xf numFmtId="0" fontId="264" fillId="26" borderId="176" xfId="0" applyFont="1" applyFill="1" applyBorder="1" applyAlignment="1">
      <alignment horizontal="center" vertical="center" wrapText="1"/>
    </xf>
    <xf numFmtId="0" fontId="16" fillId="8" borderId="1" xfId="0" applyFont="1" applyFill="1" applyBorder="1" applyAlignment="1">
      <alignment horizontal="left"/>
    </xf>
    <xf numFmtId="176" fontId="16" fillId="0" borderId="1" xfId="0" applyNumberFormat="1" applyFont="1" applyBorder="1" applyAlignment="1">
      <alignment horizontal="right"/>
    </xf>
    <xf numFmtId="0" fontId="135" fillId="0" borderId="23"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cellXfs>
  <cellStyles count="16">
    <cellStyle name="百分比" xfId="15"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货币" xfId="14" builtin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18</xdr:row>
      <xdr:rowOff>0</xdr:rowOff>
    </xdr:from>
    <xdr:to>
      <xdr:col>20</xdr:col>
      <xdr:colOff>113503</xdr:colOff>
      <xdr:row>44</xdr:row>
      <xdr:rowOff>142274</xdr:rowOff>
    </xdr:to>
    <xdr:pic>
      <xdr:nvPicPr>
        <xdr:cNvPr id="2" name="图片 1"/>
        <xdr:cNvPicPr>
          <a:picLocks noChangeAspect="1"/>
        </xdr:cNvPicPr>
      </xdr:nvPicPr>
      <xdr:blipFill>
        <a:blip xmlns:r="http://schemas.openxmlformats.org/officeDocument/2006/relationships" r:embed="rId1"/>
        <a:stretch>
          <a:fillRect/>
        </a:stretch>
      </xdr:blipFill>
      <xdr:spPr>
        <a:xfrm>
          <a:off x="6686550" y="2771775"/>
          <a:ext cx="6380953" cy="48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96;&#20851;&#21271;&#37324;-&#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8">
          <cell r="E18">
            <v>247129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估价对象为北京市房地产，为XX所有。根据《》[]，估价对象建筑面积为110.82平方米。根据《》[]，估价对象（分摊）出让国有建设用地使用权面积为平方米。估价对象用途为。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2005年12月19日</v>
      </c>
    </row>
    <row r="10" spans="1:2">
      <c r="A10" s="1210" t="s">
        <v>1103</v>
      </c>
      <c r="B10" s="1197" t="str">
        <f>'预评函-1'!A13</f>
        <v>本次估价的“房地产价值”是指在正常市场情况下，在价值时点2005年12月19日，估价对象规划用途为，假定未设立法定优先受偿款下的房地产市场价值。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110.82</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7" zoomScaleNormal="100" zoomScaleSheetLayoutView="100" workbookViewId="0">
      <selection activeCell="C15" sqref="C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44281</v>
      </c>
      <c r="C2" s="2891" t="s">
        <v>1530</v>
      </c>
      <c r="D2" s="2592">
        <v>38705</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2720</v>
      </c>
      <c r="C4" s="2892" t="s">
        <v>1533</v>
      </c>
      <c r="D4" s="1429" t="s">
        <v>3120</v>
      </c>
      <c r="E4" s="824"/>
      <c r="F4" s="824"/>
      <c r="G4" s="1192"/>
    </row>
    <row r="5" spans="1:17">
      <c r="A5" s="1430" t="s">
        <v>1534</v>
      </c>
      <c r="B5" s="1431" t="s">
        <v>2721</v>
      </c>
      <c r="C5" s="2893" t="s">
        <v>1535</v>
      </c>
      <c r="D5" s="1433" t="s">
        <v>3121</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3122</v>
      </c>
      <c r="C6" s="2598" t="s">
        <v>2722</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3123</v>
      </c>
      <c r="C7" s="1525" t="str">
        <f>IF(B7="自然人","姓名","名称")</f>
        <v>姓名</v>
      </c>
      <c r="D7" s="1438" t="s">
        <v>2721</v>
      </c>
      <c r="E7" s="825"/>
      <c r="F7" s="825"/>
      <c r="G7" s="1193"/>
    </row>
    <row r="8" spans="1:17" ht="13.5" thickTop="1">
      <c r="A8" s="3211" t="s">
        <v>1540</v>
      </c>
      <c r="B8" s="1439" t="s">
        <v>1541</v>
      </c>
      <c r="C8" s="3224"/>
      <c r="D8" s="3225"/>
      <c r="E8" s="2601" t="s">
        <v>1542</v>
      </c>
      <c r="F8" s="2602" t="s">
        <v>1543</v>
      </c>
      <c r="G8" s="2603" t="str">
        <f>C6</f>
        <v>XX</v>
      </c>
    </row>
    <row r="9" spans="1:17">
      <c r="A9" s="3211"/>
      <c r="B9" s="259" t="s">
        <v>1544</v>
      </c>
      <c r="C9" s="3612" t="s">
        <v>3124</v>
      </c>
      <c r="D9" s="1440"/>
      <c r="E9" s="2897" t="s">
        <v>1545</v>
      </c>
      <c r="F9" s="2604" t="s">
        <v>70</v>
      </c>
      <c r="G9" s="2605"/>
    </row>
    <row r="10" spans="1:17" ht="13.5" thickBot="1">
      <c r="A10" s="3211"/>
      <c r="B10" s="259" t="s">
        <v>1546</v>
      </c>
      <c r="C10" s="3226"/>
      <c r="D10" s="3227"/>
      <c r="E10" s="2898" t="s">
        <v>1547</v>
      </c>
      <c r="F10" s="2606"/>
      <c r="G10" s="2607"/>
    </row>
    <row r="11" spans="1:17" ht="13.5" thickBot="1">
      <c r="A11" s="3211"/>
      <c r="B11" s="1442" t="s">
        <v>1548</v>
      </c>
      <c r="C11" s="3228"/>
      <c r="D11" s="3229"/>
      <c r="E11" s="811"/>
      <c r="F11" s="811"/>
      <c r="G11" s="830"/>
    </row>
    <row r="12" spans="1:17" ht="13.5" thickBot="1">
      <c r="A12" s="3215" t="s">
        <v>2829</v>
      </c>
      <c r="B12" s="2899" t="s">
        <v>1549</v>
      </c>
      <c r="C12" s="808">
        <v>110.82</v>
      </c>
      <c r="D12" s="1443" t="s">
        <v>1550</v>
      </c>
      <c r="E12" s="1444"/>
      <c r="F12" s="1445"/>
      <c r="G12" s="830"/>
    </row>
    <row r="13" spans="1:17" ht="21" customHeight="1" thickBot="1">
      <c r="A13" s="3216"/>
      <c r="B13" s="2900" t="s">
        <v>1551</v>
      </c>
      <c r="C13" s="809"/>
      <c r="D13" s="1446" t="s">
        <v>1552</v>
      </c>
      <c r="E13" s="1447"/>
      <c r="F13" s="811"/>
      <c r="G13" s="830"/>
      <c r="I13" s="3234"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3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23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0" t="s">
        <v>1559</v>
      </c>
      <c r="C17" s="3231"/>
      <c r="D17" s="3232" t="s">
        <v>1560</v>
      </c>
      <c r="E17" s="3233"/>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3" t="s">
        <v>2828</v>
      </c>
      <c r="B24" s="3243"/>
      <c r="C24" s="3243"/>
      <c r="D24" s="3243"/>
      <c r="E24" s="3243"/>
      <c r="F24" s="3243"/>
      <c r="G24" s="3243"/>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18" t="s">
        <v>1573</v>
      </c>
      <c r="D28" s="3219"/>
      <c r="E28" s="801"/>
      <c r="F28" s="803" t="s">
        <v>1573</v>
      </c>
      <c r="G28" s="801"/>
      <c r="K28" s="2904"/>
    </row>
    <row r="29" spans="1:66">
      <c r="A29" s="804" t="s">
        <v>1574</v>
      </c>
      <c r="B29" s="798"/>
      <c r="C29" s="3220" t="s">
        <v>1575</v>
      </c>
      <c r="D29" s="3221"/>
      <c r="E29" s="798"/>
      <c r="F29" s="804" t="s">
        <v>1575</v>
      </c>
      <c r="G29" s="798"/>
      <c r="K29" s="2904"/>
    </row>
    <row r="30" spans="1:66">
      <c r="A30" s="804" t="s">
        <v>1576</v>
      </c>
      <c r="B30" s="798"/>
      <c r="C30" s="3220" t="s">
        <v>1576</v>
      </c>
      <c r="D30" s="3221"/>
      <c r="E30" s="798"/>
      <c r="F30" s="804" t="s">
        <v>1577</v>
      </c>
      <c r="G30" s="798"/>
      <c r="K30" s="2904"/>
    </row>
    <row r="31" spans="1:66">
      <c r="A31" s="804" t="s">
        <v>1578</v>
      </c>
      <c r="B31" s="798"/>
      <c r="C31" s="3240" t="s">
        <v>1579</v>
      </c>
      <c r="D31" s="811"/>
      <c r="E31" s="2627" t="str">
        <f>E32&amp;" "&amp;E33&amp;" "&amp;E34&amp;" "&amp;E35</f>
        <v xml:space="preserve">   </v>
      </c>
      <c r="F31" s="804" t="s">
        <v>1580</v>
      </c>
      <c r="G31" s="798"/>
    </row>
    <row r="32" spans="1:66">
      <c r="A32" s="804" t="s">
        <v>1581</v>
      </c>
      <c r="B32" s="798"/>
      <c r="C32" s="3241"/>
      <c r="D32" s="259" t="s">
        <v>1582</v>
      </c>
      <c r="E32" s="798"/>
      <c r="F32" s="804" t="s">
        <v>1583</v>
      </c>
      <c r="G32" s="798"/>
    </row>
    <row r="33" spans="1:7" ht="24.75" thickBot="1">
      <c r="A33" s="805" t="s">
        <v>1584</v>
      </c>
      <c r="B33" s="802"/>
      <c r="C33" s="3241"/>
      <c r="D33" s="259" t="s">
        <v>1585</v>
      </c>
      <c r="E33" s="798"/>
      <c r="F33" s="804" t="s">
        <v>1586</v>
      </c>
      <c r="G33" s="798"/>
    </row>
    <row r="34" spans="1:7">
      <c r="A34" s="803" t="s">
        <v>1587</v>
      </c>
      <c r="B34" s="801"/>
      <c r="C34" s="3241"/>
      <c r="D34" s="259" t="s">
        <v>1588</v>
      </c>
      <c r="E34" s="798"/>
      <c r="F34" s="804" t="s">
        <v>1589</v>
      </c>
      <c r="G34" s="798"/>
    </row>
    <row r="35" spans="1:7" ht="13.5" thickBot="1">
      <c r="A35" s="804" t="s">
        <v>1590</v>
      </c>
      <c r="B35" s="798"/>
      <c r="C35" s="3242"/>
      <c r="D35" s="259" t="s">
        <v>1591</v>
      </c>
      <c r="E35" s="798"/>
      <c r="F35" s="805" t="s">
        <v>1592</v>
      </c>
      <c r="G35" s="2628"/>
    </row>
    <row r="36" spans="1:7">
      <c r="A36" s="804" t="s">
        <v>1549</v>
      </c>
      <c r="B36" s="798"/>
      <c r="C36" s="3220" t="s">
        <v>1593</v>
      </c>
      <c r="D36" s="3221"/>
      <c r="E36" s="798"/>
      <c r="F36" s="2629" t="s">
        <v>1594</v>
      </c>
      <c r="G36" s="801"/>
    </row>
    <row r="37" spans="1:7" ht="13.5" thickBot="1">
      <c r="A37" s="804" t="s">
        <v>1595</v>
      </c>
      <c r="B37" s="798"/>
      <c r="C37" s="3222" t="s">
        <v>1596</v>
      </c>
      <c r="D37" s="3223"/>
      <c r="E37" s="802"/>
      <c r="F37" s="1463" t="s">
        <v>1597</v>
      </c>
      <c r="G37" s="798"/>
    </row>
    <row r="38" spans="1:7" ht="13.5" thickBot="1">
      <c r="A38" s="804" t="s">
        <v>1598</v>
      </c>
      <c r="B38" s="798"/>
      <c r="C38" s="3212" t="s">
        <v>1599</v>
      </c>
      <c r="D38" s="1443" t="s">
        <v>1583</v>
      </c>
      <c r="E38" s="801"/>
      <c r="F38" s="805" t="s">
        <v>1600</v>
      </c>
      <c r="G38" s="802"/>
    </row>
    <row r="39" spans="1:7">
      <c r="A39" s="804" t="s">
        <v>1601</v>
      </c>
      <c r="B39" s="798"/>
      <c r="C39" s="3213"/>
      <c r="D39" s="259" t="s">
        <v>1590</v>
      </c>
      <c r="E39" s="798"/>
      <c r="F39" s="803" t="s">
        <v>1602</v>
      </c>
      <c r="G39" s="801"/>
    </row>
    <row r="40" spans="1:7">
      <c r="A40" s="804" t="s">
        <v>1603</v>
      </c>
      <c r="B40" s="798"/>
      <c r="C40" s="3213" t="s">
        <v>1604</v>
      </c>
      <c r="D40" s="259" t="s">
        <v>1549</v>
      </c>
      <c r="E40" s="798"/>
      <c r="F40" s="804" t="s">
        <v>1605</v>
      </c>
      <c r="G40" s="798"/>
    </row>
    <row r="41" spans="1:7" ht="24.75" customHeight="1" thickBot="1">
      <c r="A41" s="805" t="s">
        <v>1606</v>
      </c>
      <c r="B41" s="802"/>
      <c r="C41" s="3214"/>
      <c r="D41" s="1446" t="s">
        <v>1551</v>
      </c>
      <c r="E41" s="802"/>
      <c r="F41" s="805" t="s">
        <v>1607</v>
      </c>
      <c r="G41" s="802"/>
    </row>
    <row r="42" spans="1:7">
      <c r="A42" s="806" t="s">
        <v>1608</v>
      </c>
      <c r="B42" s="2630"/>
      <c r="C42" s="3235" t="s">
        <v>1608</v>
      </c>
      <c r="D42" s="3236"/>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37" t="s">
        <v>1611</v>
      </c>
      <c r="D49" s="3238"/>
      <c r="E49" s="820"/>
      <c r="F49" s="805" t="s">
        <v>1612</v>
      </c>
      <c r="G49" s="802"/>
    </row>
    <row r="50" spans="1:66">
      <c r="A50" s="804" t="s">
        <v>1613</v>
      </c>
      <c r="B50" s="819"/>
      <c r="C50" s="3212" t="s">
        <v>1614</v>
      </c>
      <c r="D50" s="3239"/>
      <c r="E50" s="2632"/>
      <c r="F50" s="837"/>
      <c r="G50" s="838"/>
    </row>
    <row r="51" spans="1:66" ht="13.5" thickBot="1">
      <c r="A51" s="804" t="s">
        <v>1615</v>
      </c>
      <c r="B51" s="819"/>
      <c r="C51" s="3214" t="s">
        <v>1616</v>
      </c>
      <c r="D51" s="3217"/>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4" t="s">
        <v>0</v>
      </c>
      <c r="B1" s="3244" t="s">
        <v>2</v>
      </c>
      <c r="C1" s="3244" t="s">
        <v>3</v>
      </c>
      <c r="D1" s="3245" t="s">
        <v>67</v>
      </c>
      <c r="E1" s="3245" t="s">
        <v>68</v>
      </c>
      <c r="F1" s="3245"/>
      <c r="G1" s="3245"/>
      <c r="H1" s="3245"/>
      <c r="I1" s="3245"/>
      <c r="J1" s="3245"/>
      <c r="K1" s="3245"/>
      <c r="L1" s="3245"/>
      <c r="M1" s="3245"/>
    </row>
    <row r="2" spans="1:13" ht="27" customHeight="1">
      <c r="A2" s="3244"/>
      <c r="B2" s="3244"/>
      <c r="C2" s="3244"/>
      <c r="D2" s="3245"/>
      <c r="E2" s="3245" t="s">
        <v>51</v>
      </c>
      <c r="F2" s="3245" t="s">
        <v>52</v>
      </c>
      <c r="G2" s="3245"/>
      <c r="H2" s="3245"/>
      <c r="I2" s="3245"/>
      <c r="J2" s="3245" t="s">
        <v>53</v>
      </c>
      <c r="K2" s="3245"/>
      <c r="L2" s="3245"/>
      <c r="M2" s="3245"/>
    </row>
    <row r="3" spans="1:13" ht="28.5">
      <c r="A3" s="3244"/>
      <c r="B3" s="3244"/>
      <c r="C3" s="3244"/>
      <c r="D3" s="3245"/>
      <c r="E3" s="32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5" t="s">
        <v>69</v>
      </c>
      <c r="B9" s="3245"/>
      <c r="C9" s="32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E12" activePane="bottomRight" state="frozen"/>
      <selection activeCell="A11" sqref="A11:D11"/>
      <selection pane="topRight" activeCell="A11" sqref="A11:D11"/>
      <selection pane="bottomLeft" activeCell="A11" sqref="A11:D11"/>
      <selection pane="bottomRight" activeCell="I15" sqref="I15"/>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38705</v>
      </c>
      <c r="C2" s="1685"/>
      <c r="D2" s="3246"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3125</v>
      </c>
      <c r="C3" s="1685"/>
      <c r="D3" s="3247"/>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3126</v>
      </c>
      <c r="C4" s="1685"/>
      <c r="D4" s="3247"/>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110.82</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2889</v>
      </c>
      <c r="C10" s="1685"/>
      <c r="D10" s="2923" t="s">
        <v>1628</v>
      </c>
      <c r="E10" s="2927" t="s">
        <v>1629</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3613" t="s">
        <v>3127</v>
      </c>
      <c r="I12" s="3614"/>
      <c r="J12" s="3615"/>
      <c r="K12" s="3616"/>
      <c r="L12" s="3616"/>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24.75" thickBot="1">
      <c r="A13" s="2931" t="s">
        <v>1635</v>
      </c>
      <c r="B13" s="2932">
        <f>IF(B12="",B11-(YEAR($B$2)-B27+B24),ROUNDDOWN(MIN((B12-$B$2)/365,B11),2))</f>
        <v>66</v>
      </c>
      <c r="C13" s="2967"/>
      <c r="D13" s="2933" t="s">
        <v>1636</v>
      </c>
      <c r="E13" s="2653">
        <f>E11*B5</f>
        <v>17731.199999999997</v>
      </c>
      <c r="F13" s="1310" t="s">
        <v>1637</v>
      </c>
      <c r="G13" s="1685"/>
      <c r="H13" s="3617" t="s">
        <v>3128</v>
      </c>
      <c r="I13" s="3618">
        <v>0</v>
      </c>
      <c r="J13" s="3615"/>
      <c r="K13" s="3619"/>
      <c r="L13" s="3619"/>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24">
      <c r="A14" s="2930" t="s">
        <v>1638</v>
      </c>
      <c r="B14" s="2934">
        <f>IF(ISERROR(ROUND(POWER(1+B15,B11-B13)*(POWER(1+B15,B13)-1)/(POWER(1+B15,B11)-1),3)),0,ROUND(POWER(1+B15,B11-B13)*(POWER(1+B15,B13)-1)/(POWER(1+B15,B11)-1),3))</f>
        <v>0.98799999999999999</v>
      </c>
      <c r="C14" s="1685"/>
      <c r="D14" s="2935" t="s">
        <v>1639</v>
      </c>
      <c r="E14" s="2654">
        <v>200</v>
      </c>
      <c r="F14" s="1311"/>
      <c r="G14" s="1685"/>
      <c r="H14" s="3617" t="s">
        <v>3129</v>
      </c>
      <c r="I14" s="3620">
        <v>2</v>
      </c>
      <c r="J14" s="3615"/>
      <c r="K14" s="3619"/>
      <c r="L14" s="3621"/>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24">
      <c r="A15" s="2930" t="s">
        <v>1640</v>
      </c>
      <c r="B15" s="2655">
        <v>0.04</v>
      </c>
      <c r="C15" s="2563" t="s">
        <v>2840</v>
      </c>
      <c r="D15" s="2930" t="s">
        <v>1641</v>
      </c>
      <c r="E15" s="2936">
        <f>E14-E16</f>
        <v>200</v>
      </c>
      <c r="F15" s="1311"/>
      <c r="G15" s="1685"/>
      <c r="H15" s="3617" t="s">
        <v>3130</v>
      </c>
      <c r="I15" s="3622" t="s">
        <v>3131</v>
      </c>
      <c r="J15" s="3615"/>
      <c r="K15" s="3619"/>
      <c r="L15" s="3619"/>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2841</v>
      </c>
      <c r="D16" s="2937" t="s">
        <v>1643</v>
      </c>
      <c r="E16" s="2656"/>
      <c r="F16" s="1310"/>
      <c r="G16" s="1685"/>
      <c r="H16" s="3617" t="s">
        <v>3132</v>
      </c>
      <c r="I16" s="3623">
        <f>ROUND(1-(1-I13)*I14/I15,2)</f>
        <v>0.96</v>
      </c>
      <c r="J16" s="3615"/>
      <c r="K16" s="3619"/>
      <c r="L16" s="3619"/>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7.0000000000000007E-2</v>
      </c>
      <c r="C17" s="2563" t="s">
        <v>2842</v>
      </c>
      <c r="D17" s="2926" t="s">
        <v>1645</v>
      </c>
      <c r="E17" s="2657">
        <v>1800</v>
      </c>
      <c r="F17" s="947"/>
      <c r="G17" s="1685"/>
      <c r="H17" s="3624" t="s">
        <v>3133</v>
      </c>
      <c r="I17" s="3625">
        <v>0.5</v>
      </c>
      <c r="J17" s="3615"/>
      <c r="K17" s="3619"/>
      <c r="L17" s="3619"/>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199476</v>
      </c>
      <c r="F18" s="2658">
        <f>ROUND(E5*E17*IF(B26=0,1,E20),0)</f>
        <v>0</v>
      </c>
      <c r="G18" s="1685"/>
      <c r="H18" s="3626" t="s">
        <v>3134</v>
      </c>
      <c r="I18" s="3627"/>
      <c r="J18" s="3627"/>
      <c r="K18" s="3627"/>
      <c r="L18" s="3628"/>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3629" t="s">
        <v>3135</v>
      </c>
      <c r="I19" s="3630" t="s">
        <v>3136</v>
      </c>
      <c r="J19" s="3630" t="s">
        <v>3137</v>
      </c>
      <c r="K19" s="3630" t="s">
        <v>3138</v>
      </c>
      <c r="L19" s="3630" t="s">
        <v>3139</v>
      </c>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0.93</v>
      </c>
      <c r="F20" s="947"/>
      <c r="G20" s="1685"/>
      <c r="H20" s="3629" t="s">
        <v>3140</v>
      </c>
      <c r="I20" s="3630">
        <v>100</v>
      </c>
      <c r="J20" s="3630" t="s">
        <v>3141</v>
      </c>
      <c r="K20" s="3630">
        <v>90</v>
      </c>
      <c r="L20" s="3631">
        <v>0.3</v>
      </c>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2848</v>
      </c>
      <c r="G21" s="1685"/>
      <c r="H21" s="3629" t="s">
        <v>3142</v>
      </c>
      <c r="I21" s="3630">
        <v>100</v>
      </c>
      <c r="J21" s="3630" t="s">
        <v>3141</v>
      </c>
      <c r="K21" s="3630">
        <v>90</v>
      </c>
      <c r="L21" s="3631">
        <v>0.5</v>
      </c>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2846</v>
      </c>
      <c r="G22" s="1685"/>
      <c r="H22" s="3629" t="s">
        <v>3143</v>
      </c>
      <c r="I22" s="3630">
        <v>100</v>
      </c>
      <c r="J22" s="3630" t="s">
        <v>3141</v>
      </c>
      <c r="K22" s="3630">
        <v>90</v>
      </c>
      <c r="L22" s="3631">
        <f>1-L20-L21</f>
        <v>0.19999999999999996</v>
      </c>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150</v>
      </c>
      <c r="F23" s="2673"/>
      <c r="G23" s="1685"/>
      <c r="H23" s="3632" t="s">
        <v>3133</v>
      </c>
      <c r="I23" s="3633">
        <f>1-I17</f>
        <v>0.5</v>
      </c>
      <c r="J23" s="3630" t="s">
        <v>3144</v>
      </c>
      <c r="K23" s="3634">
        <f>ROUND((K20*L20+K21*L21+K22*L22)/100,2)</f>
        <v>0.9</v>
      </c>
      <c r="L23" s="3635">
        <f>ROUND(I16*I17+K23*I23,4)</f>
        <v>0.93</v>
      </c>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2847</v>
      </c>
      <c r="I25" s="2968"/>
    </row>
    <row r="26" spans="1:41" ht="15" thickBot="1">
      <c r="A26" s="2946" t="s">
        <v>1656</v>
      </c>
      <c r="B26" s="2950">
        <f>B22-B23</f>
        <v>0</v>
      </c>
      <c r="D26" s="2930" t="s">
        <v>1659</v>
      </c>
      <c r="E26" s="2665">
        <v>0.01</v>
      </c>
      <c r="F26" s="2673" t="s">
        <v>2847</v>
      </c>
      <c r="G26" s="2969"/>
      <c r="H26" s="2969"/>
      <c r="I26" s="1685"/>
      <c r="J26" s="1685"/>
      <c r="K26" s="1685"/>
      <c r="L26" s="1685"/>
      <c r="M26" s="1685"/>
      <c r="N26" s="1685"/>
    </row>
    <row r="27" spans="1:41" ht="15.75" thickBot="1">
      <c r="A27" s="2951" t="s">
        <v>1658</v>
      </c>
      <c r="B27" s="2667">
        <v>2003</v>
      </c>
      <c r="C27" s="1685"/>
      <c r="D27" s="3157" t="s">
        <v>2893</v>
      </c>
      <c r="E27" s="2952">
        <f ca="1">IF(D27="利息：取LPR",存贷款利率!G1,存贷款利率!G1+F27)</f>
        <v>5.7599999999999998E-2</v>
      </c>
      <c r="F27" s="3158">
        <v>5.0000000000000001E-3</v>
      </c>
      <c r="G27" s="2969"/>
      <c r="H27" s="2969"/>
      <c r="K27" s="1685"/>
      <c r="N27" s="1685"/>
    </row>
    <row r="28" spans="1:41" ht="15" thickBot="1">
      <c r="A28" s="947"/>
      <c r="B28" s="947"/>
      <c r="D28" s="2933" t="s">
        <v>1661</v>
      </c>
      <c r="E28" s="2669">
        <v>0.1</v>
      </c>
      <c r="G28" s="2969"/>
      <c r="H28" s="2969"/>
      <c r="K28" s="1685"/>
      <c r="N28" s="1685"/>
    </row>
    <row r="29" spans="1:41" ht="14.25">
      <c r="A29" s="2953" t="s">
        <v>1660</v>
      </c>
      <c r="B29" s="2668"/>
      <c r="D29" s="2935" t="s">
        <v>1662</v>
      </c>
      <c r="E29" s="2954">
        <f>E30+E31</f>
        <v>5.5000000000000007E-2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2.2499999999999999E-2</v>
      </c>
      <c r="D31" s="2937" t="s">
        <v>1666</v>
      </c>
      <c r="E31" s="2957">
        <f>E30*(E32+E33+E34)+E35</f>
        <v>5.000000000000001E-3</v>
      </c>
      <c r="F31" s="1310"/>
      <c r="G31" s="2969"/>
      <c r="H31" s="2969"/>
      <c r="K31" s="1685"/>
      <c r="N31" s="1685"/>
    </row>
    <row r="32" spans="1:41" ht="14.25">
      <c r="A32" s="2930" t="s">
        <v>1665</v>
      </c>
      <c r="B32" s="2655"/>
      <c r="D32" s="2937" t="s">
        <v>1668</v>
      </c>
      <c r="E32" s="2672">
        <v>0.05</v>
      </c>
      <c r="F32" s="2673" t="s">
        <v>2733</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66</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1.5</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t="s">
        <v>70</v>
      </c>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2845</v>
      </c>
      <c r="D45" s="2683" t="s">
        <v>1695</v>
      </c>
      <c r="E45" s="2670"/>
      <c r="F45" s="1311">
        <v>12</v>
      </c>
      <c r="G45" s="2675"/>
      <c r="H45" s="2675"/>
      <c r="M45" s="1685"/>
      <c r="N45" s="1685"/>
    </row>
    <row r="46" spans="1:14" ht="14.25">
      <c r="A46" s="2930" t="s">
        <v>1694</v>
      </c>
      <c r="B46" s="2685"/>
      <c r="C46" s="2563" t="s">
        <v>2843</v>
      </c>
      <c r="D46" s="2683" t="s">
        <v>1457</v>
      </c>
      <c r="E46" s="2670"/>
      <c r="F46" s="1311">
        <v>3</v>
      </c>
      <c r="G46" s="2675"/>
      <c r="H46" s="2675"/>
      <c r="M46" s="1685"/>
      <c r="N46" s="1685"/>
    </row>
    <row r="47" spans="1:14" ht="15" thickBot="1">
      <c r="A47" s="2933" t="s">
        <v>1696</v>
      </c>
      <c r="B47" s="2686"/>
      <c r="C47" s="2563" t="s">
        <v>2844</v>
      </c>
      <c r="D47" s="2683" t="s">
        <v>1697</v>
      </c>
      <c r="E47" s="2670">
        <v>1.5</v>
      </c>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3">
    <mergeCell ref="D2:D4"/>
    <mergeCell ref="H12:I12"/>
    <mergeCell ref="H18:L18"/>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48" t="s">
        <v>1702</v>
      </c>
      <c r="B1" s="3249"/>
      <c r="C1" s="3249"/>
      <c r="D1" s="3249"/>
      <c r="E1" s="3249"/>
      <c r="F1" s="3249"/>
      <c r="G1" s="3249"/>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7" sqref="D27"/>
    </sheetView>
  </sheetViews>
  <sheetFormatPr defaultColWidth="14.625" defaultRowHeight="13.5"/>
  <cols>
    <col min="1" max="1" width="24.375" style="2583" customWidth="1"/>
    <col min="2" max="16384" width="14.625" style="2583"/>
  </cols>
  <sheetData>
    <row r="1" spans="1:9" ht="16.5">
      <c r="A1" s="2581" t="s">
        <v>1212</v>
      </c>
      <c r="B1" s="2581">
        <f>SUM(B14:B23)</f>
        <v>110.82</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38705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40.061399999999999</v>
      </c>
      <c r="C5" s="2581">
        <f ca="1">ROUND(B5*10000/$B$1,0)</f>
        <v>3615</v>
      </c>
      <c r="D5" s="2581" t="e">
        <f ca="1">ROUND(B5*10000/$B$2,0)</f>
        <v>#DIV/0!</v>
      </c>
      <c r="E5" s="1634"/>
      <c r="F5" s="2582"/>
      <c r="G5" s="2582"/>
    </row>
    <row r="6" spans="1:9" ht="16.5">
      <c r="A6" s="2581" t="s">
        <v>1220</v>
      </c>
      <c r="B6" s="2581">
        <f ca="1">SUM(G14:G23)</f>
        <v>40.061399999999999</v>
      </c>
      <c r="C6" s="2581">
        <f t="shared" ref="C6:C8" ca="1" si="0">ROUND(B6*10000/$B$1,0)</f>
        <v>3615</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3191</v>
      </c>
      <c r="B14" s="2917">
        <f>项目基本情况!C12</f>
        <v>110.82</v>
      </c>
      <c r="C14" s="2917">
        <f>项目基本情况!C13</f>
        <v>0</v>
      </c>
      <c r="D14" s="2917">
        <f ca="1">IF('数据-取费表'!B3="万元",IF(A14="估价对象1（结果表）",结果表!H121,'结果表 (1修多)'!H125),IF(A14="估价对象1（结果表）",结果表!H121,'结果表 (1修多)'!H125)/10000)</f>
        <v>40.061399999999999</v>
      </c>
      <c r="E14" s="2917">
        <f ca="1">ROUND(D14*10000/B14,0)</f>
        <v>3615</v>
      </c>
      <c r="F14" s="2917" t="e">
        <f ca="1">ROUND(D14*10000/C14,0)</f>
        <v>#DIV/0!</v>
      </c>
      <c r="G14" s="2917">
        <f ca="1">IF('数据-取费表'!B3="万元",IF(A14="估价对象1（结果表）",结果表!D125,'结果表 (1修多)'!D129),IF(A14="估价对象1（结果表）",结果表!D125,'结果表 (1修多)'!D129)/10000)</f>
        <v>40.061399999999999</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D12" sqref="D12:D13"/>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21" t="str">
        <f>项目基本情况!B1</f>
        <v>北京市房地产市场价值预评估</v>
      </c>
      <c r="B2" s="3321"/>
      <c r="C2" s="3321"/>
      <c r="D2" s="3321"/>
      <c r="E2" s="3321"/>
      <c r="F2" s="3321"/>
      <c r="G2" s="3321"/>
      <c r="H2" s="3321"/>
      <c r="I2" s="3321"/>
      <c r="J2" s="2844"/>
    </row>
    <row r="3" spans="1:15" ht="12.75">
      <c r="A3" s="3326" t="s">
        <v>1710</v>
      </c>
      <c r="B3" s="3327"/>
      <c r="C3" s="3327"/>
      <c r="D3" s="3327"/>
      <c r="E3" s="3327"/>
      <c r="F3" s="3327"/>
      <c r="G3" s="3327"/>
      <c r="H3" s="3327"/>
      <c r="I3" s="3327"/>
      <c r="J3" s="2845"/>
    </row>
    <row r="4" spans="1:15" ht="14.25">
      <c r="A4" s="2713" t="s">
        <v>1711</v>
      </c>
      <c r="B4" s="2713" t="s">
        <v>1712</v>
      </c>
      <c r="C4" s="2714" t="s">
        <v>3189</v>
      </c>
      <c r="D4" s="2714" t="s">
        <v>3190</v>
      </c>
      <c r="E4" s="3323" t="s">
        <v>1713</v>
      </c>
      <c r="F4" s="3311"/>
      <c r="G4" s="3311"/>
      <c r="H4" s="3311"/>
      <c r="I4" s="3312"/>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2" t="s">
        <v>1714</v>
      </c>
      <c r="B5" s="3322">
        <v>25</v>
      </c>
      <c r="C5" s="3328">
        <v>3</v>
      </c>
      <c r="D5" s="3325">
        <f>10-C5</f>
        <v>7</v>
      </c>
      <c r="E5" s="12" t="s">
        <v>1715</v>
      </c>
      <c r="F5" s="2089"/>
      <c r="G5" s="2089"/>
      <c r="H5" s="2089"/>
      <c r="I5" s="2084"/>
      <c r="J5" s="2846"/>
    </row>
    <row r="6" spans="1:15" ht="12.75">
      <c r="A6" s="3322"/>
      <c r="B6" s="3322"/>
      <c r="C6" s="3329"/>
      <c r="D6" s="3325"/>
      <c r="E6" s="12" t="s">
        <v>1716</v>
      </c>
      <c r="F6" s="2089"/>
      <c r="G6" s="2089"/>
      <c r="H6" s="2089"/>
      <c r="I6" s="2084"/>
      <c r="J6" s="2846"/>
    </row>
    <row r="7" spans="1:15" ht="12.75">
      <c r="A7" s="3322"/>
      <c r="B7" s="3322"/>
      <c r="C7" s="3330"/>
      <c r="D7" s="3325"/>
      <c r="E7" s="12" t="s">
        <v>1717</v>
      </c>
      <c r="F7" s="2089"/>
      <c r="G7" s="2089"/>
      <c r="H7" s="2089"/>
      <c r="I7" s="2084"/>
      <c r="J7" s="2846"/>
    </row>
    <row r="8" spans="1:15" ht="12.75">
      <c r="A8" s="3322" t="s">
        <v>1718</v>
      </c>
      <c r="B8" s="3322">
        <v>15</v>
      </c>
      <c r="C8" s="3328"/>
      <c r="D8" s="3325"/>
      <c r="E8" s="12" t="s">
        <v>1719</v>
      </c>
      <c r="F8" s="2089"/>
      <c r="G8" s="2089"/>
      <c r="H8" s="2089"/>
      <c r="I8" s="2084"/>
      <c r="J8" s="2846"/>
    </row>
    <row r="9" spans="1:15" ht="12.75">
      <c r="A9" s="3322"/>
      <c r="B9" s="3322"/>
      <c r="C9" s="3330"/>
      <c r="D9" s="3325"/>
      <c r="E9" s="12" t="s">
        <v>1720</v>
      </c>
      <c r="F9" s="2089"/>
      <c r="G9" s="2089"/>
      <c r="H9" s="2089"/>
      <c r="I9" s="2084"/>
      <c r="J9" s="2846"/>
    </row>
    <row r="10" spans="1:15" ht="12.75">
      <c r="A10" s="3322" t="s">
        <v>1721</v>
      </c>
      <c r="B10" s="3322">
        <v>15</v>
      </c>
      <c r="C10" s="3328"/>
      <c r="D10" s="3325"/>
      <c r="E10" s="12" t="s">
        <v>1722</v>
      </c>
      <c r="F10" s="2089"/>
      <c r="G10" s="2089"/>
      <c r="H10" s="2089"/>
      <c r="I10" s="2084"/>
      <c r="J10" s="2846"/>
    </row>
    <row r="11" spans="1:15" ht="12.75">
      <c r="A11" s="3322"/>
      <c r="B11" s="3322"/>
      <c r="C11" s="3330"/>
      <c r="D11" s="3325"/>
      <c r="E11" s="12" t="s">
        <v>1723</v>
      </c>
      <c r="F11" s="2089"/>
      <c r="G11" s="2089"/>
      <c r="H11" s="2089"/>
      <c r="I11" s="2084"/>
      <c r="J11" s="2846"/>
    </row>
    <row r="12" spans="1:15" ht="12.75">
      <c r="A12" s="3322" t="s">
        <v>1724</v>
      </c>
      <c r="B12" s="3322">
        <v>15</v>
      </c>
      <c r="C12" s="3328"/>
      <c r="D12" s="3325"/>
      <c r="E12" s="12" t="s">
        <v>1725</v>
      </c>
      <c r="F12" s="2089"/>
      <c r="G12" s="2089"/>
      <c r="H12" s="2089"/>
      <c r="I12" s="2084"/>
      <c r="J12" s="2846"/>
    </row>
    <row r="13" spans="1:15" ht="12.75">
      <c r="A13" s="3322"/>
      <c r="B13" s="3322"/>
      <c r="C13" s="3330"/>
      <c r="D13" s="3325"/>
      <c r="E13" s="12" t="s">
        <v>1726</v>
      </c>
      <c r="F13" s="2089"/>
      <c r="G13" s="2089"/>
      <c r="H13" s="2089"/>
      <c r="I13" s="2084"/>
      <c r="J13" s="2846"/>
    </row>
    <row r="14" spans="1:15" ht="12.75">
      <c r="A14" s="3322" t="s">
        <v>1727</v>
      </c>
      <c r="B14" s="3322">
        <v>30</v>
      </c>
      <c r="C14" s="3328"/>
      <c r="D14" s="3325"/>
      <c r="E14" s="12" t="s">
        <v>1728</v>
      </c>
      <c r="F14" s="2089"/>
      <c r="G14" s="2089"/>
      <c r="H14" s="2089"/>
      <c r="I14" s="2084"/>
      <c r="J14" s="2846"/>
    </row>
    <row r="15" spans="1:15" ht="12.75">
      <c r="A15" s="3322"/>
      <c r="B15" s="3322"/>
      <c r="C15" s="3329"/>
      <c r="D15" s="3325"/>
      <c r="E15" s="12" t="s">
        <v>1729</v>
      </c>
      <c r="F15" s="2089"/>
      <c r="G15" s="2089"/>
      <c r="H15" s="2089"/>
      <c r="I15" s="2084"/>
      <c r="J15" s="2846"/>
    </row>
    <row r="16" spans="1:15" ht="12.75">
      <c r="A16" s="3322"/>
      <c r="B16" s="3322"/>
      <c r="C16" s="3330"/>
      <c r="D16" s="3325"/>
      <c r="E16" s="12" t="s">
        <v>1730</v>
      </c>
      <c r="F16" s="2089"/>
      <c r="G16" s="2089"/>
      <c r="H16" s="2089"/>
      <c r="I16" s="2084"/>
      <c r="J16" s="2846"/>
    </row>
    <row r="17" spans="1:36" ht="15">
      <c r="A17" s="2715" t="s">
        <v>1731</v>
      </c>
      <c r="B17" s="2094"/>
      <c r="C17" s="2716">
        <f>SUM(C5:C16)</f>
        <v>3</v>
      </c>
      <c r="D17" s="2716">
        <f>SUM(D5:D16)</f>
        <v>7</v>
      </c>
      <c r="E17" s="2563"/>
      <c r="F17" s="2563"/>
      <c r="G17" s="2563"/>
      <c r="H17" s="2563"/>
      <c r="I17" s="2563"/>
      <c r="J17" s="2847"/>
    </row>
    <row r="18" spans="1:36" ht="30" customHeight="1" thickBot="1">
      <c r="A18" s="2717" t="s">
        <v>1732</v>
      </c>
      <c r="B18" s="2718"/>
      <c r="C18" s="2719">
        <f>ROUND(C17/SUM(C17:D17),2)</f>
        <v>0.3</v>
      </c>
      <c r="D18" s="2719">
        <f>1-C18</f>
        <v>0.7</v>
      </c>
      <c r="E18" s="3342" t="s">
        <v>2818</v>
      </c>
      <c r="F18" s="3343"/>
      <c r="G18" s="3343"/>
      <c r="H18" s="3343"/>
      <c r="I18" s="3343"/>
      <c r="J18" s="2847"/>
    </row>
    <row r="19" spans="1:36" ht="15">
      <c r="A19" s="2720" t="s">
        <v>1733</v>
      </c>
      <c r="B19" s="2721" t="s">
        <v>1734</v>
      </c>
      <c r="C19" s="2722">
        <f ca="1">SUMIF(INDIRECT("'"&amp;C4&amp;"'"&amp;"!A:A"),结果表!B19,INDIRECT("'"&amp;C4&amp;"'"&amp;"!B:B"))</f>
        <v>609427</v>
      </c>
      <c r="D19" s="2723">
        <f ca="1">SUMIF(INDIRECT("'"&amp;D4&amp;"'"&amp;"!A:A"),结果表!B19,INDIRECT("'"&amp;D4&amp;"'"&amp;"!B:B"))</f>
        <v>311072</v>
      </c>
      <c r="E19" s="2720" t="s">
        <v>1735</v>
      </c>
      <c r="F19" s="2721" t="s">
        <v>1734</v>
      </c>
      <c r="G19" s="2724">
        <f ca="1">ROUND(C19*$C$18+D19*$D$18,0)</f>
        <v>400579</v>
      </c>
      <c r="H19" s="2725" t="str">
        <f>'数据-取费表'!B3</f>
        <v>元</v>
      </c>
      <c r="I19" s="2773"/>
      <c r="J19" s="2848"/>
    </row>
    <row r="20" spans="1:36" ht="15">
      <c r="A20" s="2726"/>
      <c r="B20" s="1694" t="s">
        <v>1736</v>
      </c>
      <c r="C20" s="1919">
        <f ca="1">SUMIF(INDIRECT("'"&amp;C4&amp;"'"&amp;"!A:A"),结果表!B20,INDIRECT("'"&amp;C4&amp;"'"&amp;"!B:B"))</f>
        <v>5499</v>
      </c>
      <c r="D20" s="1922">
        <f ca="1">SUMIF(INDIRECT("'"&amp;D4&amp;"'"&amp;"!A:A"),结果表!B20,INDIRECT("'"&amp;D4&amp;"'"&amp;"!B:B"))</f>
        <v>2807</v>
      </c>
      <c r="E20" s="2726"/>
      <c r="F20" s="1694" t="s">
        <v>1736</v>
      </c>
      <c r="G20" s="2093">
        <f ca="1">ROUND(C20*$C$18+D20*$D$18,0)</f>
        <v>3615</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0.95911878921921612</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1" t="s">
        <v>1739</v>
      </c>
      <c r="B24" s="2721" t="s">
        <v>1734</v>
      </c>
      <c r="C24" s="2724">
        <f>D30</f>
        <v>0</v>
      </c>
      <c r="D24" s="2676"/>
      <c r="E24" s="947"/>
      <c r="F24" s="947"/>
      <c r="G24" s="947"/>
      <c r="H24" s="947"/>
      <c r="I24" s="947"/>
      <c r="J24" s="2847"/>
    </row>
    <row r="25" spans="1:36" ht="21.75" customHeight="1">
      <c r="A25" s="3332"/>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3615</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331" t="s">
        <v>1752</v>
      </c>
      <c r="B36" s="1468" t="s">
        <v>1753</v>
      </c>
      <c r="C36" s="2757">
        <v>0</v>
      </c>
      <c r="D36" s="2758"/>
      <c r="E36" s="1680"/>
      <c r="F36" s="1680"/>
      <c r="G36" s="947"/>
      <c r="H36" s="947"/>
      <c r="I36" s="947"/>
      <c r="J36" s="2847"/>
    </row>
    <row r="37" spans="1:17" ht="15.75" thickBot="1">
      <c r="A37" s="3336"/>
      <c r="B37" s="2094" t="s">
        <v>1754</v>
      </c>
      <c r="C37" s="2759">
        <v>0</v>
      </c>
      <c r="D37" s="1311"/>
      <c r="E37" s="1311"/>
      <c r="F37" s="1680"/>
      <c r="G37" s="1311"/>
      <c r="H37" s="1311"/>
      <c r="I37" s="1311"/>
      <c r="J37" s="2851"/>
    </row>
    <row r="38" spans="1:17" ht="15.75" thickBot="1">
      <c r="A38" s="3337"/>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2817</v>
      </c>
      <c r="J44" s="2853"/>
      <c r="K44" s="1475" t="s">
        <v>1762</v>
      </c>
      <c r="L44" s="1476"/>
      <c r="M44" s="1476"/>
      <c r="N44" s="1476"/>
      <c r="O44" s="1476"/>
      <c r="P44" s="1476"/>
      <c r="Q44" s="1308"/>
    </row>
    <row r="45" spans="1:17" ht="14.25" customHeight="1" thickBot="1">
      <c r="A45" s="3256" t="s">
        <v>1763</v>
      </c>
      <c r="B45" s="3257"/>
      <c r="C45" s="3267"/>
      <c r="D45" s="246">
        <f ca="1">ROUND(I102*F45,0)</f>
        <v>400614</v>
      </c>
      <c r="E45" s="1542" t="s">
        <v>1764</v>
      </c>
      <c r="F45" s="2561">
        <v>1</v>
      </c>
      <c r="G45" s="2562" t="s">
        <v>1765</v>
      </c>
      <c r="H45" s="947"/>
      <c r="I45" s="947"/>
      <c r="J45" s="2847"/>
      <c r="K45" s="3262" t="s">
        <v>2747</v>
      </c>
      <c r="L45" s="3262"/>
      <c r="M45" s="3262"/>
      <c r="N45" s="3262"/>
      <c r="O45" s="3262"/>
      <c r="P45" s="3262"/>
      <c r="Q45" s="1308"/>
    </row>
    <row r="46" spans="1:17" ht="14.25" customHeight="1">
      <c r="A46" s="3333" t="s">
        <v>1767</v>
      </c>
      <c r="B46" s="3334"/>
      <c r="C46" s="3334"/>
      <c r="D46" s="3334"/>
      <c r="E46" s="3334"/>
      <c r="F46" s="3334"/>
      <c r="G46" s="3335"/>
      <c r="H46" s="2979"/>
      <c r="I46" s="947"/>
      <c r="J46" s="2847"/>
      <c r="K46" s="2536">
        <v>1</v>
      </c>
      <c r="L46" s="3263" t="s">
        <v>2748</v>
      </c>
      <c r="M46" s="3263"/>
      <c r="N46" s="3264" t="str">
        <f>项目基本情况!B1</f>
        <v>北京市房地产市场价值预评估</v>
      </c>
      <c r="O46" s="3264"/>
      <c r="P46" s="3264"/>
      <c r="Q46" s="1308"/>
    </row>
    <row r="47" spans="1:17" ht="12" customHeight="1">
      <c r="A47" s="38" t="s">
        <v>1769</v>
      </c>
      <c r="B47" s="39"/>
      <c r="C47" s="40"/>
      <c r="D47" s="1099" t="s">
        <v>1770</v>
      </c>
      <c r="E47" s="235" t="s">
        <v>1771</v>
      </c>
      <c r="F47" s="41" t="s">
        <v>1772</v>
      </c>
      <c r="G47" s="2564" t="s">
        <v>1773</v>
      </c>
      <c r="H47" s="2979"/>
      <c r="I47" s="947"/>
      <c r="J47" s="2847"/>
      <c r="K47" s="2536">
        <v>2</v>
      </c>
      <c r="L47" s="3263" t="s">
        <v>2749</v>
      </c>
      <c r="M47" s="3263"/>
      <c r="N47" s="3265">
        <f>'数据-取费表'!B2</f>
        <v>38705</v>
      </c>
      <c r="O47" s="3265"/>
      <c r="P47" s="3265"/>
      <c r="Q47" s="1308"/>
    </row>
    <row r="48" spans="1:17" ht="25.5">
      <c r="A48" s="3338" t="s">
        <v>1775</v>
      </c>
      <c r="B48" s="3272"/>
      <c r="C48" s="3272"/>
      <c r="D48" s="12">
        <f ca="1">IF(H48="情况1",0,IF(H48="情况2",D52,IF(H48="情况3",D53,IF(H48="情况4",D54))))</f>
        <v>22034</v>
      </c>
      <c r="E48" s="2092" t="str">
        <f>IF(H48="情况4","(销售额-原购置价)×税（费）率","销售额×税（费）率")</f>
        <v>销售额×税（费）率</v>
      </c>
      <c r="F48" s="2565">
        <f>IF(H48="情况1","免征",'数据-取费表'!E29)</f>
        <v>5.5000000000000007E-2</v>
      </c>
      <c r="G48" s="2566" t="s">
        <v>1776</v>
      </c>
      <c r="H48" s="2567" t="s">
        <v>1777</v>
      </c>
      <c r="I48" s="2979"/>
      <c r="J48" s="2854"/>
      <c r="K48" s="2536">
        <v>3</v>
      </c>
      <c r="L48" s="3263" t="s">
        <v>2750</v>
      </c>
      <c r="M48" s="3263"/>
      <c r="N48" s="3264">
        <f ca="1">I102</f>
        <v>400614</v>
      </c>
      <c r="O48" s="3264"/>
      <c r="P48" s="3264"/>
      <c r="Q48" s="1308"/>
    </row>
    <row r="49" spans="1:17" ht="25.5" customHeight="1">
      <c r="A49" s="2091" t="s">
        <v>1779</v>
      </c>
      <c r="B49" s="3311" t="s">
        <v>1780</v>
      </c>
      <c r="C49" s="3311"/>
      <c r="D49" s="2568">
        <v>0</v>
      </c>
      <c r="E49" s="261" t="s">
        <v>1781</v>
      </c>
      <c r="F49" s="2569" t="s">
        <v>48</v>
      </c>
      <c r="G49" s="3253"/>
      <c r="H49" s="2570" t="s">
        <v>2824</v>
      </c>
      <c r="I49" s="2571"/>
      <c r="J49" s="2855"/>
      <c r="K49" s="2536">
        <v>4</v>
      </c>
      <c r="L49" s="3263" t="str">
        <f>IF(项目基本情况!F5="房地产抵押价值","房地产抵押价值","抵押担保权已注销时的房地产抵押价值")</f>
        <v>抵押担保权已注销时的房地产抵押价值</v>
      </c>
      <c r="M49" s="3263"/>
      <c r="N49" s="3264" t="str">
        <f>IF(项目基本情况!F5="房地产抵押价值",I110,I112)</f>
        <v>——</v>
      </c>
      <c r="O49" s="3264"/>
      <c r="P49" s="3264"/>
      <c r="Q49" s="1308"/>
    </row>
    <row r="50" spans="1:17" ht="25.5" customHeight="1">
      <c r="A50" s="2081"/>
      <c r="B50" s="3311" t="s">
        <v>1782</v>
      </c>
      <c r="C50" s="3311"/>
      <c r="D50" s="2572"/>
      <c r="E50" s="269"/>
      <c r="F50" s="2569"/>
      <c r="G50" s="3254"/>
      <c r="H50" s="2573" t="s">
        <v>2743</v>
      </c>
      <c r="I50" s="2571"/>
      <c r="J50" s="2855"/>
      <c r="K50" s="3263" t="s">
        <v>2751</v>
      </c>
      <c r="L50" s="3263"/>
      <c r="M50" s="3263"/>
      <c r="N50" s="3263"/>
      <c r="O50" s="3263"/>
      <c r="P50" s="3263"/>
      <c r="Q50" s="1308"/>
    </row>
    <row r="51" spans="1:17" ht="20.45" customHeight="1">
      <c r="A51" s="2574"/>
      <c r="B51" s="3311" t="s">
        <v>1784</v>
      </c>
      <c r="C51" s="3311"/>
      <c r="D51" s="1099"/>
      <c r="E51" s="264"/>
      <c r="F51" s="2569"/>
      <c r="G51" s="3255"/>
      <c r="H51" s="2573" t="s">
        <v>2744</v>
      </c>
      <c r="I51" s="2571"/>
      <c r="J51" s="2855"/>
      <c r="K51" s="2537" t="s">
        <v>2752</v>
      </c>
      <c r="L51" s="3263" t="s">
        <v>2753</v>
      </c>
      <c r="M51" s="3263"/>
      <c r="N51" s="2537" t="s">
        <v>2754</v>
      </c>
      <c r="O51" s="2537" t="s">
        <v>2755</v>
      </c>
      <c r="P51" s="2537" t="s">
        <v>2756</v>
      </c>
      <c r="Q51" s="1308"/>
    </row>
    <row r="52" spans="1:17" ht="24" customHeight="1">
      <c r="A52" s="2082" t="s">
        <v>1790</v>
      </c>
      <c r="B52" s="3311" t="s">
        <v>1791</v>
      </c>
      <c r="C52" s="3311"/>
      <c r="D52" s="1099">
        <f ca="1">ROUND(D45*'数据-取费表'!E29/(1+'数据-取费表'!F30),0)</f>
        <v>22034</v>
      </c>
      <c r="E52" s="2092" t="s">
        <v>1792</v>
      </c>
      <c r="F52" s="2575">
        <f>'数据-取费表'!E29</f>
        <v>5.5000000000000007E-2</v>
      </c>
      <c r="G52" s="2576"/>
      <c r="H52" s="947"/>
      <c r="I52" s="2980"/>
      <c r="J52" s="2855"/>
      <c r="K52" s="2536">
        <v>1</v>
      </c>
      <c r="L52" s="3252" t="s">
        <v>2757</v>
      </c>
      <c r="M52" s="3252"/>
      <c r="N52" s="2538">
        <f ca="1">D48</f>
        <v>22034</v>
      </c>
      <c r="O52" s="2536" t="str">
        <f>E48</f>
        <v>销售额×税（费）率</v>
      </c>
      <c r="P52" s="2539">
        <f>F48</f>
        <v>5.5000000000000007E-2</v>
      </c>
      <c r="Q52" s="1308"/>
    </row>
    <row r="53" spans="1:17" ht="12" customHeight="1">
      <c r="A53" s="2082" t="s">
        <v>1794</v>
      </c>
      <c r="B53" s="3323" t="s">
        <v>2836</v>
      </c>
      <c r="C53" s="3312"/>
      <c r="D53" s="1099">
        <f ca="1">ROUND(D45*'数据-取费表'!E29/(1+'数据-取费表'!F30),0)</f>
        <v>22034</v>
      </c>
      <c r="E53" s="2092" t="s">
        <v>1792</v>
      </c>
      <c r="F53" s="2575">
        <f>'数据-取费表'!E29</f>
        <v>5.5000000000000007E-2</v>
      </c>
      <c r="G53" s="2576"/>
      <c r="H53" s="947"/>
      <c r="I53" s="2980"/>
      <c r="J53" s="2855"/>
      <c r="K53" s="2536">
        <v>2</v>
      </c>
      <c r="L53" s="3252" t="s">
        <v>2758</v>
      </c>
      <c r="M53" s="3252"/>
      <c r="N53" s="2538">
        <f t="shared" ref="N53:P54" si="1">D55</f>
        <v>0</v>
      </c>
      <c r="O53" s="2536" t="str">
        <f t="shared" si="1"/>
        <v>销售额×税（费）率</v>
      </c>
      <c r="P53" s="2539" t="str">
        <f t="shared" si="1"/>
        <v>免征</v>
      </c>
      <c r="Q53" s="1308"/>
    </row>
    <row r="54" spans="1:17" ht="12" customHeight="1">
      <c r="A54" s="2082" t="s">
        <v>1796</v>
      </c>
      <c r="B54" s="3323" t="s">
        <v>2837</v>
      </c>
      <c r="C54" s="3312"/>
      <c r="D54" s="1099">
        <f ca="1">C68</f>
        <v>22034</v>
      </c>
      <c r="E54" s="264" t="s">
        <v>1797</v>
      </c>
      <c r="F54" s="2575">
        <f>'数据-取费表'!E29</f>
        <v>5.5000000000000007E-2</v>
      </c>
      <c r="G54" s="2576"/>
      <c r="H54" s="2981"/>
      <c r="I54" s="2980"/>
      <c r="J54" s="2855"/>
      <c r="K54" s="2536">
        <v>3</v>
      </c>
      <c r="L54" s="3252" t="s">
        <v>2759</v>
      </c>
      <c r="M54" s="3252"/>
      <c r="N54" s="2538">
        <f t="shared" si="1"/>
        <v>0</v>
      </c>
      <c r="O54" s="2536" t="str">
        <f t="shared" si="1"/>
        <v>增值额×税（费）率</v>
      </c>
      <c r="P54" s="2540" t="str">
        <f t="shared" si="1"/>
        <v>免征</v>
      </c>
      <c r="Q54" s="1308"/>
    </row>
    <row r="55" spans="1:17" ht="24" customHeight="1">
      <c r="A55" s="3276" t="s">
        <v>1799</v>
      </c>
      <c r="B55" s="3272"/>
      <c r="C55" s="3272"/>
      <c r="D55" s="12">
        <f>IF(H55="个人住宅",0,ROUND(D45*I55,0))</f>
        <v>0</v>
      </c>
      <c r="E55" s="2092" t="s">
        <v>1800</v>
      </c>
      <c r="F55" s="2575" t="str">
        <f>IF(H55="正常",I55,"免征")</f>
        <v>免征</v>
      </c>
      <c r="G55" s="2576"/>
      <c r="H55" s="2567" t="s">
        <v>2740</v>
      </c>
      <c r="I55" s="74">
        <f>'数据-取费表'!E37</f>
        <v>5.0000000000000001E-4</v>
      </c>
      <c r="J55" s="2855"/>
      <c r="K55" s="2536" t="str">
        <f>IF(H59="非个人房产","",4)</f>
        <v/>
      </c>
      <c r="L55" s="3252" t="str">
        <f>IF(H59="非个人房产","——","个人所得税")</f>
        <v>——</v>
      </c>
      <c r="M55" s="3252"/>
      <c r="N55" s="2541" t="str">
        <f>D59</f>
        <v>——</v>
      </c>
      <c r="O55" s="2542" t="str">
        <f>E59</f>
        <v>——</v>
      </c>
      <c r="P55" s="2543" t="str">
        <f>F59</f>
        <v>——</v>
      </c>
      <c r="Q55" s="1308"/>
    </row>
    <row r="56" spans="1:17" ht="24.75">
      <c r="A56" s="3276" t="s">
        <v>1802</v>
      </c>
      <c r="B56" s="3272"/>
      <c r="C56" s="3272"/>
      <c r="D56" s="12">
        <f>IF(H56="个人住宅",D57,D58)</f>
        <v>0</v>
      </c>
      <c r="E56" s="2092" t="s">
        <v>1803</v>
      </c>
      <c r="F56" s="2575" t="str">
        <f>IF(H56="正常",F58,"免征")</f>
        <v>免征</v>
      </c>
      <c r="G56" s="2577" t="s">
        <v>1804</v>
      </c>
      <c r="H56" s="2578" t="s">
        <v>2740</v>
      </c>
      <c r="I56" s="2982"/>
      <c r="J56" s="2855"/>
      <c r="K56" s="2536" t="str">
        <f>IF(项目基本情况!I6="上海银行",IF(K55="",4,K55+1),"")</f>
        <v/>
      </c>
      <c r="L56" s="3250" t="str">
        <f>IF(项目基本情况!I6="上海银行","其他处置费用","")</f>
        <v/>
      </c>
      <c r="M56" s="3270"/>
      <c r="N56" s="2538" t="str">
        <f>IF(项目基本情况!I6="上海银行",N69,"")</f>
        <v/>
      </c>
      <c r="O56" s="3250" t="str">
        <f>IF(项目基本情况!I6="上海银行","包含处置中涉及的律师、诉讼、拍卖、评估等费用","")</f>
        <v/>
      </c>
      <c r="P56" s="3251"/>
      <c r="Q56" s="1308"/>
    </row>
    <row r="57" spans="1:17" ht="12.75">
      <c r="A57" s="2082" t="s">
        <v>1779</v>
      </c>
      <c r="B57" s="3323" t="s">
        <v>1805</v>
      </c>
      <c r="C57" s="3312"/>
      <c r="D57" s="2568">
        <v>0</v>
      </c>
      <c r="E57" s="261" t="s">
        <v>1781</v>
      </c>
      <c r="F57" s="235"/>
      <c r="G57" s="2576"/>
      <c r="H57" s="2982"/>
      <c r="I57" s="2982"/>
      <c r="J57" s="2855"/>
      <c r="K57" s="3252">
        <f>IF(AND(K55="",K56=""),4,IF(项目基本情况!I6="上海银行",K56+1,K55+1))</f>
        <v>4</v>
      </c>
      <c r="L57" s="3252" t="s">
        <v>2760</v>
      </c>
      <c r="M57" s="2544" t="s">
        <v>2761</v>
      </c>
      <c r="N57" s="2545"/>
      <c r="O57" s="2546">
        <f ca="1">SUMIF(N52:N56,"&lt;9e307")</f>
        <v>22034</v>
      </c>
      <c r="P57" s="2547"/>
      <c r="Q57" s="1306" t="e">
        <f ca="1">O57/N49</f>
        <v>#VALUE!</v>
      </c>
    </row>
    <row r="58" spans="1:17" ht="24.75">
      <c r="A58" s="2082" t="s">
        <v>1790</v>
      </c>
      <c r="B58" s="3323" t="s">
        <v>1808</v>
      </c>
      <c r="C58" s="3311"/>
      <c r="D58" s="12">
        <f ca="1">IF(H58="转让取得",C81,C97)</f>
        <v>238466</v>
      </c>
      <c r="E58" s="2092" t="s">
        <v>1803</v>
      </c>
      <c r="F58" s="235" t="s">
        <v>48</v>
      </c>
      <c r="G58" s="2576"/>
      <c r="H58" s="2578" t="s">
        <v>1809</v>
      </c>
      <c r="I58" s="2982"/>
      <c r="J58" s="2855"/>
      <c r="K58" s="3252"/>
      <c r="L58" s="3252"/>
      <c r="M58" s="2544" t="s">
        <v>2762</v>
      </c>
      <c r="N58" s="2548"/>
      <c r="O58" s="2549" t="str">
        <f ca="1">IF(H19="元",NUMBERSTRING(INT(O57),2)&amp;"元整",NUMBERSTRING(INT(O57*10000),2)&amp;"元整")</f>
        <v>贰万贰仟零叁拾肆元整</v>
      </c>
      <c r="P58" s="2550"/>
      <c r="Q58" s="1308"/>
    </row>
    <row r="59" spans="1:17" ht="24.75" thickBot="1">
      <c r="A59" s="3339" t="s">
        <v>1811</v>
      </c>
      <c r="B59" s="3340"/>
      <c r="C59" s="334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05">
        <f>K57+1</f>
        <v>5</v>
      </c>
      <c r="L59" s="3252"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06"/>
      <c r="L60" s="3252"/>
      <c r="M60" s="2544" t="s">
        <v>2762</v>
      </c>
      <c r="N60" s="2548"/>
      <c r="O60" s="2549" t="e">
        <f ca="1">IF(H19="元",NUMBERSTRING(INT(O59),2)&amp;"元整",NUMBERSTRING(INT(O59*10000),2)&amp;"元整")</f>
        <v>#VALUE!</v>
      </c>
      <c r="P60" s="2550"/>
      <c r="Q60" s="1308"/>
    </row>
    <row r="61" spans="1:17" ht="13.5" thickBot="1">
      <c r="A61" s="3341" t="s">
        <v>1813</v>
      </c>
      <c r="B61" s="3341"/>
      <c r="C61" s="3341"/>
      <c r="D61" s="3341"/>
      <c r="E61" s="3341"/>
      <c r="F61" s="2983"/>
      <c r="G61" s="2983"/>
      <c r="H61" s="2985"/>
      <c r="I61" s="31"/>
      <c r="K61" s="2536">
        <f>K59+1</f>
        <v>6</v>
      </c>
      <c r="L61" s="3252" t="s">
        <v>2764</v>
      </c>
      <c r="M61" s="3252"/>
      <c r="N61" s="2554"/>
      <c r="O61" s="2555" t="e">
        <f ca="1">IF(H19="元",ROUND(O59/项目基本情况!C12,0),ROUND(O59*10000/项目基本情况!C12,0))</f>
        <v>#VALUE!</v>
      </c>
      <c r="P61" s="2556"/>
      <c r="Q61" s="1308"/>
    </row>
    <row r="62" spans="1:17" ht="12.75">
      <c r="A62" s="3290" t="s">
        <v>1815</v>
      </c>
      <c r="B62" s="3291"/>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400614</v>
      </c>
      <c r="D63" s="47"/>
      <c r="E63" s="48"/>
      <c r="F63" s="2983"/>
      <c r="G63" s="2983"/>
      <c r="H63" s="2985"/>
      <c r="I63" s="31"/>
      <c r="K63" s="3271"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400614</v>
      </c>
      <c r="D64" s="50" t="s">
        <v>41</v>
      </c>
      <c r="E64" s="52"/>
      <c r="F64" s="2983"/>
      <c r="G64" s="2983"/>
      <c r="H64" s="2985"/>
      <c r="I64" s="31"/>
      <c r="K64" s="3271"/>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1824</v>
      </c>
      <c r="C65" s="2788"/>
      <c r="D65" s="50"/>
      <c r="E65" s="52"/>
      <c r="F65" s="2983"/>
      <c r="G65" s="2983"/>
      <c r="H65" s="2985"/>
      <c r="I65" s="31"/>
      <c r="K65" s="3271"/>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1826</v>
      </c>
      <c r="C66" s="2789"/>
      <c r="D66" s="54" t="s">
        <v>41</v>
      </c>
      <c r="E66" s="1316" t="s">
        <v>1827</v>
      </c>
      <c r="F66" s="2983"/>
      <c r="G66" s="2983"/>
      <c r="H66" s="2985"/>
      <c r="I66" s="31"/>
      <c r="K66" s="3271"/>
      <c r="L66" s="2558" t="s">
        <v>2770</v>
      </c>
      <c r="M66" s="2558" t="e">
        <f>N49*0.5%</f>
        <v>#VALUE!</v>
      </c>
      <c r="N66" s="2559" t="e">
        <f>IF(M66&gt;0.5,0.5,ROUND(M66,0))</f>
        <v>#VALUE!</v>
      </c>
      <c r="O66" s="2557" t="s">
        <v>2771</v>
      </c>
      <c r="P66" s="2557"/>
      <c r="Q66" s="1308"/>
    </row>
    <row r="67" spans="1:36" ht="12.75">
      <c r="A67" s="53" t="s">
        <v>42</v>
      </c>
      <c r="B67" s="54" t="s">
        <v>1830</v>
      </c>
      <c r="C67" s="2790">
        <f ca="1">C63-C66</f>
        <v>400614</v>
      </c>
      <c r="D67" s="50" t="s">
        <v>41</v>
      </c>
      <c r="E67" s="52"/>
      <c r="F67" s="2983"/>
      <c r="G67" s="2983"/>
      <c r="H67" s="2985"/>
      <c r="I67" s="31"/>
      <c r="K67" s="3271"/>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22034</v>
      </c>
      <c r="D68" s="2242">
        <f>'数据-取费表'!E29</f>
        <v>5.5000000000000007E-2</v>
      </c>
      <c r="E68" s="57"/>
      <c r="F68" s="2983"/>
      <c r="G68" s="2983"/>
      <c r="H68" s="2985"/>
      <c r="I68" s="31"/>
      <c r="K68" s="3271"/>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2" t="s">
        <v>1835</v>
      </c>
      <c r="B70" s="3293"/>
      <c r="C70" s="3293"/>
      <c r="D70" s="3293"/>
      <c r="E70" s="3293"/>
      <c r="F70" s="3293"/>
      <c r="G70" s="3293"/>
      <c r="H70" s="3293"/>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0" t="s">
        <v>1815</v>
      </c>
      <c r="B71" s="3291"/>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400614</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2003</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23" t="s">
        <v>1845</v>
      </c>
      <c r="F76" s="3311"/>
      <c r="G76" s="3311"/>
      <c r="H76" s="3324"/>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2003</v>
      </c>
      <c r="D78" s="2799">
        <f>'数据-取费表'!E31</f>
        <v>5.000000000000001E-3</v>
      </c>
      <c r="E78" s="3259" t="s">
        <v>1850</v>
      </c>
      <c r="F78" s="3260"/>
      <c r="G78" s="3260"/>
      <c r="H78" s="3280"/>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398611</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199.00698951572642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238466</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2" t="s">
        <v>1854</v>
      </c>
      <c r="B83" s="3293"/>
      <c r="C83" s="3293"/>
      <c r="D83" s="3293"/>
      <c r="E83" s="3293"/>
      <c r="F83" s="3293"/>
      <c r="G83" s="3293"/>
      <c r="H83" s="3293"/>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0" t="s">
        <v>1815</v>
      </c>
      <c r="B84" s="3291"/>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400614</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2003</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299" t="s">
        <v>2735</v>
      </c>
      <c r="H90" s="3299"/>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59" t="s">
        <v>1862</v>
      </c>
      <c r="F91" s="3260"/>
      <c r="G91" s="3260"/>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59" t="s">
        <v>1865</v>
      </c>
      <c r="F92" s="3260"/>
      <c r="G92" s="3260"/>
      <c r="H92" s="3280"/>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2003</v>
      </c>
      <c r="D93" s="2799">
        <f>'数据-取费表'!E31</f>
        <v>5.000000000000001E-3</v>
      </c>
      <c r="E93" s="3259" t="s">
        <v>1850</v>
      </c>
      <c r="F93" s="3260"/>
      <c r="G93" s="3260"/>
      <c r="H93" s="3280"/>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59" t="s">
        <v>1867</v>
      </c>
      <c r="F94" s="3260"/>
      <c r="G94" s="3260"/>
      <c r="H94" s="3280"/>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398611</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199.00698951572642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238466</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77" t="s">
        <v>1869</v>
      </c>
      <c r="B99" s="3278"/>
      <c r="C99" s="3278"/>
      <c r="D99" s="3279"/>
      <c r="E99" s="1461"/>
      <c r="F99" s="3287" t="s">
        <v>1870</v>
      </c>
      <c r="G99" s="3288"/>
      <c r="H99" s="3288"/>
      <c r="I99" s="3289"/>
      <c r="J99" s="2861"/>
    </row>
    <row r="100" spans="1:36" ht="15">
      <c r="A100" s="3294" t="s">
        <v>1871</v>
      </c>
      <c r="B100" s="3295"/>
      <c r="C100" s="1307" t="str">
        <f>C4</f>
        <v>成本法</v>
      </c>
      <c r="D100" s="2809" t="str">
        <f>D4</f>
        <v>比较法-住宅</v>
      </c>
      <c r="E100" s="1461"/>
      <c r="F100" s="3296" t="s">
        <v>2779</v>
      </c>
      <c r="G100" s="3298"/>
      <c r="H100" s="3296" t="s">
        <v>2780</v>
      </c>
      <c r="I100" s="3297"/>
      <c r="J100" s="2862"/>
    </row>
    <row r="101" spans="1:36" ht="12.75">
      <c r="A101" s="3313" t="s">
        <v>2812</v>
      </c>
      <c r="B101" s="2307" t="str">
        <f>IF(H19="元","总价（元）","总价（万元）")</f>
        <v>总价（元）</v>
      </c>
      <c r="C101" s="1307">
        <f ca="1">C19</f>
        <v>609427</v>
      </c>
      <c r="D101" s="2809">
        <f ca="1">D19</f>
        <v>311072</v>
      </c>
      <c r="E101" s="1461"/>
      <c r="F101" s="3296" t="str">
        <f>项目基本情况!I1</f>
        <v>北京市房地产</v>
      </c>
      <c r="G101" s="3298"/>
      <c r="H101" s="3300">
        <f>项目基本情况!C12</f>
        <v>110.82</v>
      </c>
      <c r="I101" s="3297"/>
      <c r="J101" s="2862"/>
    </row>
    <row r="102" spans="1:36" ht="12.75">
      <c r="A102" s="3313"/>
      <c r="B102" s="2307" t="s">
        <v>2813</v>
      </c>
      <c r="C102" s="2810">
        <f ca="1">C20</f>
        <v>5499</v>
      </c>
      <c r="D102" s="2811">
        <f ca="1">D20</f>
        <v>2807</v>
      </c>
      <c r="E102" s="1461"/>
      <c r="F102" s="3283" t="s">
        <v>2809</v>
      </c>
      <c r="G102" s="3284"/>
      <c r="H102" s="2819" t="str">
        <f>C106</f>
        <v>总价（元）</v>
      </c>
      <c r="I102" s="2820">
        <f ca="1">H121</f>
        <v>400614</v>
      </c>
      <c r="J102" s="2862"/>
    </row>
    <row r="103" spans="1:36" ht="12.75">
      <c r="A103" s="3313" t="s">
        <v>2814</v>
      </c>
      <c r="B103" s="2245" t="str">
        <f>B101</f>
        <v>总价（元）</v>
      </c>
      <c r="C103" s="2814">
        <f ca="1">H121</f>
        <v>400614</v>
      </c>
      <c r="D103" s="2812"/>
      <c r="E103" s="1461"/>
      <c r="F103" s="3283"/>
      <c r="G103" s="3284"/>
      <c r="H103" s="2819" t="s">
        <v>2782</v>
      </c>
      <c r="I103" s="52">
        <f ca="1">I121</f>
        <v>3615</v>
      </c>
      <c r="J103" s="2846"/>
    </row>
    <row r="104" spans="1:36" ht="13.5" thickBot="1">
      <c r="A104" s="3314"/>
      <c r="B104" s="2816" t="s">
        <v>2813</v>
      </c>
      <c r="C104" s="2817">
        <f ca="1">I121</f>
        <v>3615</v>
      </c>
      <c r="D104" s="2818"/>
      <c r="E104" s="1461"/>
      <c r="F104" s="3283"/>
      <c r="G104" s="3284"/>
      <c r="H104" s="3315"/>
      <c r="I104" s="3316"/>
      <c r="J104" s="2863"/>
    </row>
    <row r="105" spans="1:36" ht="15">
      <c r="A105" s="3277" t="s">
        <v>1872</v>
      </c>
      <c r="B105" s="3278"/>
      <c r="C105" s="3278"/>
      <c r="D105" s="3279"/>
      <c r="E105" s="1461"/>
      <c r="F105" s="3319" t="s">
        <v>2783</v>
      </c>
      <c r="G105" s="3320"/>
      <c r="H105" s="2821" t="str">
        <f>C108</f>
        <v>总额（元）</v>
      </c>
      <c r="I105" s="2820">
        <f>SUMIF(I106:I108,"&lt;9E307")</f>
        <v>0</v>
      </c>
      <c r="J105" s="2862"/>
    </row>
    <row r="106" spans="1:36" ht="14.25">
      <c r="A106" s="3283" t="s">
        <v>2806</v>
      </c>
      <c r="B106" s="3284"/>
      <c r="C106" s="2819" t="str">
        <f>B101</f>
        <v>总价（元）</v>
      </c>
      <c r="D106" s="2820">
        <f ca="1">H121</f>
        <v>400614</v>
      </c>
      <c r="E106" s="1461"/>
      <c r="F106" s="3285" t="s">
        <v>2784</v>
      </c>
      <c r="G106" s="3286"/>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83"/>
      <c r="B107" s="3284"/>
      <c r="C107" s="2819" t="s">
        <v>2807</v>
      </c>
      <c r="D107" s="52">
        <f ca="1">I121</f>
        <v>3615</v>
      </c>
      <c r="E107" s="1461"/>
      <c r="F107" s="3285" t="s">
        <v>2785</v>
      </c>
      <c r="G107" s="3286"/>
      <c r="H107" s="2821" t="str">
        <f>C110</f>
        <v>总额（元）</v>
      </c>
      <c r="I107" s="52">
        <f>C37</f>
        <v>0</v>
      </c>
      <c r="J107" s="2846"/>
    </row>
    <row r="108" spans="1:36" ht="12.75">
      <c r="A108" s="3354" t="s">
        <v>2783</v>
      </c>
      <c r="B108" s="3355"/>
      <c r="C108" s="2821" t="str">
        <f>IF(H19="元","总额（元）","总额（万元）")</f>
        <v>总额（元）</v>
      </c>
      <c r="D108" s="2820">
        <f>IF(D36="正常操作",I106+I107+I108,I107+I108)</f>
        <v>0</v>
      </c>
      <c r="E108" s="1461"/>
      <c r="F108" s="3285" t="s">
        <v>2810</v>
      </c>
      <c r="G108" s="3286"/>
      <c r="H108" s="2821" t="str">
        <f>C111</f>
        <v>总额（元）</v>
      </c>
      <c r="I108" s="52">
        <f>C38</f>
        <v>0</v>
      </c>
      <c r="J108" s="2846"/>
    </row>
    <row r="109" spans="1:36" ht="12.75">
      <c r="A109" s="3285" t="s">
        <v>2784</v>
      </c>
      <c r="B109" s="3286"/>
      <c r="C109" s="2821" t="str">
        <f>C108</f>
        <v>总额（元）</v>
      </c>
      <c r="D109" s="52">
        <f>IF(D36="同一抵押权人同一抵押物续贷",C36&amp;"（未扣减，详见特别提示）",C36)</f>
        <v>0</v>
      </c>
      <c r="E109" s="1461"/>
      <c r="F109" s="3283"/>
      <c r="G109" s="3284"/>
      <c r="H109" s="3317"/>
      <c r="I109" s="3318"/>
      <c r="J109" s="2864"/>
    </row>
    <row r="110" spans="1:36" ht="28.5" customHeight="1">
      <c r="A110" s="3285" t="s">
        <v>2808</v>
      </c>
      <c r="B110" s="3286"/>
      <c r="C110" s="2821" t="str">
        <f>C108</f>
        <v>总额（元）</v>
      </c>
      <c r="D110" s="52">
        <f>C37</f>
        <v>0</v>
      </c>
      <c r="E110" s="1461"/>
      <c r="F110" s="3266" t="str">
        <f>IF(项目基本情况!F5="已注销","——","3.房地产抵押价值")</f>
        <v>3.房地产抵押价值</v>
      </c>
      <c r="G110" s="3267"/>
      <c r="H110" s="2807" t="str">
        <f>C112</f>
        <v>总价（元）</v>
      </c>
      <c r="I110" s="2820">
        <f ca="1">IF(F110="——","——",I102-I105)</f>
        <v>400614</v>
      </c>
      <c r="J110" s="2862"/>
    </row>
    <row r="111" spans="1:36" ht="12.75">
      <c r="A111" s="3285" t="s">
        <v>2787</v>
      </c>
      <c r="B111" s="3286"/>
      <c r="C111" s="2821" t="str">
        <f>C108</f>
        <v>总额（元）</v>
      </c>
      <c r="D111" s="52">
        <f>C38</f>
        <v>0</v>
      </c>
      <c r="E111" s="1461"/>
      <c r="F111" s="3268"/>
      <c r="G111" s="3269"/>
      <c r="H111" s="2819" t="s">
        <v>2782</v>
      </c>
      <c r="I111" s="2823">
        <f ca="1">D113</f>
        <v>3615</v>
      </c>
      <c r="J111" s="2865"/>
    </row>
    <row r="112" spans="1:36" ht="26.25" customHeight="1">
      <c r="A112" s="3283" t="str">
        <f>IF(项目基本情况!F5="已注销","——","3.房地产抵押价值")</f>
        <v>3.房地产抵押价值</v>
      </c>
      <c r="B112" s="3284"/>
      <c r="C112" s="2819" t="str">
        <f>B101</f>
        <v>总价（元）</v>
      </c>
      <c r="D112" s="2820">
        <f ca="1">IF(A112="——","——",D106-D108)</f>
        <v>400614</v>
      </c>
      <c r="E112" s="1461"/>
      <c r="F112" s="3266" t="str">
        <f>IF(项目基本情况!F5="已注销及未注销","4.抵押担保权已注销时的房地产抵押价值",IF(项目基本情况!F5="已注销","3.抵押担保权已注销时的房地产抵押价值","——"))</f>
        <v>——</v>
      </c>
      <c r="G112" s="3267"/>
      <c r="H112" s="2807" t="str">
        <f>C114</f>
        <v>总价（元）</v>
      </c>
      <c r="I112" s="2820" t="str">
        <f>IF(F112="——","——",I102-I107-I108)</f>
        <v>——</v>
      </c>
      <c r="J112" s="2862"/>
    </row>
    <row r="113" spans="1:16" ht="12.75">
      <c r="A113" s="3283"/>
      <c r="B113" s="3284"/>
      <c r="C113" s="2819" t="s">
        <v>2775</v>
      </c>
      <c r="D113" s="52">
        <f ca="1">ROUND(IF(D112=D106,D107,IF(H19="元",D112/项目基本情况!C12,D112*10000/项目基本情况!C12)),0)</f>
        <v>3615</v>
      </c>
      <c r="E113" s="1461"/>
      <c r="F113" s="3268"/>
      <c r="G113" s="3269"/>
      <c r="H113" s="2819" t="s">
        <v>2811</v>
      </c>
      <c r="I113" s="52" t="str">
        <f>D115</f>
        <v>——</v>
      </c>
      <c r="J113" s="2846"/>
    </row>
    <row r="114" spans="1:16" ht="12.75">
      <c r="A114" s="3283" t="str">
        <f>IF(项目基本情况!F5="已注销及未注销","4.抵押担保权已注销时的房地产抵押价值",IF(项目基本情况!F5="已注销","3.抵押担保权已注销时的房地产抵押价值","——"))</f>
        <v>——</v>
      </c>
      <c r="B114" s="3284"/>
      <c r="C114" s="2819" t="str">
        <f>B101</f>
        <v>总价（元）</v>
      </c>
      <c r="D114" s="2820" t="str">
        <f>IF(A114="——","——",D106-D110-D111)</f>
        <v>——</v>
      </c>
      <c r="E114" s="1461"/>
      <c r="F114" s="3266" t="str">
        <f>IF(项目基本情况!G5="抵押净值",IF(OR(项目基本情况!F5="已注销",项目基本情况!F5="房地产抵押价值"),"4.抵押净值","5.抵押净值"),"——")</f>
        <v>——</v>
      </c>
      <c r="G114" s="3267"/>
      <c r="H114" s="2819" t="str">
        <f>C116</f>
        <v>总价（元）</v>
      </c>
      <c r="I114" s="2820" t="str">
        <f>IF(F114="——","——",O59)</f>
        <v>——</v>
      </c>
      <c r="J114" s="2862"/>
    </row>
    <row r="115" spans="1:16" ht="13.5" thickBot="1">
      <c r="A115" s="3283"/>
      <c r="B115" s="3284"/>
      <c r="C115" s="2819" t="s">
        <v>2775</v>
      </c>
      <c r="D115" s="52" t="str">
        <f>IF(A114="——","——",ROUND(IF(D114=D106,D107,IF(H19="元",D114/项目基本情况!C12,D114*10000/项目基本情况!C12)),0))</f>
        <v>——</v>
      </c>
      <c r="E115" s="1461"/>
      <c r="F115" s="3346"/>
      <c r="G115" s="3347"/>
      <c r="H115" s="2824" t="s">
        <v>2775</v>
      </c>
      <c r="I115" s="2808" t="str">
        <f ca="1">D117</f>
        <v>——</v>
      </c>
      <c r="J115" s="2846"/>
    </row>
    <row r="116" spans="1:16" ht="15.75">
      <c r="A116" s="3283" t="str">
        <f>IF(项目基本情况!G5="抵押净值",IF(OR(项目基本情况!F5="已注销",项目基本情况!F5="房地产抵押价值"),"4.抵押净值","5.抵押净值"),"——")</f>
        <v>——</v>
      </c>
      <c r="B116" s="3284"/>
      <c r="C116" s="2819" t="str">
        <f>B101</f>
        <v>总价（元）</v>
      </c>
      <c r="D116" s="2820" t="str">
        <f>IF(A116="——","——",O59)</f>
        <v>——</v>
      </c>
      <c r="E116" s="1461"/>
      <c r="F116" s="3261"/>
      <c r="G116" s="3261"/>
      <c r="H116" s="3302"/>
      <c r="I116" s="3302"/>
      <c r="J116" s="2866"/>
      <c r="O116" s="32"/>
      <c r="P116" s="32"/>
    </row>
    <row r="117" spans="1:16" ht="13.5" thickBot="1">
      <c r="A117" s="3352"/>
      <c r="B117" s="3353"/>
      <c r="C117" s="2824" t="s">
        <v>2775</v>
      </c>
      <c r="D117" s="2808" t="str">
        <f ca="1">IF(D116=D112,D113,IF(A116="——","——",O61))</f>
        <v>——</v>
      </c>
      <c r="E117" s="1461"/>
      <c r="F117" s="3345" t="str">
        <f>IF(B32="总价","（以上估价结果中单价为总价除以建筑面积得出）","（以上估价结果中总价为楼面单价乘以建筑面积得出）")</f>
        <v>（以上估价结果中总价为楼面单价乘以建筑面积得出）</v>
      </c>
      <c r="G117" s="3345"/>
      <c r="H117" s="3345"/>
      <c r="I117" s="3345"/>
      <c r="J117" s="2867"/>
      <c r="O117" s="32"/>
      <c r="P117" s="32"/>
    </row>
    <row r="118" spans="1:16" ht="15">
      <c r="A118" s="3303" t="s">
        <v>1873</v>
      </c>
      <c r="B118" s="3304"/>
      <c r="C118" s="3304"/>
      <c r="D118" s="3304"/>
      <c r="E118" s="3304"/>
      <c r="F118" s="3304"/>
      <c r="G118" s="3304"/>
      <c r="H118" s="3304"/>
      <c r="I118" s="3304"/>
      <c r="J118" s="2868"/>
    </row>
    <row r="119" spans="1:16" ht="12.75">
      <c r="A119" s="3276" t="s">
        <v>2793</v>
      </c>
      <c r="B119" s="3274" t="s">
        <v>2803</v>
      </c>
      <c r="C119" s="3274" t="s">
        <v>2804</v>
      </c>
      <c r="D119" s="3281" t="s">
        <v>2795</v>
      </c>
      <c r="E119" s="3282"/>
      <c r="F119" s="3272" t="s">
        <v>2805</v>
      </c>
      <c r="G119" s="3272"/>
      <c r="H119" s="3272" t="s">
        <v>2796</v>
      </c>
      <c r="I119" s="3273"/>
      <c r="J119" s="2846"/>
    </row>
    <row r="120" spans="1:16" ht="12.75">
      <c r="A120" s="3276"/>
      <c r="B120" s="3275"/>
      <c r="C120" s="3275"/>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110.82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400614</v>
      </c>
      <c r="I121" s="52">
        <f ca="1">ROUND(IF(B32="楼面单价",C32,IF(H19="元",H121/B121,H121*10000/B121)),0)</f>
        <v>3615</v>
      </c>
      <c r="J121" s="2846"/>
    </row>
    <row r="122" spans="1:16" ht="12.75">
      <c r="A122" s="3276" t="s">
        <v>2799</v>
      </c>
      <c r="B122" s="3272"/>
      <c r="C122" s="3272"/>
      <c r="D122" s="3307" t="e">
        <f ca="1">IF(H19="元",NUMBERSTRING(INT(D121),2)&amp;"元整",NUMBERSTRING(INT(D121*10000),2)&amp;"元整")</f>
        <v>#DIV/0!</v>
      </c>
      <c r="E122" s="3308"/>
      <c r="F122" s="3307" t="e">
        <f ca="1">IF(H19="元",NUMBERSTRING(INT(F121),2)&amp;"元整",NUMBERSTRING(INT(F121*10000),2)&amp;"元整")</f>
        <v>#DIV/0!</v>
      </c>
      <c r="G122" s="3308"/>
      <c r="H122" s="3307" t="str">
        <f ca="1">IF(H19="元",NUMBERSTRING(INT(H121),2)&amp;"元整",NUMBERSTRING(INT(H121*10000),2)&amp;"元整")</f>
        <v>肆拾万零陆佰壹拾肆元整</v>
      </c>
      <c r="I122" s="3356"/>
      <c r="J122" s="2869"/>
    </row>
    <row r="123" spans="1:16" ht="12.75">
      <c r="A123" s="3296" t="str">
        <f>IF(项目基本情况!D5="房地产市场价值","——",MID(A108,3,LEN(A108)-2))</f>
        <v>——</v>
      </c>
      <c r="B123" s="3309"/>
      <c r="C123" s="3298"/>
      <c r="D123" s="3300">
        <f>I105</f>
        <v>0</v>
      </c>
      <c r="E123" s="3309"/>
      <c r="F123" s="3309"/>
      <c r="G123" s="3309"/>
      <c r="H123" s="3309"/>
      <c r="I123" s="3297"/>
      <c r="J123" s="2862"/>
    </row>
    <row r="124" spans="1:16" ht="12.75">
      <c r="A124" s="3310" t="s">
        <v>2799</v>
      </c>
      <c r="B124" s="3311"/>
      <c r="C124" s="3312"/>
      <c r="D124" s="3348">
        <f>H109</f>
        <v>0</v>
      </c>
      <c r="E124" s="3349"/>
      <c r="F124" s="3349"/>
      <c r="G124" s="3349"/>
      <c r="H124" s="3349"/>
      <c r="I124" s="3350"/>
      <c r="J124" s="2870"/>
    </row>
    <row r="125" spans="1:16" ht="12.75">
      <c r="A125" s="3283" t="str">
        <f>IF(项目基本情况!D5="房地产市场价值","——",MID(A112,3,LEN(A112)-2))</f>
        <v>——</v>
      </c>
      <c r="B125" s="3284"/>
      <c r="C125" s="3284"/>
      <c r="D125" s="3300">
        <f ca="1">I110</f>
        <v>400614</v>
      </c>
      <c r="E125" s="3309"/>
      <c r="F125" s="3309"/>
      <c r="G125" s="3309"/>
      <c r="H125" s="3309"/>
      <c r="I125" s="3297"/>
      <c r="J125" s="2862"/>
    </row>
    <row r="126" spans="1:16" ht="12.75">
      <c r="A126" s="3276" t="s">
        <v>2799</v>
      </c>
      <c r="B126" s="3272"/>
      <c r="C126" s="3272"/>
      <c r="D126" s="3348">
        <f ca="1">I111</f>
        <v>3615</v>
      </c>
      <c r="E126" s="3349"/>
      <c r="F126" s="3349"/>
      <c r="G126" s="3349"/>
      <c r="H126" s="3349"/>
      <c r="I126" s="3350"/>
      <c r="J126" s="2870"/>
    </row>
    <row r="127" spans="1:16" ht="13.5" thickBot="1">
      <c r="A127" s="3283" t="str">
        <f>IF(项目基本情况!D5="房地产市场价值","——",MID(A114,3,LEN(A114)-2))</f>
        <v>——</v>
      </c>
      <c r="B127" s="3284"/>
      <c r="C127" s="3284"/>
      <c r="D127" s="3256" t="str">
        <f>I112</f>
        <v>——</v>
      </c>
      <c r="E127" s="3257"/>
      <c r="F127" s="3257"/>
      <c r="G127" s="3257"/>
      <c r="H127" s="3257"/>
      <c r="I127" s="3258"/>
      <c r="J127" s="2862"/>
    </row>
    <row r="128" spans="1:16" ht="14.25" thickTop="1" thickBot="1">
      <c r="A128" s="3276" t="s">
        <v>2799</v>
      </c>
      <c r="B128" s="3272"/>
      <c r="C128" s="3323"/>
      <c r="D128" s="3301" t="str">
        <f>I113</f>
        <v>——</v>
      </c>
      <c r="E128" s="3301"/>
      <c r="F128" s="3301"/>
      <c r="G128" s="3301"/>
      <c r="H128" s="3301"/>
      <c r="I128" s="3301"/>
      <c r="J128" s="2870"/>
    </row>
    <row r="129" spans="1:10" ht="14.25" thickTop="1" thickBot="1">
      <c r="A129" s="3283" t="str">
        <f>IF(项目基本情况!D5="房地产市场价值","——",MID(F114,3,LEN(F114)-2))</f>
        <v>——</v>
      </c>
      <c r="B129" s="3284"/>
      <c r="C129" s="3300"/>
      <c r="D129" s="3351" t="str">
        <f>I114</f>
        <v>——</v>
      </c>
      <c r="E129" s="3351"/>
      <c r="F129" s="3351"/>
      <c r="G129" s="3351"/>
      <c r="H129" s="3351"/>
      <c r="I129" s="3351"/>
      <c r="J129" s="2862"/>
    </row>
    <row r="130" spans="1:10" ht="14.25" thickTop="1" thickBot="1">
      <c r="A130" s="3339" t="s">
        <v>2799</v>
      </c>
      <c r="B130" s="3340"/>
      <c r="C130" s="3340"/>
      <c r="D130" s="3357">
        <f>H116</f>
        <v>0</v>
      </c>
      <c r="E130" s="3358"/>
      <c r="F130" s="3358"/>
      <c r="G130" s="3358"/>
      <c r="H130" s="3358"/>
      <c r="I130" s="3359"/>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44" t="str">
        <f>IF(B32="总价","（以上估价结果中楼面单价为总价除以建筑面积得出）","（以上估价结果中总价为楼面单价乘以建筑面积得出）")</f>
        <v>（以上估价结果中总价为楼面单价乘以建筑面积得出）</v>
      </c>
      <c r="B132" s="3344"/>
      <c r="C132" s="3344"/>
      <c r="D132" s="3344"/>
      <c r="E132" s="3344"/>
      <c r="F132" s="3344"/>
      <c r="G132" s="3344"/>
      <c r="H132" s="3344"/>
      <c r="I132" s="3344"/>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66" t="s">
        <v>1882</v>
      </c>
      <c r="B2" s="3366"/>
      <c r="C2" s="3366"/>
      <c r="D2" s="3366"/>
      <c r="E2" s="3366"/>
      <c r="F2" s="3366"/>
      <c r="G2" s="3366"/>
      <c r="H2" s="3366"/>
      <c r="I2" s="3366"/>
      <c r="J2" s="2875"/>
    </row>
    <row r="3" spans="1:15" ht="12.75">
      <c r="A3" s="3326" t="s">
        <v>1710</v>
      </c>
      <c r="B3" s="3327"/>
      <c r="C3" s="3327"/>
      <c r="D3" s="3327"/>
      <c r="E3" s="3327"/>
      <c r="F3" s="3327"/>
      <c r="G3" s="3327"/>
      <c r="H3" s="3327"/>
      <c r="I3" s="3327"/>
      <c r="J3" s="2845"/>
    </row>
    <row r="4" spans="1:15" ht="14.25">
      <c r="A4" s="2713" t="s">
        <v>1711</v>
      </c>
      <c r="B4" s="2713" t="s">
        <v>1712</v>
      </c>
      <c r="C4" s="2714"/>
      <c r="D4" s="2714"/>
      <c r="E4" s="3323" t="s">
        <v>1883</v>
      </c>
      <c r="F4" s="3311"/>
      <c r="G4" s="3311"/>
      <c r="H4" s="3311"/>
      <c r="I4" s="3312"/>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2" t="s">
        <v>1714</v>
      </c>
      <c r="B5" s="3322">
        <v>25</v>
      </c>
      <c r="C5" s="3328"/>
      <c r="D5" s="3325"/>
      <c r="E5" s="12" t="s">
        <v>1715</v>
      </c>
      <c r="F5" s="2089"/>
      <c r="G5" s="2089"/>
      <c r="H5" s="2089"/>
      <c r="I5" s="2084"/>
      <c r="J5" s="2846"/>
    </row>
    <row r="6" spans="1:15" ht="12.75">
      <c r="A6" s="3322"/>
      <c r="B6" s="3322"/>
      <c r="C6" s="3329"/>
      <c r="D6" s="3325"/>
      <c r="E6" s="12" t="s">
        <v>1716</v>
      </c>
      <c r="F6" s="2089"/>
      <c r="G6" s="2089"/>
      <c r="H6" s="2089"/>
      <c r="I6" s="2084"/>
      <c r="J6" s="2846"/>
    </row>
    <row r="7" spans="1:15" ht="12.75">
      <c r="A7" s="3322"/>
      <c r="B7" s="3322"/>
      <c r="C7" s="3330"/>
      <c r="D7" s="3325"/>
      <c r="E7" s="12" t="s">
        <v>1717</v>
      </c>
      <c r="F7" s="2089"/>
      <c r="G7" s="2089"/>
      <c r="H7" s="2089"/>
      <c r="I7" s="2084"/>
      <c r="J7" s="2846"/>
    </row>
    <row r="8" spans="1:15" ht="12.75">
      <c r="A8" s="3322" t="s">
        <v>1718</v>
      </c>
      <c r="B8" s="3322">
        <v>15</v>
      </c>
      <c r="C8" s="3328"/>
      <c r="D8" s="3325"/>
      <c r="E8" s="12" t="s">
        <v>1719</v>
      </c>
      <c r="F8" s="2089"/>
      <c r="G8" s="2089"/>
      <c r="H8" s="2089"/>
      <c r="I8" s="2084"/>
      <c r="J8" s="2846"/>
    </row>
    <row r="9" spans="1:15" ht="12.75">
      <c r="A9" s="3322"/>
      <c r="B9" s="3322"/>
      <c r="C9" s="3330"/>
      <c r="D9" s="3325"/>
      <c r="E9" s="12" t="s">
        <v>1720</v>
      </c>
      <c r="F9" s="2089"/>
      <c r="G9" s="2089"/>
      <c r="H9" s="2089"/>
      <c r="I9" s="2084"/>
      <c r="J9" s="2846"/>
    </row>
    <row r="10" spans="1:15" ht="12.75">
      <c r="A10" s="3322" t="s">
        <v>1721</v>
      </c>
      <c r="B10" s="3322">
        <v>15</v>
      </c>
      <c r="C10" s="3328"/>
      <c r="D10" s="3325"/>
      <c r="E10" s="12" t="s">
        <v>1722</v>
      </c>
      <c r="F10" s="2089"/>
      <c r="G10" s="2089"/>
      <c r="H10" s="2089"/>
      <c r="I10" s="2084"/>
      <c r="J10" s="2846"/>
    </row>
    <row r="11" spans="1:15" ht="12.75">
      <c r="A11" s="3322"/>
      <c r="B11" s="3322"/>
      <c r="C11" s="3330"/>
      <c r="D11" s="3325"/>
      <c r="E11" s="12" t="s">
        <v>1723</v>
      </c>
      <c r="F11" s="2089"/>
      <c r="G11" s="2089"/>
      <c r="H11" s="2089"/>
      <c r="I11" s="2084"/>
      <c r="J11" s="2846"/>
    </row>
    <row r="12" spans="1:15" ht="12.75">
      <c r="A12" s="3322" t="s">
        <v>1724</v>
      </c>
      <c r="B12" s="3322">
        <v>15</v>
      </c>
      <c r="C12" s="3328"/>
      <c r="D12" s="3325"/>
      <c r="E12" s="12" t="s">
        <v>1725</v>
      </c>
      <c r="F12" s="2089"/>
      <c r="G12" s="2089"/>
      <c r="H12" s="2089"/>
      <c r="I12" s="2084"/>
      <c r="J12" s="2846"/>
    </row>
    <row r="13" spans="1:15" ht="12.75">
      <c r="A13" s="3322"/>
      <c r="B13" s="3322"/>
      <c r="C13" s="3330"/>
      <c r="D13" s="3325"/>
      <c r="E13" s="12" t="s">
        <v>1726</v>
      </c>
      <c r="F13" s="2089"/>
      <c r="G13" s="2089"/>
      <c r="H13" s="2089"/>
      <c r="I13" s="2084"/>
      <c r="J13" s="2846"/>
    </row>
    <row r="14" spans="1:15" ht="12.75">
      <c r="A14" s="3322" t="s">
        <v>1727</v>
      </c>
      <c r="B14" s="3322">
        <v>30</v>
      </c>
      <c r="C14" s="3328"/>
      <c r="D14" s="3325"/>
      <c r="E14" s="12" t="s">
        <v>1728</v>
      </c>
      <c r="F14" s="2089"/>
      <c r="G14" s="2089"/>
      <c r="H14" s="2089"/>
      <c r="I14" s="2084"/>
      <c r="J14" s="2846"/>
    </row>
    <row r="15" spans="1:15" ht="12.75">
      <c r="A15" s="3322"/>
      <c r="B15" s="3322"/>
      <c r="C15" s="3329"/>
      <c r="D15" s="3325"/>
      <c r="E15" s="12" t="s">
        <v>1729</v>
      </c>
      <c r="F15" s="2089"/>
      <c r="G15" s="2089"/>
      <c r="H15" s="2089"/>
      <c r="I15" s="2084"/>
      <c r="J15" s="2846"/>
    </row>
    <row r="16" spans="1:15" ht="12.75">
      <c r="A16" s="3322"/>
      <c r="B16" s="3322"/>
      <c r="C16" s="3330"/>
      <c r="D16" s="3325"/>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42" t="s">
        <v>2818</v>
      </c>
      <c r="F18" s="3343"/>
      <c r="G18" s="3343"/>
      <c r="H18" s="3343"/>
      <c r="I18" s="3343"/>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1" t="s">
        <v>1739</v>
      </c>
      <c r="B24" s="2721" t="s">
        <v>1734</v>
      </c>
      <c r="C24" s="2724">
        <f>D30</f>
        <v>0</v>
      </c>
      <c r="D24" s="2676"/>
      <c r="E24" s="947"/>
      <c r="F24" s="947"/>
      <c r="G24" s="947"/>
      <c r="H24" s="947"/>
      <c r="I24" s="947"/>
      <c r="J24" s="2847"/>
    </row>
    <row r="25" spans="1:36" ht="21.75" customHeight="1">
      <c r="A25" s="3332"/>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88" t="s">
        <v>1886</v>
      </c>
      <c r="B32" s="3388"/>
      <c r="C32" s="3388"/>
      <c r="D32" s="3388"/>
      <c r="E32" s="3388"/>
      <c r="F32" s="3388"/>
      <c r="G32" s="3388"/>
      <c r="H32" s="3388"/>
      <c r="I32" s="3388"/>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31" t="s">
        <v>1895</v>
      </c>
      <c r="B38" s="1468" t="s">
        <v>1896</v>
      </c>
      <c r="C38" s="2757"/>
      <c r="D38" s="2758"/>
      <c r="E38" s="1680"/>
      <c r="F38" s="1680"/>
      <c r="G38" s="947"/>
      <c r="H38" s="947"/>
      <c r="I38" s="947"/>
      <c r="J38" s="2847"/>
    </row>
    <row r="39" spans="1:16" ht="15.75" thickBot="1">
      <c r="A39" s="3336"/>
      <c r="B39" s="2094" t="s">
        <v>1897</v>
      </c>
      <c r="C39" s="2759"/>
      <c r="D39" s="1311"/>
      <c r="E39" s="1311"/>
      <c r="F39" s="1680"/>
      <c r="G39" s="1311"/>
      <c r="H39" s="1311"/>
      <c r="I39" s="1311"/>
      <c r="J39" s="2851"/>
    </row>
    <row r="40" spans="1:16" ht="15.75" thickBot="1">
      <c r="A40" s="3337"/>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2817</v>
      </c>
      <c r="J46" s="2877"/>
      <c r="K46" s="1475" t="s">
        <v>1762</v>
      </c>
      <c r="L46" s="1476"/>
      <c r="M46" s="1476"/>
      <c r="N46" s="1476"/>
      <c r="O46" s="1476"/>
      <c r="P46" s="1476"/>
    </row>
    <row r="47" spans="1:16" ht="14.25" customHeight="1" thickBot="1">
      <c r="A47" s="3256" t="s">
        <v>1908</v>
      </c>
      <c r="B47" s="3257"/>
      <c r="C47" s="3267"/>
      <c r="D47" s="246">
        <f>ROUND(I104*F47,0)</f>
        <v>0</v>
      </c>
      <c r="E47" s="1542" t="s">
        <v>1909</v>
      </c>
      <c r="F47" s="2561">
        <v>1</v>
      </c>
      <c r="G47" s="2562" t="s">
        <v>1910</v>
      </c>
      <c r="H47" s="947"/>
      <c r="I47" s="947"/>
      <c r="J47" s="2847"/>
      <c r="K47" s="3361" t="s">
        <v>1766</v>
      </c>
      <c r="L47" s="3361"/>
      <c r="M47" s="3361"/>
      <c r="N47" s="3361"/>
      <c r="O47" s="3361"/>
      <c r="P47" s="3361"/>
    </row>
    <row r="48" spans="1:16" ht="14.25" customHeight="1">
      <c r="A48" s="3333" t="s">
        <v>1767</v>
      </c>
      <c r="B48" s="3334"/>
      <c r="C48" s="3334"/>
      <c r="D48" s="3334"/>
      <c r="E48" s="3334"/>
      <c r="F48" s="3334"/>
      <c r="G48" s="3335"/>
      <c r="H48" s="2979"/>
      <c r="I48" s="947"/>
      <c r="J48" s="2847"/>
      <c r="K48" s="2513">
        <v>1</v>
      </c>
      <c r="L48" s="3362" t="s">
        <v>1768</v>
      </c>
      <c r="M48" s="3362"/>
      <c r="N48" s="3363"/>
      <c r="O48" s="3363"/>
      <c r="P48" s="3363"/>
    </row>
    <row r="49" spans="1:17" ht="12" customHeight="1">
      <c r="A49" s="38" t="s">
        <v>1769</v>
      </c>
      <c r="B49" s="39"/>
      <c r="C49" s="40"/>
      <c r="D49" s="1099" t="s">
        <v>1770</v>
      </c>
      <c r="E49" s="235" t="s">
        <v>1771</v>
      </c>
      <c r="F49" s="41" t="s">
        <v>1772</v>
      </c>
      <c r="G49" s="2564" t="s">
        <v>1773</v>
      </c>
      <c r="H49" s="2979"/>
      <c r="I49" s="947"/>
      <c r="J49" s="2847"/>
      <c r="K49" s="2513">
        <v>2</v>
      </c>
      <c r="L49" s="3362" t="s">
        <v>1774</v>
      </c>
      <c r="M49" s="3362"/>
      <c r="N49" s="3365">
        <f>'数据-取费表'!B2</f>
        <v>38705</v>
      </c>
      <c r="O49" s="3365"/>
      <c r="P49" s="3365"/>
    </row>
    <row r="50" spans="1:17" ht="25.5">
      <c r="A50" s="3338" t="s">
        <v>1775</v>
      </c>
      <c r="B50" s="3272"/>
      <c r="C50" s="3272"/>
      <c r="D50" s="12">
        <f>IF(H50="情况1",0,IF(H50="情况2",D54,IF(H50="情况3",D55,IF(H50="情况4",D56))))</f>
        <v>0</v>
      </c>
      <c r="E50" s="2092" t="str">
        <f>IF(H50="情况4","(销售额-原购置价)×税（费）率","销售额×税（费）率")</f>
        <v>销售额×税（费）率</v>
      </c>
      <c r="F50" s="2565">
        <f>IF(H50="情况1","免征",'数据-取费表'!E29)</f>
        <v>5.5000000000000007E-2</v>
      </c>
      <c r="G50" s="2566" t="s">
        <v>1776</v>
      </c>
      <c r="H50" s="2567" t="s">
        <v>1777</v>
      </c>
      <c r="I50" s="2979"/>
      <c r="J50" s="2854"/>
      <c r="K50" s="2513">
        <v>3</v>
      </c>
      <c r="L50" s="3362" t="s">
        <v>1778</v>
      </c>
      <c r="M50" s="3362"/>
      <c r="N50" s="3367">
        <f>I104</f>
        <v>0</v>
      </c>
      <c r="O50" s="3367"/>
      <c r="P50" s="3367"/>
    </row>
    <row r="51" spans="1:17" ht="25.5" customHeight="1">
      <c r="A51" s="2091" t="s">
        <v>1779</v>
      </c>
      <c r="B51" s="3311" t="s">
        <v>1780</v>
      </c>
      <c r="C51" s="3311"/>
      <c r="D51" s="2568">
        <v>0</v>
      </c>
      <c r="E51" s="261" t="s">
        <v>1781</v>
      </c>
      <c r="F51" s="2569" t="s">
        <v>48</v>
      </c>
      <c r="G51" s="3253"/>
      <c r="H51" s="2570" t="s">
        <v>2742</v>
      </c>
      <c r="I51" s="2571"/>
      <c r="J51" s="2855"/>
      <c r="K51" s="2513">
        <v>4</v>
      </c>
      <c r="L51" s="3362" t="str">
        <f>IF(项目基本情况!F5="房地产抵押价值","房地产抵押价值","抵押担保权已注销时的房地产抵押价值")</f>
        <v>抵押担保权已注销时的房地产抵押价值</v>
      </c>
      <c r="M51" s="3362"/>
      <c r="N51" s="3367" t="str">
        <f>IF(项目基本情况!F5="房地产抵押价值",I112,I114)</f>
        <v>——</v>
      </c>
      <c r="O51" s="3367"/>
      <c r="P51" s="3367"/>
    </row>
    <row r="52" spans="1:17" ht="25.5" customHeight="1">
      <c r="A52" s="2081"/>
      <c r="B52" s="3311" t="s">
        <v>1782</v>
      </c>
      <c r="C52" s="3311"/>
      <c r="D52" s="2572"/>
      <c r="E52" s="269"/>
      <c r="F52" s="2569"/>
      <c r="G52" s="3254"/>
      <c r="H52" s="2573" t="s">
        <v>2743</v>
      </c>
      <c r="I52" s="2571"/>
      <c r="J52" s="2855"/>
      <c r="K52" s="3362" t="s">
        <v>1783</v>
      </c>
      <c r="L52" s="3362"/>
      <c r="M52" s="3362"/>
      <c r="N52" s="3362"/>
      <c r="O52" s="3362"/>
      <c r="P52" s="3362"/>
    </row>
    <row r="53" spans="1:17" ht="20.45" customHeight="1">
      <c r="A53" s="2574"/>
      <c r="B53" s="3311" t="s">
        <v>1784</v>
      </c>
      <c r="C53" s="3311"/>
      <c r="D53" s="1099"/>
      <c r="E53" s="264"/>
      <c r="F53" s="2569"/>
      <c r="G53" s="3255"/>
      <c r="H53" s="2573" t="s">
        <v>2744</v>
      </c>
      <c r="I53" s="2571"/>
      <c r="J53" s="2855"/>
      <c r="K53" s="2514" t="s">
        <v>1785</v>
      </c>
      <c r="L53" s="3362" t="s">
        <v>1786</v>
      </c>
      <c r="M53" s="3362"/>
      <c r="N53" s="2514" t="s">
        <v>1787</v>
      </c>
      <c r="O53" s="2514" t="s">
        <v>1788</v>
      </c>
      <c r="P53" s="2514" t="s">
        <v>1789</v>
      </c>
    </row>
    <row r="54" spans="1:17" ht="24" customHeight="1">
      <c r="A54" s="2082" t="s">
        <v>1790</v>
      </c>
      <c r="B54" s="3311" t="s">
        <v>1791</v>
      </c>
      <c r="C54" s="3311"/>
      <c r="D54" s="1099">
        <f>ROUND(D47*'数据-取费表'!E29/(1+'数据-取费表'!F30),0)</f>
        <v>0</v>
      </c>
      <c r="E54" s="2092" t="s">
        <v>1792</v>
      </c>
      <c r="F54" s="2575">
        <f>'数据-取费表'!E29</f>
        <v>5.5000000000000007E-2</v>
      </c>
      <c r="G54" s="2576"/>
      <c r="H54" s="947"/>
      <c r="I54" s="2980"/>
      <c r="J54" s="2855"/>
      <c r="K54" s="2513">
        <v>1</v>
      </c>
      <c r="L54" s="3364" t="s">
        <v>1793</v>
      </c>
      <c r="M54" s="3364"/>
      <c r="N54" s="2515">
        <f>D50</f>
        <v>0</v>
      </c>
      <c r="O54" s="2513" t="str">
        <f>E50</f>
        <v>销售额×税（费）率</v>
      </c>
      <c r="P54" s="2516">
        <f>F50</f>
        <v>5.5000000000000007E-2</v>
      </c>
    </row>
    <row r="55" spans="1:17" ht="12" customHeight="1">
      <c r="A55" s="2082" t="s">
        <v>1794</v>
      </c>
      <c r="B55" s="3323" t="s">
        <v>2836</v>
      </c>
      <c r="C55" s="3312"/>
      <c r="D55" s="1099">
        <f>ROUND(D47*'数据-取费表'!E29/(1+'数据-取费表'!F30),0)</f>
        <v>0</v>
      </c>
      <c r="E55" s="2092" t="s">
        <v>1792</v>
      </c>
      <c r="F55" s="2575">
        <f>'数据-取费表'!E29</f>
        <v>5.5000000000000007E-2</v>
      </c>
      <c r="G55" s="2576"/>
      <c r="H55" s="947"/>
      <c r="I55" s="2980"/>
      <c r="J55" s="2855"/>
      <c r="K55" s="2513">
        <v>2</v>
      </c>
      <c r="L55" s="3364" t="s">
        <v>1795</v>
      </c>
      <c r="M55" s="3364"/>
      <c r="N55" s="2515">
        <f t="shared" ref="N55:P56" si="1">D57</f>
        <v>0</v>
      </c>
      <c r="O55" s="2513" t="str">
        <f t="shared" si="1"/>
        <v>销售额×税（费）率</v>
      </c>
      <c r="P55" s="2516">
        <f t="shared" si="1"/>
        <v>5.0000000000000001E-4</v>
      </c>
    </row>
    <row r="56" spans="1:17" ht="12" customHeight="1">
      <c r="A56" s="2082" t="s">
        <v>1796</v>
      </c>
      <c r="B56" s="3323" t="s">
        <v>2837</v>
      </c>
      <c r="C56" s="3312"/>
      <c r="D56" s="1099">
        <f>C70</f>
        <v>0</v>
      </c>
      <c r="E56" s="264" t="s">
        <v>1797</v>
      </c>
      <c r="F56" s="2575">
        <f>'数据-取费表'!E29</f>
        <v>5.5000000000000007E-2</v>
      </c>
      <c r="G56" s="2576"/>
      <c r="H56" s="2981"/>
      <c r="I56" s="2980"/>
      <c r="J56" s="2855"/>
      <c r="K56" s="2513">
        <v>3</v>
      </c>
      <c r="L56" s="3364" t="s">
        <v>1798</v>
      </c>
      <c r="M56" s="3364"/>
      <c r="N56" s="2515">
        <f t="shared" si="1"/>
        <v>0</v>
      </c>
      <c r="O56" s="2513" t="str">
        <f t="shared" si="1"/>
        <v>增值额×税（费）率</v>
      </c>
      <c r="P56" s="2517" t="str">
        <f t="shared" si="1"/>
        <v>——</v>
      </c>
    </row>
    <row r="57" spans="1:17" ht="24" customHeight="1">
      <c r="A57" s="3276" t="s">
        <v>1799</v>
      </c>
      <c r="B57" s="3272"/>
      <c r="C57" s="3272"/>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64" t="str">
        <f>IF(H61="非个人房产","——","个人所得税")</f>
        <v>个人所得税</v>
      </c>
      <c r="M57" s="3364"/>
      <c r="N57" s="2518">
        <f>D61</f>
        <v>0</v>
      </c>
      <c r="O57" s="2519" t="str">
        <f>E61</f>
        <v>销售额×税（费）率</v>
      </c>
      <c r="P57" s="2520">
        <f>F61</f>
        <v>0.01</v>
      </c>
    </row>
    <row r="58" spans="1:17" ht="24.75">
      <c r="A58" s="3276" t="s">
        <v>1802</v>
      </c>
      <c r="B58" s="3272"/>
      <c r="C58" s="3272"/>
      <c r="D58" s="12">
        <f>IF(H58="个人住宅",D59,D60)</f>
        <v>0</v>
      </c>
      <c r="E58" s="2092" t="s">
        <v>1803</v>
      </c>
      <c r="F58" s="2575" t="str">
        <f>IF(H58="正常",F60,"免征")</f>
        <v>——</v>
      </c>
      <c r="G58" s="2577" t="s">
        <v>1804</v>
      </c>
      <c r="H58" s="2578" t="s">
        <v>1801</v>
      </c>
      <c r="I58" s="2982"/>
      <c r="J58" s="2855"/>
      <c r="K58" s="2513" t="str">
        <f>IF(项目基本情况!I6="上海银行",IF(K57="",4,K57+1),"")</f>
        <v/>
      </c>
      <c r="L58" s="3368" t="str">
        <f>IF(项目基本情况!I6="上海银行","其他处置费用","")</f>
        <v/>
      </c>
      <c r="M58" s="3373"/>
      <c r="N58" s="2515" t="str">
        <f>IF(项目基本情况!I6="上海银行",N71,"")</f>
        <v/>
      </c>
      <c r="O58" s="3368" t="str">
        <f>IF(项目基本情况!I6="上海银行","包含处置中涉及的律师、诉讼、拍卖、评估等费用","")</f>
        <v/>
      </c>
      <c r="P58" s="3369"/>
    </row>
    <row r="59" spans="1:17" ht="12.75">
      <c r="A59" s="2082" t="s">
        <v>1779</v>
      </c>
      <c r="B59" s="3323" t="s">
        <v>1805</v>
      </c>
      <c r="C59" s="3312"/>
      <c r="D59" s="2568">
        <v>0</v>
      </c>
      <c r="E59" s="261" t="s">
        <v>1781</v>
      </c>
      <c r="F59" s="235"/>
      <c r="G59" s="2576"/>
      <c r="H59" s="2982"/>
      <c r="I59" s="2982"/>
      <c r="J59" s="2855"/>
      <c r="K59" s="3364">
        <f>IF(AND(K57="",K58=""),4,IF(项目基本情况!I6="上海银行",K58+1,K57+1))</f>
        <v>5</v>
      </c>
      <c r="L59" s="3364" t="s">
        <v>1806</v>
      </c>
      <c r="M59" s="2521" t="s">
        <v>1807</v>
      </c>
      <c r="N59" s="2522"/>
      <c r="O59" s="2523">
        <f>SUMIF(N54:N58,"&lt;9e307")</f>
        <v>0</v>
      </c>
      <c r="P59" s="2524"/>
      <c r="Q59" s="1306" t="e">
        <f>O59/N51</f>
        <v>#VALUE!</v>
      </c>
    </row>
    <row r="60" spans="1:17" ht="24.75">
      <c r="A60" s="2082" t="s">
        <v>1790</v>
      </c>
      <c r="B60" s="3323" t="s">
        <v>1808</v>
      </c>
      <c r="C60" s="3311"/>
      <c r="D60" s="12">
        <f>IF(H60="转让取得",C83,C99)</f>
        <v>0</v>
      </c>
      <c r="E60" s="2092" t="s">
        <v>1803</v>
      </c>
      <c r="F60" s="235" t="s">
        <v>48</v>
      </c>
      <c r="G60" s="2576"/>
      <c r="H60" s="2578" t="s">
        <v>1809</v>
      </c>
      <c r="I60" s="2982"/>
      <c r="J60" s="2855"/>
      <c r="K60" s="3364"/>
      <c r="L60" s="3364"/>
      <c r="M60" s="2521" t="s">
        <v>1810</v>
      </c>
      <c r="N60" s="2525"/>
      <c r="O60" s="2526" t="str">
        <f>IF(H19="元",NUMBERSTRING(INT(O59),2)&amp;"元整",NUMBERSTRING(INT(O59*10000),2)&amp;"元整")</f>
        <v>零元整</v>
      </c>
      <c r="P60" s="2527"/>
    </row>
    <row r="61" spans="1:17" ht="26.25" thickBot="1">
      <c r="A61" s="3339" t="s">
        <v>1811</v>
      </c>
      <c r="B61" s="3340"/>
      <c r="C61" s="334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70">
        <f>K59+1</f>
        <v>6</v>
      </c>
      <c r="L61" s="3364" t="s">
        <v>1812</v>
      </c>
      <c r="M61" s="2513" t="s">
        <v>1807</v>
      </c>
      <c r="N61" s="2528"/>
      <c r="O61" s="2529" t="e">
        <f>N51-O59</f>
        <v>#VALUE!</v>
      </c>
      <c r="P61" s="2530"/>
    </row>
    <row r="62" spans="1:17" ht="12" customHeight="1">
      <c r="A62" s="1457"/>
      <c r="B62" s="2563"/>
      <c r="C62" s="2563"/>
      <c r="D62" s="2563"/>
      <c r="E62" s="1457"/>
      <c r="F62" s="2982"/>
      <c r="G62" s="2982"/>
      <c r="H62" s="2977"/>
      <c r="I62" s="947"/>
      <c r="J62" s="2855"/>
      <c r="K62" s="3371"/>
      <c r="L62" s="3364"/>
      <c r="M62" s="2521" t="s">
        <v>1810</v>
      </c>
      <c r="N62" s="2525"/>
      <c r="O62" s="2526" t="e">
        <f>IF(H19="元",NUMBERSTRING(INT(O61),2)&amp;"元整",NUMBERSTRING(INT(O61*10000),2)&amp;"元整")</f>
        <v>#VALUE!</v>
      </c>
      <c r="P62" s="2527"/>
    </row>
    <row r="63" spans="1:17" ht="13.5" thickBot="1">
      <c r="A63" s="3372" t="s">
        <v>1813</v>
      </c>
      <c r="B63" s="3372"/>
      <c r="C63" s="3372"/>
      <c r="D63" s="3372"/>
      <c r="E63" s="3372"/>
      <c r="F63" s="2982"/>
      <c r="G63" s="2982"/>
      <c r="H63" s="2977"/>
      <c r="I63" s="947"/>
      <c r="J63" s="2847"/>
      <c r="K63" s="2513">
        <f>K61+1</f>
        <v>7</v>
      </c>
      <c r="L63" s="3364" t="s">
        <v>1814</v>
      </c>
      <c r="M63" s="3364"/>
      <c r="N63" s="2531"/>
      <c r="O63" s="2532" t="e">
        <f>IF(H19="元",ROUND(O61/项目基本情况!C12,0),ROUND(O61*10000/项目基本情况!C12,0))</f>
        <v>#VALUE!</v>
      </c>
      <c r="P63" s="2533"/>
    </row>
    <row r="64" spans="1:17" ht="12.75">
      <c r="A64" s="3290" t="s">
        <v>1815</v>
      </c>
      <c r="B64" s="3291"/>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60"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60"/>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60"/>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60"/>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60"/>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5.5000000000000007E-2</v>
      </c>
      <c r="E70" s="57"/>
      <c r="F70" s="2982"/>
      <c r="G70" s="2982"/>
      <c r="H70" s="2977"/>
      <c r="I70" s="947"/>
      <c r="J70" s="2847"/>
      <c r="K70" s="3360"/>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0"/>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7" t="s">
        <v>1835</v>
      </c>
      <c r="B72" s="3378"/>
      <c r="C72" s="3378"/>
      <c r="D72" s="3378"/>
      <c r="E72" s="3378"/>
      <c r="F72" s="3378"/>
      <c r="G72" s="3378"/>
      <c r="H72" s="3378"/>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0" t="s">
        <v>1815</v>
      </c>
      <c r="B73" s="3291"/>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23" t="s">
        <v>1845</v>
      </c>
      <c r="F78" s="3311"/>
      <c r="G78" s="3311"/>
      <c r="H78" s="3324"/>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5.000000000000001E-3</v>
      </c>
      <c r="E80" s="3259" t="s">
        <v>1850</v>
      </c>
      <c r="F80" s="3260"/>
      <c r="G80" s="3260"/>
      <c r="H80" s="3280"/>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7" t="s">
        <v>1854</v>
      </c>
      <c r="B85" s="3378"/>
      <c r="C85" s="3378"/>
      <c r="D85" s="3378"/>
      <c r="E85" s="3378"/>
      <c r="F85" s="3378"/>
      <c r="G85" s="3378"/>
      <c r="H85" s="3378"/>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0" t="s">
        <v>1815</v>
      </c>
      <c r="B86" s="3291"/>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299" t="s">
        <v>2736</v>
      </c>
      <c r="H92" s="3379"/>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59" t="s">
        <v>1862</v>
      </c>
      <c r="F93" s="3260"/>
      <c r="G93" s="3260"/>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59" t="s">
        <v>1865</v>
      </c>
      <c r="F94" s="3260"/>
      <c r="G94" s="3260"/>
      <c r="H94" s="3280"/>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5.000000000000001E-3</v>
      </c>
      <c r="E95" s="3259" t="s">
        <v>1850</v>
      </c>
      <c r="F95" s="3260"/>
      <c r="G95" s="3260"/>
      <c r="H95" s="3280"/>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59" t="s">
        <v>1867</v>
      </c>
      <c r="F96" s="3260"/>
      <c r="G96" s="3260"/>
      <c r="H96" s="3280"/>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77" t="s">
        <v>1869</v>
      </c>
      <c r="B101" s="3278"/>
      <c r="C101" s="3278"/>
      <c r="D101" s="3279"/>
      <c r="E101" s="1461"/>
      <c r="F101" s="3374" t="s">
        <v>2778</v>
      </c>
      <c r="G101" s="3375"/>
      <c r="H101" s="3375"/>
      <c r="I101" s="3376"/>
      <c r="J101" s="2882"/>
    </row>
    <row r="102" spans="1:36" ht="15">
      <c r="A102" s="3294" t="s">
        <v>1871</v>
      </c>
      <c r="B102" s="3295"/>
      <c r="C102" s="2805">
        <f>C4</f>
        <v>0</v>
      </c>
      <c r="D102" s="2806">
        <f>D4</f>
        <v>0</v>
      </c>
      <c r="E102" s="1461"/>
      <c r="F102" s="3296" t="s">
        <v>2779</v>
      </c>
      <c r="G102" s="3298"/>
      <c r="H102" s="3309" t="s">
        <v>2780</v>
      </c>
      <c r="I102" s="3297"/>
      <c r="J102" s="2862"/>
    </row>
    <row r="103" spans="1:36" ht="12.75">
      <c r="A103" s="3380" t="s">
        <v>2774</v>
      </c>
      <c r="B103" s="2307" t="str">
        <f>IF(H19="元","总价（元）","总价（万元）")</f>
        <v>总价（元）</v>
      </c>
      <c r="C103" s="1307" t="e">
        <f ca="1">C19</f>
        <v>#REF!</v>
      </c>
      <c r="D103" s="2809" t="e">
        <f ca="1">D19</f>
        <v>#REF!</v>
      </c>
      <c r="E103" s="1461"/>
      <c r="F103" s="3381"/>
      <c r="G103" s="3382"/>
      <c r="H103" s="3300">
        <f>典型户型修正!B25</f>
        <v>0</v>
      </c>
      <c r="I103" s="3297"/>
      <c r="J103" s="2862"/>
    </row>
    <row r="104" spans="1:36" ht="12.75">
      <c r="A104" s="3380"/>
      <c r="B104" s="2307" t="s">
        <v>2775</v>
      </c>
      <c r="C104" s="2810" t="e">
        <f ca="1">C20</f>
        <v>#REF!</v>
      </c>
      <c r="D104" s="2811" t="e">
        <f ca="1">D20</f>
        <v>#REF!</v>
      </c>
      <c r="E104" s="1461"/>
      <c r="F104" s="3283" t="s">
        <v>2781</v>
      </c>
      <c r="G104" s="3284"/>
      <c r="H104" s="2819" t="str">
        <f>C110</f>
        <v>总价（元）</v>
      </c>
      <c r="I104" s="2820">
        <f>H125</f>
        <v>0</v>
      </c>
      <c r="J104" s="2862"/>
    </row>
    <row r="105" spans="1:36" ht="12.75">
      <c r="A105" s="3380" t="s">
        <v>2776</v>
      </c>
      <c r="B105" s="2245" t="str">
        <f>B103</f>
        <v>总价（元）</v>
      </c>
      <c r="C105" s="12" t="e">
        <f ca="1">ROUND(IF('数据-取费表'!B4="总价",G19,IF(H19="元",G20*'数据-取费表'!E5,G20*'数据-取费表'!E5/10000)),0)</f>
        <v>#REF!</v>
      </c>
      <c r="D105" s="2812"/>
      <c r="E105" s="1461"/>
      <c r="F105" s="3283"/>
      <c r="G105" s="3284"/>
      <c r="H105" s="2819" t="s">
        <v>2782</v>
      </c>
      <c r="I105" s="52" t="e">
        <f>I125</f>
        <v>#DIV/0!</v>
      </c>
      <c r="J105" s="2846"/>
    </row>
    <row r="106" spans="1:36" ht="12.75">
      <c r="A106" s="3380"/>
      <c r="B106" s="2307" t="s">
        <v>2775</v>
      </c>
      <c r="C106" s="1481" t="e">
        <f ca="1">ROUND(IF('数据-取费表'!B4="楼面单价",G20,IF(H19="元",G19/'数据-取费表'!E5,G19*10000/'数据-取费表'!E5)),0)</f>
        <v>#REF!</v>
      </c>
      <c r="D106" s="2812"/>
      <c r="E106" s="1461"/>
      <c r="F106" s="3283"/>
      <c r="G106" s="3284"/>
      <c r="H106" s="3315"/>
      <c r="I106" s="3316"/>
      <c r="J106" s="2863"/>
    </row>
    <row r="107" spans="1:36" ht="12.75">
      <c r="A107" s="3387" t="s">
        <v>2777</v>
      </c>
      <c r="B107" s="2813" t="str">
        <f>B103</f>
        <v>总价（元）</v>
      </c>
      <c r="C107" s="2814">
        <f>H125</f>
        <v>0</v>
      </c>
      <c r="D107" s="2815"/>
      <c r="E107" s="1461"/>
      <c r="F107" s="3319" t="s">
        <v>2783</v>
      </c>
      <c r="G107" s="3320"/>
      <c r="H107" s="2821" t="str">
        <f>C112</f>
        <v>总额（元）</v>
      </c>
      <c r="I107" s="2820">
        <f>SUMIF(I108:I110,"&lt;9E307")</f>
        <v>0</v>
      </c>
      <c r="J107" s="2862"/>
    </row>
    <row r="108" spans="1:36" ht="15" thickBot="1">
      <c r="A108" s="3314"/>
      <c r="B108" s="2816" t="s">
        <v>2775</v>
      </c>
      <c r="C108" s="2817" t="e">
        <f>I125</f>
        <v>#DIV/0!</v>
      </c>
      <c r="D108" s="2818"/>
      <c r="E108" s="1461"/>
      <c r="F108" s="3285" t="s">
        <v>2784</v>
      </c>
      <c r="G108" s="3286"/>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3" t="s">
        <v>1872</v>
      </c>
      <c r="B109" s="3384"/>
      <c r="C109" s="3384"/>
      <c r="D109" s="3385"/>
      <c r="E109" s="1461"/>
      <c r="F109" s="3285" t="s">
        <v>2785</v>
      </c>
      <c r="G109" s="3286"/>
      <c r="H109" s="2821" t="str">
        <f>C114</f>
        <v>总额（元）</v>
      </c>
      <c r="I109" s="52">
        <f>C39</f>
        <v>0</v>
      </c>
      <c r="J109" s="2846"/>
    </row>
    <row r="110" spans="1:36" ht="12.75">
      <c r="A110" s="3283" t="s">
        <v>2788</v>
      </c>
      <c r="B110" s="3284"/>
      <c r="C110" s="2819" t="str">
        <f>B103</f>
        <v>总价（元）</v>
      </c>
      <c r="D110" s="2820">
        <f>H125</f>
        <v>0</v>
      </c>
      <c r="E110" s="1461"/>
      <c r="F110" s="3285" t="s">
        <v>2786</v>
      </c>
      <c r="G110" s="3286"/>
      <c r="H110" s="2821" t="str">
        <f>C115</f>
        <v>总额（元）</v>
      </c>
      <c r="I110" s="52">
        <f>C40</f>
        <v>0</v>
      </c>
      <c r="J110" s="2846"/>
    </row>
    <row r="111" spans="1:36" ht="12.75">
      <c r="A111" s="3283"/>
      <c r="B111" s="3284"/>
      <c r="C111" s="2819" t="s">
        <v>2789</v>
      </c>
      <c r="D111" s="52" t="e">
        <f>I125</f>
        <v>#DIV/0!</v>
      </c>
      <c r="E111" s="1461"/>
      <c r="F111" s="3283"/>
      <c r="G111" s="3284"/>
      <c r="H111" s="3317"/>
      <c r="I111" s="3318"/>
      <c r="J111" s="2864"/>
    </row>
    <row r="112" spans="1:36" ht="28.5" customHeight="1">
      <c r="A112" s="3354" t="s">
        <v>2783</v>
      </c>
      <c r="B112" s="3355"/>
      <c r="C112" s="2821" t="str">
        <f>IF(H19="元","总额（元）","总额（万元）")</f>
        <v>总额（元）</v>
      </c>
      <c r="D112" s="2820">
        <f>IF(D38="正常操作",I108+I109+I110,I109+I110)</f>
        <v>0</v>
      </c>
      <c r="E112" s="1461"/>
      <c r="F112" s="3266" t="str">
        <f>IF(项目基本情况!F5="已注销","——","3.房地产抵押价值")</f>
        <v>3.房地产抵押价值</v>
      </c>
      <c r="G112" s="3267"/>
      <c r="H112" s="1481" t="str">
        <f>C116</f>
        <v>总价（元）</v>
      </c>
      <c r="I112" s="2820">
        <f>IF(F112="——","——",I104-I107)</f>
        <v>0</v>
      </c>
      <c r="J112" s="2862"/>
    </row>
    <row r="113" spans="1:27" ht="12.75">
      <c r="A113" s="3285" t="s">
        <v>2790</v>
      </c>
      <c r="B113" s="3286"/>
      <c r="C113" s="2821" t="str">
        <f>C112</f>
        <v>总额（元）</v>
      </c>
      <c r="D113" s="52">
        <f>IF(D38="同一抵押权人同一抵押物续贷",C38&amp;"（未扣减，详见特别提示）",C38)</f>
        <v>0</v>
      </c>
      <c r="E113" s="1461"/>
      <c r="F113" s="3268"/>
      <c r="G113" s="3269"/>
      <c r="H113" s="2819" t="s">
        <v>2782</v>
      </c>
      <c r="I113" s="2823" t="e">
        <f>D117</f>
        <v>#DIV/0!</v>
      </c>
      <c r="J113" s="2865"/>
    </row>
    <row r="114" spans="1:27" ht="12.75">
      <c r="A114" s="3285" t="s">
        <v>2791</v>
      </c>
      <c r="B114" s="3286"/>
      <c r="C114" s="2821" t="str">
        <f>C112</f>
        <v>总额（元）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总价（元）</v>
      </c>
      <c r="I114" s="2820" t="str">
        <f>IF(F114="——","——",I104-I109-I110)</f>
        <v>——</v>
      </c>
      <c r="J114" s="2862"/>
    </row>
    <row r="115" spans="1:27" ht="12.75">
      <c r="A115" s="3285" t="s">
        <v>2792</v>
      </c>
      <c r="B115" s="3286"/>
      <c r="C115" s="2821" t="str">
        <f>C112</f>
        <v>总额（元）</v>
      </c>
      <c r="D115" s="52">
        <f>C40</f>
        <v>0</v>
      </c>
      <c r="E115" s="1461"/>
      <c r="F115" s="3268"/>
      <c r="G115" s="3269"/>
      <c r="H115" s="2819" t="s">
        <v>2782</v>
      </c>
      <c r="I115" s="52" t="str">
        <f>D119</f>
        <v>——</v>
      </c>
      <c r="J115" s="2846"/>
    </row>
    <row r="116" spans="1:27" ht="12.75">
      <c r="A116" s="3283" t="str">
        <f>IF(项目基本情况!F5="已注销","——","3.房地产抵押价值")</f>
        <v>3.房地产抵押价值</v>
      </c>
      <c r="B116" s="3284"/>
      <c r="C116" s="2819" t="str">
        <f>B103</f>
        <v>总价（元）</v>
      </c>
      <c r="D116" s="2820">
        <f>IF(A116="——","——",D110-D112)</f>
        <v>0</v>
      </c>
      <c r="E116" s="1461"/>
      <c r="F116" s="3266" t="str">
        <f>IF(项目基本情况!G5="抵押净值",IF(OR(项目基本情况!F5="已注销",项目基本情况!F5="房地产抵押价值"),"4.抵押净值","5.抵押净值"),"——")</f>
        <v>——</v>
      </c>
      <c r="G116" s="3267"/>
      <c r="H116" s="2819" t="str">
        <f>C120</f>
        <v>总价（元）</v>
      </c>
      <c r="I116" s="2820" t="str">
        <f>IF(F116="——","——",O61)</f>
        <v>——</v>
      </c>
      <c r="J116" s="2862"/>
    </row>
    <row r="117" spans="1:27" ht="13.5" thickBot="1">
      <c r="A117" s="3283"/>
      <c r="B117" s="3284"/>
      <c r="C117" s="2819" t="s">
        <v>2789</v>
      </c>
      <c r="D117" s="52" t="e">
        <f>ROUND(IF(D116=D110,D111,IF(H19="元",D116/B125,D116*10000/B125)),0)</f>
        <v>#DIV/0!</v>
      </c>
      <c r="E117" s="1461"/>
      <c r="F117" s="3346"/>
      <c r="G117" s="3347"/>
      <c r="H117" s="2824" t="s">
        <v>2782</v>
      </c>
      <c r="I117" s="2808" t="str">
        <f>D121</f>
        <v>——</v>
      </c>
      <c r="J117" s="2846"/>
    </row>
    <row r="118" spans="1:27" ht="15.75">
      <c r="A118" s="3283" t="str">
        <f>IF(项目基本情况!F5="已注销及未注销","4.抵押担保权已注销时的房地产抵押价值",IF(项目基本情况!F5="已注销","3.抵押担保权已注销时的房地产抵押价值","——"))</f>
        <v>——</v>
      </c>
      <c r="B118" s="3284"/>
      <c r="C118" s="2819" t="str">
        <f>B103</f>
        <v>总价（元）</v>
      </c>
      <c r="D118" s="2820" t="str">
        <f>IF(A118="——","——",D110-D114-D115)</f>
        <v>——</v>
      </c>
      <c r="E118" s="1461"/>
      <c r="F118" s="3261"/>
      <c r="G118" s="3261"/>
      <c r="H118" s="3302"/>
      <c r="I118" s="3302"/>
      <c r="J118" s="2866"/>
      <c r="O118" s="32"/>
      <c r="P118" s="32"/>
    </row>
    <row r="119" spans="1:27" s="1308" customFormat="1" ht="12.75">
      <c r="A119" s="3283"/>
      <c r="B119" s="3284"/>
      <c r="C119" s="2819" t="s">
        <v>2789</v>
      </c>
      <c r="D119" s="52" t="str">
        <f>IF(A118="——","——",IF(H19="元",ROUND(D118/B125,0),ROUND(D118*10000/B125,0)))</f>
        <v>——</v>
      </c>
      <c r="E119" s="1461"/>
      <c r="F119" s="3386" t="str">
        <f>IF(B33="总价","（以上估价结果中楼面单价为总价除以建筑面积得出）","（以上估价结果中总价为楼面单价乘以建筑面积得出）")</f>
        <v>（以上估价结果中总价为楼面单价乘以建筑面积得出）</v>
      </c>
      <c r="G119" s="3386"/>
      <c r="H119" s="3386"/>
      <c r="I119" s="338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3" t="str">
        <f>IF(项目基本情况!G5="抵押净值",IF(OR(项目基本情况!F5="已注销",项目基本情况!F5="房地产抵押价值"),"4.抵押净值","5.抵押净值"),"——")</f>
        <v>——</v>
      </c>
      <c r="B120" s="3284"/>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2"/>
      <c r="B121" s="3353"/>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3" t="s">
        <v>1911</v>
      </c>
      <c r="B122" s="3304"/>
      <c r="C122" s="3304"/>
      <c r="D122" s="3304"/>
      <c r="E122" s="3304"/>
      <c r="F122" s="3304"/>
      <c r="G122" s="3304"/>
      <c r="H122" s="3304"/>
      <c r="I122" s="3304"/>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6" t="s">
        <v>2793</v>
      </c>
      <c r="B123" s="3274" t="s">
        <v>2794</v>
      </c>
      <c r="C123" s="3274" t="s">
        <v>2800</v>
      </c>
      <c r="D123" s="3281" t="s">
        <v>2795</v>
      </c>
      <c r="E123" s="3282"/>
      <c r="F123" s="3272" t="s">
        <v>2801</v>
      </c>
      <c r="G123" s="3272"/>
      <c r="H123" s="3272" t="s">
        <v>2796</v>
      </c>
      <c r="I123" s="327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6"/>
      <c r="B124" s="3275"/>
      <c r="C124" s="3275"/>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6" t="s">
        <v>2799</v>
      </c>
      <c r="B126" s="3272"/>
      <c r="C126" s="3272"/>
      <c r="D126" s="3307" t="str">
        <f>IF(H19="元",NUMBERSTRING(INT(D125),2)&amp;"元整",NUMBERSTRING(INT(D125*10000),2)&amp;"元整")</f>
        <v>零元整</v>
      </c>
      <c r="E126" s="3308"/>
      <c r="F126" s="3307" t="str">
        <f>IF(H19="元",NUMBERSTRING(INT(F125),2)&amp;"元整",NUMBERSTRING(INT(F125*10000),2)&amp;"元整")</f>
        <v>零元整</v>
      </c>
      <c r="G126" s="3308"/>
      <c r="H126" s="3307" t="str">
        <f>IF(H19="元",NUMBERSTRING(INT(H125),2)&amp;"元整",NUMBERSTRING(INT(H125*10000),2)&amp;"元整")</f>
        <v>零元整</v>
      </c>
      <c r="I126" s="3356"/>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6" t="str">
        <f>IF(项目基本情况!D5="房地产市场价值","——",MID(A112,3,LEN(A112)-2))</f>
        <v>——</v>
      </c>
      <c r="B127" s="3309"/>
      <c r="C127" s="3298"/>
      <c r="D127" s="3300">
        <f>I107</f>
        <v>0</v>
      </c>
      <c r="E127" s="3309"/>
      <c r="F127" s="3309"/>
      <c r="G127" s="3309"/>
      <c r="H127" s="3309"/>
      <c r="I127" s="3297"/>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0" t="s">
        <v>2799</v>
      </c>
      <c r="B128" s="3311"/>
      <c r="C128" s="3312"/>
      <c r="D128" s="3348">
        <f>H111</f>
        <v>0</v>
      </c>
      <c r="E128" s="3349"/>
      <c r="F128" s="3349"/>
      <c r="G128" s="3349"/>
      <c r="H128" s="3349"/>
      <c r="I128" s="335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3" t="str">
        <f>IF(项目基本情况!D5="房地产市场价值","——",MID(A116,3,LEN(A116)-2))</f>
        <v>——</v>
      </c>
      <c r="B129" s="3284"/>
      <c r="C129" s="3284"/>
      <c r="D129" s="3300">
        <f>I112</f>
        <v>0</v>
      </c>
      <c r="E129" s="3309"/>
      <c r="F129" s="3309"/>
      <c r="G129" s="3309"/>
      <c r="H129" s="3309"/>
      <c r="I129" s="3297"/>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6" t="s">
        <v>2799</v>
      </c>
      <c r="B130" s="3272"/>
      <c r="C130" s="3272"/>
      <c r="D130" s="3348" t="e">
        <f>I113</f>
        <v>#DIV/0!</v>
      </c>
      <c r="E130" s="3349"/>
      <c r="F130" s="3349"/>
      <c r="G130" s="3349"/>
      <c r="H130" s="3349"/>
      <c r="I130" s="335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3" t="str">
        <f>IF(项目基本情况!D5="房地产市场价值","——",MID(A118,3,LEN(A118)-2))</f>
        <v>——</v>
      </c>
      <c r="B131" s="3284"/>
      <c r="C131" s="3284"/>
      <c r="D131" s="3256" t="str">
        <f>I114</f>
        <v>——</v>
      </c>
      <c r="E131" s="3257"/>
      <c r="F131" s="3257"/>
      <c r="G131" s="3257"/>
      <c r="H131" s="3257"/>
      <c r="I131" s="3258"/>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6" t="s">
        <v>2799</v>
      </c>
      <c r="B132" s="3272"/>
      <c r="C132" s="3323"/>
      <c r="D132" s="3301" t="str">
        <f>I115</f>
        <v>——</v>
      </c>
      <c r="E132" s="3301"/>
      <c r="F132" s="3301"/>
      <c r="G132" s="3301"/>
      <c r="H132" s="3301"/>
      <c r="I132" s="3301"/>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3" t="str">
        <f>IF(项目基本情况!D5="房地产市场价值","——",MID(F116,3,LEN(F116)-2))</f>
        <v>——</v>
      </c>
      <c r="B133" s="3284"/>
      <c r="C133" s="3300"/>
      <c r="D133" s="3351" t="str">
        <f>I116</f>
        <v>——</v>
      </c>
      <c r="E133" s="3351"/>
      <c r="F133" s="3351"/>
      <c r="G133" s="3351"/>
      <c r="H133" s="3351"/>
      <c r="I133" s="3351"/>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9" t="s">
        <v>2799</v>
      </c>
      <c r="B134" s="3340"/>
      <c r="C134" s="3340"/>
      <c r="D134" s="3357">
        <f>H118</f>
        <v>0</v>
      </c>
      <c r="E134" s="3358"/>
      <c r="F134" s="3358"/>
      <c r="G134" s="3358"/>
      <c r="H134" s="3358"/>
      <c r="I134" s="3359"/>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4" t="str">
        <f>IF(B33="总价","（以上估价结果中楼面单价为总价除以建筑面积得出）","（以上估价结果中总价为楼面单价乘以建筑面积得出）")</f>
        <v>（以上估价结果中总价为楼面单价乘以建筑面积得出）</v>
      </c>
      <c r="B136" s="3344"/>
      <c r="C136" s="3344"/>
      <c r="D136" s="3344"/>
      <c r="E136" s="3344"/>
      <c r="F136" s="3344"/>
      <c r="G136" s="3344"/>
      <c r="H136" s="3344"/>
      <c r="I136" s="334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609427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5499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254666</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'[1]2002基准地价'!$E$18</f>
        <v>247129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7537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3145</v>
      </c>
    </row>
    <row r="9" spans="1:123" s="91" customFormat="1" ht="13.5" customHeight="1">
      <c r="A9" s="993" t="s">
        <v>945</v>
      </c>
      <c r="B9" s="97" t="s">
        <v>1928</v>
      </c>
      <c r="C9" s="1171">
        <f>ROUND(D9*E9,0)</f>
        <v>17731</v>
      </c>
      <c r="D9" s="1172">
        <f>IF('数据-取费表'!B10="住宅",IF(B1="仅计算典型户型",'数据-取费表'!E5,'数据-取费表'!B5),0)</f>
        <v>110.82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110.82</v>
      </c>
      <c r="E19" s="111">
        <f>'数据-取费表'!E15</f>
        <v>200</v>
      </c>
      <c r="F19" s="112"/>
      <c r="G19" s="1518" t="s">
        <v>3146</v>
      </c>
    </row>
    <row r="20" spans="1:123" s="91" customFormat="1" ht="13.5" customHeight="1">
      <c r="A20" s="120" t="s">
        <v>1941</v>
      </c>
      <c r="B20" s="89" t="s">
        <v>1942</v>
      </c>
      <c r="C20" s="99">
        <f>ROUND((C5+C19)*F20,0)</f>
        <v>2547</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30329</v>
      </c>
      <c r="D22" s="101">
        <f ca="1">C26</f>
        <v>5.9999999999999995E-4</v>
      </c>
      <c r="E22" s="102" t="s">
        <v>1946</v>
      </c>
      <c r="F22" s="103">
        <f ca="1">'数据-取费表'!E27</f>
        <v>5.7599999999999998E-2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30182</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147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25721</v>
      </c>
      <c r="D27" s="101">
        <f>C29</f>
        <v>1E-3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25721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5.5E-2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335615</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235049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199476</v>
      </c>
      <c r="D34" s="1167"/>
      <c r="E34" s="115"/>
      <c r="F34" s="1178" t="str">
        <f>IF('数据-取费表'!B26=0,"",'数据-取费表'!E20)</f>
        <v/>
      </c>
      <c r="G34" s="95"/>
    </row>
    <row r="35" spans="1:123" ht="13.5" customHeight="1">
      <c r="A35" s="92" t="s">
        <v>1924</v>
      </c>
      <c r="B35" s="93" t="s">
        <v>1973</v>
      </c>
      <c r="C35" s="115">
        <f>ROUND(C34*F35,0)</f>
        <v>5984</v>
      </c>
      <c r="D35" s="115"/>
      <c r="E35" s="115"/>
      <c r="F35" s="1179">
        <f>'数据-取费表'!E21</f>
        <v>0.03</v>
      </c>
      <c r="G35" s="95" t="s">
        <v>1974</v>
      </c>
    </row>
    <row r="36" spans="1:123" ht="24">
      <c r="A36" s="92" t="s">
        <v>1926</v>
      </c>
      <c r="B36" s="93" t="s">
        <v>1975</v>
      </c>
      <c r="C36" s="115">
        <f>ROUND(IF('数据-取费表'!B10="住宅",C34*F36,0),0)</f>
        <v>9974</v>
      </c>
      <c r="D36" s="115"/>
      <c r="E36" s="115"/>
      <c r="F36" s="1179">
        <f>'数据-取费表'!E22</f>
        <v>0.05</v>
      </c>
      <c r="G36" s="123" t="s">
        <v>1976</v>
      </c>
    </row>
    <row r="37" spans="1:123" s="122" customFormat="1" ht="13.5" customHeight="1">
      <c r="A37" s="92" t="s">
        <v>1957</v>
      </c>
      <c r="B37" s="93" t="s">
        <v>1977</v>
      </c>
      <c r="C37" s="115">
        <f>ROUND(E37*D37,0)</f>
        <v>16623</v>
      </c>
      <c r="D37" s="1167">
        <f>IF(B1="仅计算典型户型",'数据-取费表'!E5,'数据-取费表'!B5)</f>
        <v>110.82</v>
      </c>
      <c r="E37" s="115">
        <f>'数据-取费表'!E23</f>
        <v>150</v>
      </c>
      <c r="F37" s="1179"/>
      <c r="G37" s="124" t="s">
        <v>1978</v>
      </c>
    </row>
    <row r="38" spans="1:123" ht="13.5" customHeight="1">
      <c r="A38" s="92" t="s">
        <v>1979</v>
      </c>
      <c r="B38" s="93" t="s">
        <v>1980</v>
      </c>
      <c r="C38" s="115">
        <f>ROUND(C34*F38,0)</f>
        <v>2992</v>
      </c>
      <c r="D38" s="115"/>
      <c r="E38" s="115"/>
      <c r="F38" s="1179">
        <f>'数据-取费表'!E24</f>
        <v>1.4999999999999999E-2</v>
      </c>
      <c r="G38" s="95" t="s">
        <v>1974</v>
      </c>
    </row>
    <row r="39" spans="1:123" s="91" customFormat="1" ht="13.5" customHeight="1">
      <c r="A39" s="120" t="s">
        <v>1939</v>
      </c>
      <c r="B39" s="89" t="s">
        <v>1942</v>
      </c>
      <c r="C39" s="99">
        <f>ROUND(C33*F20,0)</f>
        <v>2350</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13674</v>
      </c>
      <c r="D41" s="101">
        <f ca="1">C44</f>
        <v>5.9999999999999995E-4</v>
      </c>
      <c r="E41" s="102" t="s">
        <v>1982</v>
      </c>
      <c r="F41" s="2888">
        <f ca="1">F22</f>
        <v>5.7599999999999998E-2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13539</v>
      </c>
      <c r="D42" s="104"/>
      <c r="E42" s="104"/>
      <c r="F42" s="105"/>
      <c r="G42" s="3389" t="s">
        <v>1984</v>
      </c>
    </row>
    <row r="43" spans="1:123" ht="13.5" customHeight="1">
      <c r="A43" s="92" t="s">
        <v>1924</v>
      </c>
      <c r="B43" s="93" t="s">
        <v>1953</v>
      </c>
      <c r="C43" s="104">
        <f ca="1">ROUND(IF('数据-取费表'!B24&lt;=1,C39*F22*'数据-取费表'!B23/2,C39*(POWER((1+F22),'数据-取费表'!B23/2)-1)),0)</f>
        <v>135</v>
      </c>
      <c r="D43" s="104"/>
      <c r="E43" s="104"/>
      <c r="F43" s="105"/>
      <c r="G43" s="3390"/>
    </row>
    <row r="44" spans="1:123" ht="13.5" customHeight="1">
      <c r="A44" s="92" t="s">
        <v>1926</v>
      </c>
      <c r="B44" s="93" t="s">
        <v>1955</v>
      </c>
      <c r="C44" s="104">
        <f ca="1">ROUND(IF('数据-取费表'!B24&lt;=1,C40*F22*'数据-取费表'!B23/2,C40*(POWER((1+F22),'数据-取费表'!B23/2)-1)),4)</f>
        <v>5.9999999999999995E-4</v>
      </c>
      <c r="D44" s="104"/>
      <c r="E44" s="104"/>
      <c r="F44" s="105"/>
      <c r="G44" s="3391"/>
    </row>
    <row r="45" spans="1:123" s="91" customFormat="1" ht="13.5" customHeight="1">
      <c r="A45" s="120" t="s">
        <v>1948</v>
      </c>
      <c r="B45" s="110" t="s">
        <v>1960</v>
      </c>
      <c r="C45" s="111">
        <f>C46</f>
        <v>23740</v>
      </c>
      <c r="D45" s="101">
        <f>C47</f>
        <v>1E-3</v>
      </c>
      <c r="E45" s="102" t="s">
        <v>1982</v>
      </c>
      <c r="F45" s="2889">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23740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5.5E-2</v>
      </c>
      <c r="D48" s="102" t="s">
        <v>1982</v>
      </c>
      <c r="E48" s="99"/>
      <c r="F48" s="2888">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294421</v>
      </c>
      <c r="D49" s="99"/>
      <c r="E49" s="99"/>
      <c r="F49" s="126"/>
      <c r="G49" s="100" t="s">
        <v>1992</v>
      </c>
    </row>
    <row r="50" spans="1:123" s="122" customFormat="1" ht="24">
      <c r="A50" s="994" t="s">
        <v>1993</v>
      </c>
      <c r="B50" s="89" t="s">
        <v>1994</v>
      </c>
      <c r="C50" s="99"/>
      <c r="D50" s="99"/>
      <c r="E50" s="99"/>
      <c r="F50" s="126">
        <f>IF('数据-取费表'!B26=0,'数据-取费表'!E20,1)</f>
        <v>0.93</v>
      </c>
      <c r="G50" s="113" t="s">
        <v>1995</v>
      </c>
    </row>
    <row r="51" spans="1:123" ht="16.5" customHeight="1">
      <c r="A51" s="994" t="s">
        <v>1996</v>
      </c>
      <c r="B51" s="89" t="s">
        <v>1997</v>
      </c>
      <c r="C51" s="99">
        <f ca="1">ROUND(C49*F50,0)</f>
        <v>273812</v>
      </c>
      <c r="D51" s="99"/>
      <c r="E51" s="99"/>
      <c r="F51" s="126"/>
      <c r="G51" s="100" t="s">
        <v>1998</v>
      </c>
    </row>
    <row r="52" spans="1:123" s="88" customFormat="1" ht="16.5" thickBot="1">
      <c r="A52" s="127" t="s">
        <v>1999</v>
      </c>
      <c r="B52" s="128"/>
      <c r="C52" s="129">
        <f ca="1">C31+C51</f>
        <v>609427</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0.44900000000000001</v>
      </c>
    </row>
    <row r="57" spans="1:123">
      <c r="B57" s="135" t="s">
        <v>2002</v>
      </c>
      <c r="C57" s="137">
        <f ca="1">1-C56</f>
        <v>0.55099999999999993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17378</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-17731.199999999997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-17731.199999999997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-177</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5.7599999999999998E-2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-1791</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-1791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17378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2748</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2701</v>
      </c>
      <c r="E6" s="235" t="s">
        <v>2015</v>
      </c>
      <c r="F6" s="236">
        <f>'数据-取费表'!B30</f>
        <v>0</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110.82</v>
      </c>
      <c r="G7" s="951"/>
      <c r="H7" s="237"/>
      <c r="I7" s="238"/>
      <c r="J7" s="239"/>
      <c r="K7" s="240"/>
      <c r="L7" s="235" t="s">
        <v>2016</v>
      </c>
      <c r="M7" s="236">
        <f>IF('数据-取费表'!B42="",IF(D1="仅计算典型户型",'数据-取费表'!E5,'数据-取费表'!B5),'数据-取费表'!B42)</f>
        <v>110.82</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2.2499999999999999E-2</v>
      </c>
      <c r="G11" s="952"/>
      <c r="H11" s="241"/>
      <c r="I11" s="1524" t="s">
        <v>2026</v>
      </c>
      <c r="J11" s="1091"/>
      <c r="K11" s="240"/>
      <c r="L11" s="246" t="s">
        <v>2025</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273812</v>
      </c>
      <c r="D13" s="1094" t="s">
        <v>2030</v>
      </c>
      <c r="E13" s="1094" t="s">
        <v>2031</v>
      </c>
      <c r="F13" s="1095">
        <f>'数据-取费表'!E20</f>
        <v>0.93</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199476</v>
      </c>
      <c r="D14" s="1328" t="s">
        <v>2034</v>
      </c>
      <c r="E14" s="1329"/>
      <c r="F14" s="799"/>
      <c r="G14" s="952"/>
      <c r="H14" s="253" t="s">
        <v>2013</v>
      </c>
      <c r="I14" s="235" t="s">
        <v>2035</v>
      </c>
      <c r="J14" s="13">
        <f ca="1">C29</f>
        <v>294421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5984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9974</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16623</v>
      </c>
      <c r="D17" s="235" t="s">
        <v>2048</v>
      </c>
      <c r="E17" s="235" t="s">
        <v>2049</v>
      </c>
      <c r="F17" s="15">
        <f>'数据-取费表'!E23</f>
        <v>150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2992</v>
      </c>
      <c r="D18" s="235" t="s">
        <v>2038</v>
      </c>
      <c r="E18" s="235" t="s">
        <v>2039</v>
      </c>
      <c r="F18" s="258">
        <f>'数据-取费表'!E24</f>
        <v>1.4999999999999999E-2</v>
      </c>
      <c r="G18" s="951"/>
      <c r="H18" s="253" t="s">
        <v>2056</v>
      </c>
      <c r="I18" s="235" t="s">
        <v>2057</v>
      </c>
      <c r="J18" s="13" t="str">
        <f>IF(项目基本情况!B7="自然人","——",ROUND(J6*M18/(1+'数据-取费表'!F30),0))</f>
        <v>——</v>
      </c>
      <c r="K18" s="1331" t="s">
        <v>2728</v>
      </c>
      <c r="L18" s="235" t="s">
        <v>2039</v>
      </c>
      <c r="M18" s="258">
        <f>'数据-取费表'!E29</f>
        <v>5.5000000000000007E-2</v>
      </c>
    </row>
    <row r="19" spans="1:37" s="257" customFormat="1" ht="18" customHeight="1">
      <c r="A19" s="253" t="s">
        <v>2050</v>
      </c>
      <c r="B19" s="235" t="s">
        <v>2058</v>
      </c>
      <c r="C19" s="13">
        <f>SUM(C14:C18)</f>
        <v>235049</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2350</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13674</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5.9999999999999995E-4</v>
      </c>
      <c r="D24" s="1432" t="str">
        <f>IF(F23&lt;=1,"销售费用×利率×(建设周期÷2)","销售费用×((1+利率)^(建设周期÷2)-1)")</f>
        <v>销售费用×((1+利率)^(建设周期÷2)-1)</v>
      </c>
      <c r="E24" s="235" t="s">
        <v>2084</v>
      </c>
      <c r="F24" s="267">
        <f ca="1">'数据-取费表'!E27</f>
        <v>5.7599999999999998E-2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23740</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5.5E-2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294421</v>
      </c>
      <c r="D29" s="1105"/>
      <c r="E29" s="1103"/>
      <c r="F29" s="1106"/>
      <c r="G29" s="652"/>
      <c r="H29" s="271" t="s">
        <v>24</v>
      </c>
      <c r="I29" s="272" t="s">
        <v>2108</v>
      </c>
      <c r="J29" s="273">
        <f ca="1">ROUND(J26/(1+F40)^F41,0)</f>
        <v>0</v>
      </c>
      <c r="K29" s="274" t="s">
        <v>2109</v>
      </c>
      <c r="L29" s="275"/>
      <c r="M29" s="276">
        <f>IF(D1="仅计算典型户型",'数据-取费表'!E5,'数据-取费表'!B5)</f>
        <v>110.82</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2727</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2890</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1.5</v>
      </c>
      <c r="G34" s="652"/>
      <c r="H34" s="931"/>
      <c r="I34" s="280" t="s">
        <v>2117</v>
      </c>
      <c r="J34" s="281">
        <f ca="1">ROUND(C13*J35,0)</f>
        <v>17798</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66</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110.82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294421</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66</v>
      </c>
      <c r="O49" s="1051" t="s">
        <v>953</v>
      </c>
      <c r="P49" s="1048" t="s">
        <v>2156</v>
      </c>
      <c r="Q49" s="1052">
        <f>J53</f>
        <v>0</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2003</v>
      </c>
      <c r="K50" s="1537" t="s">
        <v>2160</v>
      </c>
      <c r="L50" s="1026"/>
      <c r="O50" s="1051" t="s">
        <v>954</v>
      </c>
      <c r="P50" s="1048" t="s">
        <v>2161</v>
      </c>
      <c r="Q50" s="1049">
        <f>J54</f>
        <v>66</v>
      </c>
      <c r="R50" s="1050" t="s">
        <v>2162</v>
      </c>
    </row>
    <row r="51" spans="1:18" s="652" customFormat="1" ht="15.75" thickBot="1">
      <c r="A51" s="237"/>
      <c r="B51" s="238"/>
      <c r="C51" s="239"/>
      <c r="D51" s="240"/>
      <c r="E51" s="255" t="s">
        <v>2016</v>
      </c>
      <c r="F51" s="985">
        <f>F7</f>
        <v>110.82</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-2</v>
      </c>
      <c r="K52" s="1539" t="s">
        <v>2166</v>
      </c>
      <c r="L52" s="1029">
        <f ca="1">ROUND(-PV('数据-取费表'!B15,J52,(C40-C13*J35)),0)</f>
        <v>36307</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66</v>
      </c>
      <c r="K54" s="3392" t="s">
        <v>2700</v>
      </c>
      <c r="L54" s="3393"/>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273812</v>
      </c>
      <c r="D57" s="983"/>
      <c r="E57" s="984"/>
      <c r="F57" s="991"/>
      <c r="I57" s="1547" t="s">
        <v>2175</v>
      </c>
      <c r="J57" s="1035"/>
      <c r="K57" s="1533" t="s">
        <v>2176</v>
      </c>
      <c r="L57" s="863">
        <f>IF(L49&lt;J52,"——",L49-J52)</f>
        <v>68</v>
      </c>
      <c r="O57" s="1051" t="s">
        <v>952</v>
      </c>
      <c r="P57" s="1048" t="s">
        <v>2177</v>
      </c>
      <c r="Q57" s="1052">
        <f>L53</f>
        <v>0</v>
      </c>
      <c r="R57" s="1050"/>
    </row>
    <row r="58" spans="1:18" s="652" customFormat="1" ht="29.25" thickBot="1">
      <c r="A58" s="990"/>
      <c r="B58" s="235" t="s">
        <v>2107</v>
      </c>
      <c r="C58" s="104">
        <f ca="1">C29</f>
        <v>294421</v>
      </c>
      <c r="D58" s="983"/>
      <c r="E58" s="984"/>
      <c r="F58" s="991"/>
      <c r="I58" s="1548" t="s">
        <v>2178</v>
      </c>
      <c r="J58" s="1034" t="str">
        <f>IF(OR(M48="住宅",J52&lt;L49,J57="是"),"——",J52-L49)</f>
        <v>——</v>
      </c>
      <c r="K58" s="1533" t="s">
        <v>2179</v>
      </c>
      <c r="L58" s="863">
        <f ca="1">IF(L49&lt;J52,"——",IF(L56="比较法",L50,IF(L56="基准地价",L51,L52)))</f>
        <v>36307</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1.5</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36307</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-17798</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273812</v>
      </c>
      <c r="R68" s="1050"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66</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110.82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29" sqref="P29: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4" t="s">
        <v>1013</v>
      </c>
      <c r="B1" s="3395"/>
      <c r="C1" s="3396"/>
      <c r="D1" s="3397">
        <f>SUM(I10,I15,I20,I21,I23)</f>
        <v>0</v>
      </c>
      <c r="E1" s="3397"/>
      <c r="F1" s="3397"/>
      <c r="G1" s="3397"/>
      <c r="H1" s="3397"/>
      <c r="I1" s="3398"/>
    </row>
    <row r="2" spans="1:9">
      <c r="A2" s="3399" t="s">
        <v>1014</v>
      </c>
      <c r="B2" s="3400" t="s">
        <v>963</v>
      </c>
      <c r="C2" s="3400"/>
      <c r="D2" s="1062" t="s">
        <v>964</v>
      </c>
      <c r="E2" s="1062" t="s">
        <v>965</v>
      </c>
      <c r="F2" s="1062" t="s">
        <v>966</v>
      </c>
      <c r="G2" s="1062" t="s">
        <v>967</v>
      </c>
      <c r="H2" s="1062" t="s">
        <v>968</v>
      </c>
      <c r="I2" s="1063" t="s">
        <v>969</v>
      </c>
    </row>
    <row r="3" spans="1:9">
      <c r="A3" s="3399"/>
      <c r="B3" s="3400" t="s">
        <v>970</v>
      </c>
      <c r="C3" s="3400"/>
      <c r="D3" s="1064"/>
      <c r="E3" s="1062"/>
      <c r="F3" s="1065"/>
      <c r="G3" s="1065"/>
      <c r="H3" s="1066"/>
      <c r="I3" s="1067">
        <f>ROUND(D3*E3*F3*G3*H3/10000,0)</f>
        <v>0</v>
      </c>
    </row>
    <row r="4" spans="1:9">
      <c r="A4" s="3399"/>
      <c r="B4" s="3400" t="s">
        <v>971</v>
      </c>
      <c r="C4" s="3400"/>
      <c r="D4" s="1064"/>
      <c r="E4" s="1062"/>
      <c r="F4" s="1065"/>
      <c r="G4" s="1065"/>
      <c r="H4" s="1066"/>
      <c r="I4" s="1067">
        <f t="shared" ref="I4:I9" si="0">ROUND(D4*E4*F4*G4*H4/10000,0)</f>
        <v>0</v>
      </c>
    </row>
    <row r="5" spans="1:9">
      <c r="A5" s="3399"/>
      <c r="B5" s="3400" t="s">
        <v>972</v>
      </c>
      <c r="C5" s="3400"/>
      <c r="D5" s="1064"/>
      <c r="E5" s="1062"/>
      <c r="F5" s="1065"/>
      <c r="G5" s="1065"/>
      <c r="H5" s="1066"/>
      <c r="I5" s="1067">
        <f t="shared" si="0"/>
        <v>0</v>
      </c>
    </row>
    <row r="6" spans="1:9">
      <c r="A6" s="3399"/>
      <c r="B6" s="3400" t="s">
        <v>973</v>
      </c>
      <c r="C6" s="3400"/>
      <c r="D6" s="1064"/>
      <c r="E6" s="1062"/>
      <c r="F6" s="1065"/>
      <c r="G6" s="1065"/>
      <c r="H6" s="1066"/>
      <c r="I6" s="1067">
        <f t="shared" si="0"/>
        <v>0</v>
      </c>
    </row>
    <row r="7" spans="1:9">
      <c r="A7" s="3399"/>
      <c r="B7" s="3400" t="s">
        <v>974</v>
      </c>
      <c r="C7" s="3400"/>
      <c r="D7" s="1064"/>
      <c r="E7" s="1062"/>
      <c r="F7" s="1065"/>
      <c r="G7" s="1065"/>
      <c r="H7" s="1066"/>
      <c r="I7" s="1067">
        <f t="shared" si="0"/>
        <v>0</v>
      </c>
    </row>
    <row r="8" spans="1:9">
      <c r="A8" s="3399"/>
      <c r="B8" s="3400" t="s">
        <v>975</v>
      </c>
      <c r="C8" s="3400"/>
      <c r="D8" s="1064"/>
      <c r="E8" s="1062"/>
      <c r="F8" s="1065"/>
      <c r="G8" s="1065"/>
      <c r="H8" s="1066"/>
      <c r="I8" s="1067">
        <f t="shared" si="0"/>
        <v>0</v>
      </c>
    </row>
    <row r="9" spans="1:9">
      <c r="A9" s="3399"/>
      <c r="B9" s="3400" t="s">
        <v>976</v>
      </c>
      <c r="C9" s="3400"/>
      <c r="D9" s="1064"/>
      <c r="E9" s="1062"/>
      <c r="F9" s="1065"/>
      <c r="G9" s="1065"/>
      <c r="H9" s="1066"/>
      <c r="I9" s="1067">
        <f t="shared" si="0"/>
        <v>0</v>
      </c>
    </row>
    <row r="10" spans="1:9">
      <c r="A10" s="3399"/>
      <c r="B10" s="3401" t="s">
        <v>977</v>
      </c>
      <c r="C10" s="3401"/>
      <c r="D10" s="1068">
        <v>527</v>
      </c>
      <c r="E10" s="1068" t="e">
        <f>ROUND(D1*10000/D10/H9,0)</f>
        <v>#DIV/0!</v>
      </c>
      <c r="F10" s="1069"/>
      <c r="G10" s="1069"/>
      <c r="H10" s="1070"/>
      <c r="I10" s="1071">
        <f>SUM(I3:I9)</f>
        <v>0</v>
      </c>
    </row>
    <row r="11" spans="1:9" ht="14.25">
      <c r="A11" s="3399" t="s">
        <v>1015</v>
      </c>
      <c r="B11" s="3400" t="s">
        <v>978</v>
      </c>
      <c r="C11" s="3400"/>
      <c r="D11" s="1064" t="s">
        <v>979</v>
      </c>
      <c r="E11" s="1064" t="s">
        <v>980</v>
      </c>
      <c r="F11" s="1065" t="s">
        <v>981</v>
      </c>
      <c r="G11" s="1065" t="s">
        <v>968</v>
      </c>
      <c r="H11" s="1072" t="s">
        <v>982</v>
      </c>
      <c r="I11" s="1063" t="s">
        <v>969</v>
      </c>
    </row>
    <row r="12" spans="1:9">
      <c r="A12" s="3399"/>
      <c r="B12" s="3400" t="s">
        <v>983</v>
      </c>
      <c r="C12" s="3400"/>
      <c r="D12" s="1064"/>
      <c r="E12" s="1064"/>
      <c r="F12" s="1065"/>
      <c r="G12" s="1066"/>
      <c r="H12" s="1073"/>
      <c r="I12" s="1063">
        <f>ROUND(D12*E12*F12*G12/10000,0)</f>
        <v>0</v>
      </c>
    </row>
    <row r="13" spans="1:9">
      <c r="A13" s="3399"/>
      <c r="B13" s="3400" t="s">
        <v>984</v>
      </c>
      <c r="C13" s="3400"/>
      <c r="D13" s="1064"/>
      <c r="E13" s="1064"/>
      <c r="F13" s="1065"/>
      <c r="G13" s="1066"/>
      <c r="H13" s="1073"/>
      <c r="I13" s="1063">
        <f>ROUND(D13*E13*F13*G13/10000,0)</f>
        <v>0</v>
      </c>
    </row>
    <row r="14" spans="1:9">
      <c r="A14" s="3399"/>
      <c r="B14" s="3400" t="s">
        <v>985</v>
      </c>
      <c r="C14" s="3400"/>
      <c r="D14" s="1064"/>
      <c r="E14" s="1064"/>
      <c r="F14" s="1065"/>
      <c r="G14" s="1066"/>
      <c r="H14" s="1073"/>
      <c r="I14" s="1063">
        <f>ROUND(D14*E14*F14*G14/10000,0)</f>
        <v>0</v>
      </c>
    </row>
    <row r="15" spans="1:9">
      <c r="A15" s="3399"/>
      <c r="B15" s="3401" t="s">
        <v>977</v>
      </c>
      <c r="C15" s="3401"/>
      <c r="D15" s="1068"/>
      <c r="E15" s="1068">
        <f>SUM(E12:E14)</f>
        <v>0</v>
      </c>
      <c r="F15" s="1069"/>
      <c r="G15" s="1066"/>
      <c r="H15" s="1073"/>
      <c r="I15" s="1074">
        <f>SUM(I12:I14)</f>
        <v>0</v>
      </c>
    </row>
    <row r="16" spans="1:9" ht="24">
      <c r="A16" s="3399" t="s">
        <v>1016</v>
      </c>
      <c r="B16" s="3400" t="s">
        <v>986</v>
      </c>
      <c r="C16" s="3400"/>
      <c r="D16" s="1064" t="s">
        <v>964</v>
      </c>
      <c r="E16" s="1075" t="s">
        <v>987</v>
      </c>
      <c r="F16" s="1065" t="s">
        <v>988</v>
      </c>
      <c r="G16" s="1066" t="s">
        <v>968</v>
      </c>
      <c r="H16" s="1072" t="s">
        <v>982</v>
      </c>
      <c r="I16" s="1063" t="s">
        <v>969</v>
      </c>
    </row>
    <row r="17" spans="1:9" ht="14.25">
      <c r="A17" s="3399"/>
      <c r="B17" s="3400" t="s">
        <v>989</v>
      </c>
      <c r="C17" s="3400"/>
      <c r="D17" s="1064"/>
      <c r="E17" s="1064"/>
      <c r="F17" s="1065"/>
      <c r="G17" s="1066"/>
      <c r="H17" s="1076"/>
      <c r="I17" s="1077">
        <f>ROUND(D17*E17*F17*G17/10000,0)</f>
        <v>0</v>
      </c>
    </row>
    <row r="18" spans="1:9" ht="14.25">
      <c r="A18" s="3399"/>
      <c r="B18" s="3400" t="s">
        <v>990</v>
      </c>
      <c r="C18" s="3400"/>
      <c r="D18" s="1064"/>
      <c r="E18" s="1064"/>
      <c r="F18" s="1065"/>
      <c r="G18" s="1066"/>
      <c r="H18" s="1076"/>
      <c r="I18" s="1077">
        <f>ROUND(D18*E18*F18*G18/10000,0)</f>
        <v>0</v>
      </c>
    </row>
    <row r="19" spans="1:9" ht="14.25">
      <c r="A19" s="3399"/>
      <c r="B19" s="3400" t="s">
        <v>991</v>
      </c>
      <c r="C19" s="3400"/>
      <c r="D19" s="1064"/>
      <c r="E19" s="1064"/>
      <c r="F19" s="1065"/>
      <c r="G19" s="1066"/>
      <c r="H19" s="1076"/>
      <c r="I19" s="1077">
        <f>ROUND(D19*E19*F19*G19/10000,0)</f>
        <v>0</v>
      </c>
    </row>
    <row r="20" spans="1:9">
      <c r="A20" s="3399"/>
      <c r="B20" s="3401" t="s">
        <v>977</v>
      </c>
      <c r="C20" s="3401"/>
      <c r="D20" s="1068">
        <f>SUM(D17:D19)</f>
        <v>0</v>
      </c>
      <c r="E20" s="1068"/>
      <c r="F20" s="1069"/>
      <c r="G20" s="1066"/>
      <c r="H20" s="1073"/>
      <c r="I20" s="1074">
        <f>SUM(I17:I19)</f>
        <v>0</v>
      </c>
    </row>
    <row r="21" spans="1:9">
      <c r="A21" s="3399" t="s">
        <v>1017</v>
      </c>
      <c r="B21" s="3403"/>
      <c r="C21" s="3403"/>
      <c r="D21" s="3403"/>
      <c r="E21" s="3403"/>
      <c r="F21" s="3403"/>
      <c r="G21" s="3403"/>
      <c r="H21" s="1078">
        <v>0.1</v>
      </c>
      <c r="I21" s="1071">
        <f>ROUND(I10*H21,0)</f>
        <v>0</v>
      </c>
    </row>
    <row r="22" spans="1:9" ht="14.25">
      <c r="A22" s="3404" t="s">
        <v>1018</v>
      </c>
      <c r="B22" s="3405"/>
      <c r="C22" s="3406"/>
      <c r="D22" s="1079" t="s">
        <v>992</v>
      </c>
      <c r="E22" s="1079" t="s">
        <v>993</v>
      </c>
      <c r="F22" s="1080" t="s">
        <v>968</v>
      </c>
      <c r="G22" s="1080" t="s">
        <v>994</v>
      </c>
      <c r="H22" s="1072" t="s">
        <v>982</v>
      </c>
      <c r="I22" s="1063" t="s">
        <v>969</v>
      </c>
    </row>
    <row r="23" spans="1:9" ht="14.25" thickBot="1">
      <c r="A23" s="3407"/>
      <c r="B23" s="3408"/>
      <c r="C23" s="3409"/>
      <c r="D23" s="1081"/>
      <c r="E23" s="1081"/>
      <c r="F23" s="1081"/>
      <c r="G23" s="1082"/>
      <c r="H23" s="1083"/>
      <c r="I23" s="1084">
        <f>ROUND(E23*D23*F23*(1-G23)/10000,0)</f>
        <v>0</v>
      </c>
    </row>
    <row r="26" spans="1:9">
      <c r="A26" s="1085" t="s">
        <v>995</v>
      </c>
      <c r="B26" s="1085"/>
      <c r="C26" s="1085"/>
      <c r="D26" s="1085"/>
      <c r="E26" s="3410">
        <f>C27-C30-C31-C32</f>
        <v>0</v>
      </c>
      <c r="F26" s="3410"/>
      <c r="G26" s="3410"/>
      <c r="H26" s="1304" t="s">
        <v>1206</v>
      </c>
    </row>
    <row r="27" spans="1:9">
      <c r="A27" s="1086">
        <v>1</v>
      </c>
      <c r="B27" s="1087" t="s">
        <v>996</v>
      </c>
      <c r="C27" s="1087">
        <f>C28+C29</f>
        <v>0</v>
      </c>
      <c r="D27" s="1087"/>
      <c r="E27" s="3411"/>
      <c r="F27" s="3411"/>
      <c r="G27" s="3411"/>
    </row>
    <row r="28" spans="1:9">
      <c r="A28" s="1088" t="s">
        <v>997</v>
      </c>
      <c r="B28" s="1087" t="s">
        <v>998</v>
      </c>
      <c r="C28" s="1087"/>
      <c r="D28" s="1087"/>
      <c r="E28" s="3411"/>
      <c r="F28" s="3411"/>
      <c r="G28" s="341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2"/>
      <c r="F32" s="3402"/>
      <c r="G32" s="3402"/>
    </row>
    <row r="33" spans="1:7" hidden="1">
      <c r="A33" s="3412" t="s">
        <v>1007</v>
      </c>
      <c r="B33" s="3413"/>
      <c r="C33" s="3413"/>
      <c r="D33" s="3414"/>
      <c r="E33" s="3410"/>
      <c r="F33" s="3410"/>
      <c r="G33" s="3410"/>
    </row>
    <row r="34" spans="1:7" hidden="1">
      <c r="A34" s="1090">
        <v>1</v>
      </c>
      <c r="B34" s="1087" t="s">
        <v>1008</v>
      </c>
      <c r="C34" s="1087"/>
      <c r="D34" s="1087"/>
      <c r="E34" s="3411"/>
      <c r="F34" s="3411"/>
      <c r="G34" s="3411"/>
    </row>
    <row r="35" spans="1:7" hidden="1">
      <c r="A35" s="1090">
        <v>2</v>
      </c>
      <c r="B35" s="1087" t="s">
        <v>1009</v>
      </c>
      <c r="C35" s="1087"/>
      <c r="D35" s="1087"/>
      <c r="E35" s="3411"/>
      <c r="F35" s="3411"/>
      <c r="G35" s="3411"/>
    </row>
    <row r="36" spans="1:7" hidden="1">
      <c r="A36" s="1090">
        <v>3</v>
      </c>
      <c r="B36" s="1087" t="s">
        <v>1010</v>
      </c>
      <c r="C36" s="1087"/>
      <c r="D36" s="1087"/>
      <c r="E36" s="3411"/>
      <c r="F36" s="3411"/>
      <c r="G36" s="3411"/>
    </row>
    <row r="37" spans="1:7" hidden="1">
      <c r="A37" s="1090">
        <v>4</v>
      </c>
      <c r="B37" s="1087" t="s">
        <v>1011</v>
      </c>
      <c r="C37" s="1087"/>
      <c r="D37" s="1087"/>
      <c r="E37" s="3411"/>
      <c r="F37" s="3411"/>
      <c r="G37" s="3411"/>
    </row>
    <row r="38" spans="1:7" hidden="1">
      <c r="A38" s="3412" t="s">
        <v>1012</v>
      </c>
      <c r="B38" s="3413"/>
      <c r="C38" s="3413"/>
      <c r="D38" s="3414"/>
      <c r="E38" s="3410"/>
      <c r="F38" s="3410"/>
      <c r="G38" s="34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29" sqref="P29:P40"/>
      <selection pane="bottomLeft" activeCell="P29" sqref="P29: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18" t="s">
        <v>2212</v>
      </c>
      <c r="D4" s="3419"/>
      <c r="E4" s="3419"/>
      <c r="F4" s="3419"/>
      <c r="G4" s="3419"/>
      <c r="H4" s="3419"/>
      <c r="I4" s="3419"/>
      <c r="J4" s="3419"/>
      <c r="K4" s="3419"/>
      <c r="L4" s="3419"/>
      <c r="M4" s="3419"/>
      <c r="N4" s="3419"/>
      <c r="O4" s="3419"/>
      <c r="P4" s="3419"/>
      <c r="Q4" s="3419"/>
      <c r="R4" s="3419"/>
      <c r="S4" s="3420"/>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15" t="s">
        <v>45</v>
      </c>
      <c r="D25" s="3416"/>
      <c r="E25" s="3416"/>
      <c r="F25" s="3416"/>
      <c r="G25" s="3416"/>
      <c r="H25" s="3416"/>
      <c r="I25" s="3416"/>
      <c r="J25" s="3416"/>
      <c r="K25" s="3416"/>
      <c r="L25" s="3416"/>
      <c r="M25" s="3416"/>
      <c r="N25" s="3416"/>
      <c r="O25" s="3416"/>
      <c r="P25" s="3416"/>
      <c r="Q25" s="3417"/>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B16" zoomScaleNormal="70" zoomScaleSheetLayoutView="100" workbookViewId="0">
      <selection activeCell="G19" sqref="G19"/>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2748</v>
      </c>
      <c r="D1" s="1640"/>
      <c r="E1" s="1641" t="s">
        <v>2746</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311072</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2807</v>
      </c>
      <c r="C3" s="1660" t="s">
        <v>2244</v>
      </c>
      <c r="D3" s="1660">
        <f>IF(C1="仅计算典型户型",'数据-取费表'!E5,'数据-取费表'!B5)</f>
        <v>110.82</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24" t="s">
        <v>2246</v>
      </c>
      <c r="D4" s="3425"/>
      <c r="E4" s="3426" t="s">
        <v>2247</v>
      </c>
      <c r="F4" s="3427"/>
      <c r="G4" s="3424" t="s">
        <v>2248</v>
      </c>
      <c r="H4" s="3425"/>
      <c r="I4" s="3424" t="s">
        <v>2249</v>
      </c>
      <c r="J4" s="3425"/>
      <c r="K4" s="1665" t="s">
        <v>2250</v>
      </c>
      <c r="L4" s="2997"/>
      <c r="M4" s="2998"/>
      <c r="N4" s="2998"/>
      <c r="O4" s="2998"/>
      <c r="P4" s="3428" t="s">
        <v>2251</v>
      </c>
      <c r="Q4" s="3429"/>
      <c r="R4" s="3434" t="s">
        <v>2247</v>
      </c>
      <c r="S4" s="3435"/>
      <c r="T4" s="3434" t="s">
        <v>2248</v>
      </c>
      <c r="U4" s="3435"/>
      <c r="V4" s="3440" t="s">
        <v>2249</v>
      </c>
      <c r="W4" s="3440"/>
      <c r="X4" s="1666"/>
      <c r="Y4" s="3434" t="s">
        <v>2251</v>
      </c>
      <c r="Z4" s="3435"/>
      <c r="AA4" s="3421" t="s">
        <v>2247</v>
      </c>
      <c r="AB4" s="3421" t="s">
        <v>2248</v>
      </c>
      <c r="AC4" s="3421" t="s">
        <v>2249</v>
      </c>
    </row>
    <row r="5" spans="1:29" ht="15">
      <c r="A5" s="1668"/>
      <c r="B5" s="1669"/>
      <c r="C5" s="3636" t="s">
        <v>3147</v>
      </c>
      <c r="D5" s="3444"/>
      <c r="E5" s="3441" t="str">
        <f>案例!I7&amp;案例!K7&amp;案例!L7&amp;案例!M7</f>
        <v>昌平镇东关北里小区14号楼2单元4层(1)号</v>
      </c>
      <c r="F5" s="3442"/>
      <c r="G5" s="3443" t="str">
        <f>案例!I10&amp;案例!K10&amp;案例!L10&amp;案例!M10</f>
        <v>昌平镇东关北里1号楼2单元501号</v>
      </c>
      <c r="H5" s="3444"/>
      <c r="I5" s="3443" t="str">
        <f>案例!I15&amp;案例!K15&amp;案例!L15&amp;案例!M15</f>
        <v>昌平镇东关北里12号楼4单元2号</v>
      </c>
      <c r="J5" s="3444"/>
      <c r="K5" s="1670"/>
      <c r="L5" s="2997"/>
      <c r="M5" s="2998"/>
      <c r="N5" s="2998"/>
      <c r="O5" s="2998"/>
      <c r="P5" s="3430"/>
      <c r="Q5" s="3431"/>
      <c r="R5" s="3436"/>
      <c r="S5" s="3437"/>
      <c r="T5" s="3436"/>
      <c r="U5" s="3437"/>
      <c r="V5" s="3440"/>
      <c r="W5" s="3440"/>
      <c r="X5" s="1666"/>
      <c r="Y5" s="3436"/>
      <c r="Z5" s="3437"/>
      <c r="AA5" s="3422"/>
      <c r="AB5" s="3422"/>
      <c r="AC5" s="3422"/>
    </row>
    <row r="6" spans="1:29" ht="15.75" thickBot="1">
      <c r="A6" s="1671"/>
      <c r="B6" s="1672"/>
      <c r="C6" s="3445" t="s">
        <v>2256</v>
      </c>
      <c r="D6" s="3446"/>
      <c r="E6" s="3447" t="s">
        <v>2256</v>
      </c>
      <c r="F6" s="3448"/>
      <c r="G6" s="3445" t="s">
        <v>2256</v>
      </c>
      <c r="H6" s="3446"/>
      <c r="I6" s="3445" t="s">
        <v>2256</v>
      </c>
      <c r="J6" s="3446"/>
      <c r="K6" s="1670" t="s">
        <v>2257</v>
      </c>
      <c r="L6" s="2997"/>
      <c r="M6" s="2998"/>
      <c r="N6" s="2998"/>
      <c r="O6" s="2998"/>
      <c r="P6" s="3432"/>
      <c r="Q6" s="3433"/>
      <c r="R6" s="3436"/>
      <c r="S6" s="3437"/>
      <c r="T6" s="3438"/>
      <c r="U6" s="3439"/>
      <c r="V6" s="3440"/>
      <c r="W6" s="3440"/>
      <c r="X6" s="1666"/>
      <c r="Y6" s="3438"/>
      <c r="Z6" s="3439"/>
      <c r="AA6" s="3423"/>
      <c r="AB6" s="3423"/>
      <c r="AC6" s="3423"/>
    </row>
    <row r="7" spans="1:29" s="1685" customFormat="1" ht="15.75" thickBot="1">
      <c r="A7" s="1673" t="s">
        <v>2258</v>
      </c>
      <c r="B7" s="1674"/>
      <c r="C7" s="1675">
        <f>'数据-取费表'!B2</f>
        <v>38705</v>
      </c>
      <c r="D7" s="1676">
        <v>100</v>
      </c>
      <c r="E7" s="1677">
        <f>案例!BJ7</f>
        <v>38418</v>
      </c>
      <c r="F7" s="1678">
        <f>SUMIF(58:58,YEAR(E7)&amp;"-"&amp;MONTH(E7),59:59)</f>
        <v>95.5</v>
      </c>
      <c r="G7" s="1677">
        <f>案例!BJ10</f>
        <v>38470</v>
      </c>
      <c r="H7" s="1676">
        <f>SUMIF(58:58,YEAR(G7)&amp;"-"&amp;MONTH(G7),59:59)</f>
        <v>96</v>
      </c>
      <c r="I7" s="1677">
        <f>案例!BJ15</f>
        <v>38685</v>
      </c>
      <c r="J7" s="1676">
        <f>SUMIF(58:58,YEAR(I7)&amp;"-"&amp;MONTH(I7),59:59)</f>
        <v>99.5</v>
      </c>
      <c r="K7" s="1679"/>
      <c r="L7" s="2997"/>
      <c r="M7" s="2970"/>
      <c r="N7" s="2970"/>
      <c r="O7" s="2970"/>
      <c r="P7" s="3456" t="s">
        <v>2259</v>
      </c>
      <c r="Q7" s="3458"/>
      <c r="R7" s="1681" t="s">
        <v>34</v>
      </c>
      <c r="S7" s="1682">
        <f t="shared" ref="S7:S15" si="0">F7</f>
        <v>95.5</v>
      </c>
      <c r="T7" s="1681" t="s">
        <v>34</v>
      </c>
      <c r="U7" s="1682">
        <f t="shared" ref="U7:U15" si="1">H7</f>
        <v>96</v>
      </c>
      <c r="V7" s="1681" t="s">
        <v>34</v>
      </c>
      <c r="W7" s="1682">
        <f t="shared" ref="W7:W15" si="2">J7</f>
        <v>99.5</v>
      </c>
      <c r="X7" s="1683"/>
      <c r="Y7" s="3456" t="s">
        <v>2259</v>
      </c>
      <c r="Z7" s="3457"/>
      <c r="AA7" s="1684">
        <f>D7/F7</f>
        <v>1.0471204188481675</v>
      </c>
      <c r="AB7" s="1684">
        <f>D7/H7</f>
        <v>1.0416666666666667</v>
      </c>
      <c r="AC7" s="1684">
        <f>D7/J7</f>
        <v>1.0050251256281406</v>
      </c>
    </row>
    <row r="8" spans="1:29" s="1685" customFormat="1" ht="15.75" thickBot="1">
      <c r="A8" s="1673" t="s">
        <v>2260</v>
      </c>
      <c r="B8" s="1674"/>
      <c r="C8" s="1686" t="s">
        <v>2261</v>
      </c>
      <c r="D8" s="1676">
        <v>100</v>
      </c>
      <c r="E8" s="1687" t="s">
        <v>2884</v>
      </c>
      <c r="F8" s="1678">
        <f>SUMIF(61:61,E8,62:62)-SUMIF(61:61,C8,62:62)+100</f>
        <v>100</v>
      </c>
      <c r="G8" s="1686" t="s">
        <v>2884</v>
      </c>
      <c r="H8" s="1676">
        <f>SUMIF(61:61,G8,62:62)-SUMIF(61:61,C8,62:62)+100</f>
        <v>100</v>
      </c>
      <c r="I8" s="1687" t="s">
        <v>2884</v>
      </c>
      <c r="J8" s="1676">
        <f>SUMIF(61:61,I8,62:62)-SUMIF(61:61,C8,62:62)+100</f>
        <v>100</v>
      </c>
      <c r="K8" s="1679"/>
      <c r="L8" s="2997"/>
      <c r="M8" s="2970"/>
      <c r="N8" s="2970"/>
      <c r="O8" s="2970"/>
      <c r="P8" s="3456" t="s">
        <v>2262</v>
      </c>
      <c r="Q8" s="3457"/>
      <c r="R8" s="1681" t="s">
        <v>34</v>
      </c>
      <c r="S8" s="1682">
        <f t="shared" si="0"/>
        <v>100</v>
      </c>
      <c r="T8" s="1681" t="s">
        <v>34</v>
      </c>
      <c r="U8" s="1682">
        <f t="shared" si="1"/>
        <v>100</v>
      </c>
      <c r="V8" s="1681" t="s">
        <v>34</v>
      </c>
      <c r="W8" s="1682">
        <f t="shared" si="2"/>
        <v>100</v>
      </c>
      <c r="X8" s="1683"/>
      <c r="Y8" s="3456" t="s">
        <v>2262</v>
      </c>
      <c r="Z8" s="3457"/>
      <c r="AA8" s="1684">
        <f t="shared" ref="AA8:AA46" si="3">D8/F8</f>
        <v>1</v>
      </c>
      <c r="AB8" s="1684">
        <f t="shared" ref="AB8:AB46" si="4">D8/H8</f>
        <v>1</v>
      </c>
      <c r="AC8" s="1684">
        <f t="shared" ref="AC8:AC46" si="5">D8/J8</f>
        <v>1</v>
      </c>
    </row>
    <row r="9" spans="1:29" s="1685" customFormat="1" ht="15">
      <c r="A9" s="1636" t="s">
        <v>2263</v>
      </c>
      <c r="B9" s="1688" t="s">
        <v>2264</v>
      </c>
      <c r="C9" s="3637" t="s">
        <v>3148</v>
      </c>
      <c r="D9" s="1690">
        <v>100</v>
      </c>
      <c r="E9" s="1691" t="s">
        <v>2889</v>
      </c>
      <c r="F9" s="1692">
        <f>SUMIF(63:63,E9,64:64)-SUMIF(63:63,C9,64:64)+100</f>
        <v>100</v>
      </c>
      <c r="G9" s="1693" t="s">
        <v>2889</v>
      </c>
      <c r="H9" s="1690">
        <f>SUMIF(63:63,G9,64:64)-SUMIF(63:63,C9,64:64)+100</f>
        <v>100</v>
      </c>
      <c r="I9" s="1693" t="s">
        <v>2889</v>
      </c>
      <c r="J9" s="1690">
        <f>SUMIF(63:63,I9,64:64)-SUMIF(63:63,C9,64:64)+100</f>
        <v>100</v>
      </c>
      <c r="K9" s="1679"/>
      <c r="L9" s="2997"/>
      <c r="M9" s="2970"/>
      <c r="N9" s="2970"/>
      <c r="O9" s="2970"/>
      <c r="P9" s="3459" t="s">
        <v>2265</v>
      </c>
      <c r="Q9" s="1635"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29" s="1702" customFormat="1" ht="27">
      <c r="A10" s="1695"/>
      <c r="B10" s="1696" t="s">
        <v>2267</v>
      </c>
      <c r="C10" s="1697" t="s">
        <v>3157</v>
      </c>
      <c r="D10" s="1698">
        <v>100</v>
      </c>
      <c r="E10" s="1699" t="s">
        <v>3157</v>
      </c>
      <c r="F10" s="1700">
        <f>SUMIF(65:65,E10,66:66)-SUMIF(65:65,C10,66:66)+100</f>
        <v>100</v>
      </c>
      <c r="G10" s="1697" t="s">
        <v>3157</v>
      </c>
      <c r="H10" s="1698">
        <f>SUMIF(65:65,G10,66:66)-SUMIF(65:65,C10,66:66)+100</f>
        <v>100</v>
      </c>
      <c r="I10" s="1697" t="s">
        <v>3157</v>
      </c>
      <c r="J10" s="1698">
        <f>SUMIF(65:65,I10,66:66)-SUMIF(65:65,C10,66:66)+100</f>
        <v>100</v>
      </c>
      <c r="K10" s="1701"/>
      <c r="L10" s="2999"/>
      <c r="M10" s="3000"/>
      <c r="N10" s="3000"/>
      <c r="O10" s="3000"/>
      <c r="P10" s="3459"/>
      <c r="Q10" s="1635"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1"/>
      <c r="M11" s="2998"/>
      <c r="N11" s="2998"/>
      <c r="O11" s="2998"/>
      <c r="P11" s="3459"/>
      <c r="Q11" s="1635" t="str">
        <f t="shared" si="6"/>
        <v>容积率</v>
      </c>
      <c r="R11" s="1681" t="s">
        <v>28</v>
      </c>
      <c r="S11" s="1682">
        <f t="shared" si="0"/>
        <v>100</v>
      </c>
      <c r="T11" s="1681" t="s">
        <v>28</v>
      </c>
      <c r="U11" s="1682">
        <f t="shared" si="1"/>
        <v>100</v>
      </c>
      <c r="V11" s="1681" t="s">
        <v>28</v>
      </c>
      <c r="W11" s="1682">
        <f t="shared" si="2"/>
        <v>100</v>
      </c>
      <c r="X11" s="1683"/>
      <c r="Y11" s="3322"/>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9"/>
      <c r="Q12" s="1635">
        <f t="shared" si="6"/>
        <v>111</v>
      </c>
      <c r="R12" s="1681" t="s">
        <v>28</v>
      </c>
      <c r="S12" s="1682">
        <f t="shared" si="0"/>
        <v>100</v>
      </c>
      <c r="T12" s="1681" t="s">
        <v>28</v>
      </c>
      <c r="U12" s="1682">
        <f t="shared" si="1"/>
        <v>100</v>
      </c>
      <c r="V12" s="1681" t="s">
        <v>28</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9"/>
      <c r="Q13" s="1635">
        <f t="shared" si="6"/>
        <v>111</v>
      </c>
      <c r="R13" s="1681" t="s">
        <v>28</v>
      </c>
      <c r="S13" s="1682">
        <f t="shared" si="0"/>
        <v>100</v>
      </c>
      <c r="T13" s="1681" t="s">
        <v>28</v>
      </c>
      <c r="U13" s="1682">
        <f t="shared" si="1"/>
        <v>100</v>
      </c>
      <c r="V13" s="1681" t="s">
        <v>28</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9"/>
      <c r="Q14" s="1635">
        <f t="shared" si="6"/>
        <v>111</v>
      </c>
      <c r="R14" s="1681" t="s">
        <v>28</v>
      </c>
      <c r="S14" s="1682">
        <f t="shared" si="0"/>
        <v>100</v>
      </c>
      <c r="T14" s="1681" t="s">
        <v>28</v>
      </c>
      <c r="U14" s="1682">
        <f t="shared" si="1"/>
        <v>100</v>
      </c>
      <c r="V14" s="1681" t="s">
        <v>28</v>
      </c>
      <c r="W14" s="1682">
        <f t="shared" si="2"/>
        <v>100</v>
      </c>
      <c r="X14" s="1683"/>
      <c r="Y14" s="3322"/>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2" t="s">
        <v>2270</v>
      </c>
      <c r="Q15" s="1616" t="str">
        <f t="shared" si="6"/>
        <v>居住社区成熟度</v>
      </c>
      <c r="R15" s="1726" t="s">
        <v>28</v>
      </c>
      <c r="S15" s="1727">
        <f t="shared" si="0"/>
        <v>100</v>
      </c>
      <c r="T15" s="1726" t="s">
        <v>28</v>
      </c>
      <c r="U15" s="1727">
        <f t="shared" si="1"/>
        <v>100</v>
      </c>
      <c r="V15" s="1726" t="s">
        <v>28</v>
      </c>
      <c r="W15" s="1727">
        <f t="shared" si="2"/>
        <v>100</v>
      </c>
      <c r="X15" s="1666"/>
      <c r="Y15" s="3449"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463"/>
      <c r="Q16" s="1616"/>
      <c r="R16" s="1726"/>
      <c r="S16" s="1727"/>
      <c r="T16" s="1726"/>
      <c r="U16" s="1727"/>
      <c r="V16" s="1726"/>
      <c r="W16" s="1727"/>
      <c r="X16" s="1666"/>
      <c r="Y16" s="3450"/>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3"/>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t="s">
        <v>31</v>
      </c>
      <c r="D18" s="1736"/>
      <c r="E18" s="1746" t="s">
        <v>31</v>
      </c>
      <c r="F18" s="1741"/>
      <c r="G18" s="1747" t="s">
        <v>31</v>
      </c>
      <c r="H18" s="1732"/>
      <c r="I18" s="1746" t="s">
        <v>31</v>
      </c>
      <c r="J18" s="1732"/>
      <c r="K18" s="1737"/>
      <c r="L18" s="3002"/>
      <c r="M18" s="2998"/>
      <c r="N18" s="2998"/>
      <c r="O18" s="2998"/>
      <c r="P18" s="3463"/>
      <c r="Q18" s="1616"/>
      <c r="R18" s="1726"/>
      <c r="S18" s="1727"/>
      <c r="T18" s="1726"/>
      <c r="U18" s="1727"/>
      <c r="V18" s="1726"/>
      <c r="W18" s="1727"/>
      <c r="X18" s="1666"/>
      <c r="Y18" s="3450"/>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3"/>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t="s">
        <v>31</v>
      </c>
      <c r="D20" s="1732"/>
      <c r="E20" s="1733" t="s">
        <v>31</v>
      </c>
      <c r="F20" s="1734"/>
      <c r="G20" s="1735" t="s">
        <v>31</v>
      </c>
      <c r="H20" s="1732"/>
      <c r="I20" s="1733" t="s">
        <v>31</v>
      </c>
      <c r="J20" s="1732"/>
      <c r="K20" s="1737"/>
      <c r="L20" s="3002"/>
      <c r="M20" s="2998"/>
      <c r="N20" s="2998"/>
      <c r="O20" s="2998"/>
      <c r="P20" s="3463"/>
      <c r="Q20" s="1616"/>
      <c r="R20" s="1726"/>
      <c r="S20" s="1727"/>
      <c r="T20" s="1726"/>
      <c r="U20" s="1727"/>
      <c r="V20" s="1726"/>
      <c r="W20" s="1727"/>
      <c r="X20" s="1666"/>
      <c r="Y20" s="3450"/>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3"/>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t="s">
        <v>3158</v>
      </c>
      <c r="D22" s="1732"/>
      <c r="E22" s="1731" t="s">
        <v>3158</v>
      </c>
      <c r="F22" s="1734"/>
      <c r="G22" s="1731" t="s">
        <v>3158</v>
      </c>
      <c r="H22" s="1732"/>
      <c r="I22" s="1731" t="s">
        <v>3158</v>
      </c>
      <c r="J22" s="1732"/>
      <c r="K22" s="1752"/>
      <c r="L22" s="3002"/>
      <c r="M22" s="2998"/>
      <c r="N22" s="2998"/>
      <c r="O22" s="2998"/>
      <c r="P22" s="3463"/>
      <c r="Q22" s="1616"/>
      <c r="R22" s="1726"/>
      <c r="S22" s="1727"/>
      <c r="T22" s="1726"/>
      <c r="U22" s="1727"/>
      <c r="V22" s="1726"/>
      <c r="W22" s="1727"/>
      <c r="X22" s="1666"/>
      <c r="Y22" s="3450"/>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3"/>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463"/>
      <c r="Q24" s="1616"/>
      <c r="R24" s="1726"/>
      <c r="S24" s="1727"/>
      <c r="T24" s="1726"/>
      <c r="U24" s="1727"/>
      <c r="V24" s="1726"/>
      <c r="W24" s="1727"/>
      <c r="X24" s="1666"/>
      <c r="Y24" s="3450"/>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3"/>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
      <c r="A26" s="1703"/>
      <c r="B26" s="1696" t="s">
        <v>2272</v>
      </c>
      <c r="C26" s="1753" t="s">
        <v>3154</v>
      </c>
      <c r="D26" s="1712">
        <v>100</v>
      </c>
      <c r="E26" s="1754" t="s">
        <v>3154</v>
      </c>
      <c r="F26" s="1755">
        <f>SUMIF(88:88,E26,89:89)-SUMIF(88:88,C26,89:89)+100</f>
        <v>100</v>
      </c>
      <c r="G26" s="1756" t="s">
        <v>3154</v>
      </c>
      <c r="H26" s="1712">
        <f>SUMIF(88:88,G26,89:89)-SUMIF(88:88,C26,89:89)+100</f>
        <v>100</v>
      </c>
      <c r="I26" s="1754" t="s">
        <v>3154</v>
      </c>
      <c r="J26" s="1712">
        <f>SUMIF(88:88,I26,89:89)-SUMIF(88:88,C26,89:89)+100</f>
        <v>100</v>
      </c>
      <c r="K26" s="1701">
        <v>2</v>
      </c>
      <c r="L26" s="3002"/>
      <c r="M26" s="2998"/>
      <c r="N26" s="2998"/>
      <c r="O26" s="2998"/>
      <c r="P26" s="3463"/>
      <c r="Q26" s="1616" t="str">
        <f t="shared" si="11"/>
        <v>朝向</v>
      </c>
      <c r="R26" s="1726" t="s">
        <v>28</v>
      </c>
      <c r="S26" s="1727">
        <f>F26</f>
        <v>100</v>
      </c>
      <c r="T26" s="1726" t="s">
        <v>28</v>
      </c>
      <c r="U26" s="1727">
        <f>H26</f>
        <v>100</v>
      </c>
      <c r="V26" s="1726" t="s">
        <v>28</v>
      </c>
      <c r="W26" s="1727">
        <f>J26</f>
        <v>100</v>
      </c>
      <c r="X26" s="1666"/>
      <c r="Y26" s="3450"/>
      <c r="Z26" s="1728" t="str">
        <f>Q26</f>
        <v>朝向</v>
      </c>
      <c r="AA26" s="1729">
        <f t="shared" si="3"/>
        <v>1</v>
      </c>
      <c r="AB26" s="1729">
        <f t="shared" si="4"/>
        <v>1</v>
      </c>
      <c r="AC26" s="1729">
        <f t="shared" si="5"/>
        <v>1</v>
      </c>
    </row>
    <row r="27" spans="1:29" s="1685" customFormat="1" ht="15">
      <c r="A27" s="1706"/>
      <c r="B27" s="1707" t="s">
        <v>2273</v>
      </c>
      <c r="C27" s="3678" t="s">
        <v>3159</v>
      </c>
      <c r="D27" s="1757">
        <v>100</v>
      </c>
      <c r="E27" s="2491" t="str">
        <f>C27</f>
        <v>次干道</v>
      </c>
      <c r="F27" s="1759">
        <f>SUMIF(90:90,E27,91:91)-SUMIF(90:90,C27,91:91)+100</f>
        <v>100</v>
      </c>
      <c r="G27" s="1708" t="str">
        <f>C27</f>
        <v>次干道</v>
      </c>
      <c r="H27" s="1757">
        <f>SUMIF(90:90,G27,91:91)-SUMIF(90:90,C27,91:91)+100</f>
        <v>100</v>
      </c>
      <c r="I27" s="2491" t="str">
        <f>C27</f>
        <v>次干道</v>
      </c>
      <c r="J27" s="1757">
        <f>SUMIF(90:90,I27,91:91)-SUMIF(90:90,C27,91:91)+100</f>
        <v>100</v>
      </c>
      <c r="K27" s="1710"/>
      <c r="L27" s="2997"/>
      <c r="M27" s="2970"/>
      <c r="N27" s="2970"/>
      <c r="O27" s="2970"/>
      <c r="P27" s="3463"/>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15">
      <c r="A28" s="1703"/>
      <c r="B28" s="3679" t="s">
        <v>3160</v>
      </c>
      <c r="C28" s="1711" t="s">
        <v>3162</v>
      </c>
      <c r="D28" s="1712">
        <v>100</v>
      </c>
      <c r="E28" s="1711" t="s">
        <v>3166</v>
      </c>
      <c r="F28" s="1755">
        <f>SUMIF(92:92,E28,93:93)-SUMIF(92:92,C28,93:93)+100</f>
        <v>101</v>
      </c>
      <c r="G28" s="1711" t="s">
        <v>3167</v>
      </c>
      <c r="H28" s="1712">
        <f>SUMIF(92:92,G28,93:93)-SUMIF(92:92,C28,93:93)+100</f>
        <v>100</v>
      </c>
      <c r="I28" s="1711" t="s">
        <v>3168</v>
      </c>
      <c r="J28" s="1712">
        <f>SUMIF(92:92,I28,93:93)-SUMIF(92:92,C28,93:93)+100</f>
        <v>101</v>
      </c>
      <c r="K28" s="1710"/>
      <c r="L28" s="3002"/>
      <c r="M28" s="2998"/>
      <c r="N28" s="2998"/>
      <c r="O28" s="2998"/>
      <c r="P28" s="3463"/>
      <c r="Q28" s="1616" t="str">
        <f t="shared" si="11"/>
        <v>楼层</v>
      </c>
      <c r="R28" s="1726" t="s">
        <v>28</v>
      </c>
      <c r="S28" s="1727">
        <f t="shared" ref="S28:S46" si="12">F28</f>
        <v>101</v>
      </c>
      <c r="T28" s="1726" t="s">
        <v>28</v>
      </c>
      <c r="U28" s="1727">
        <f t="shared" ref="U28:U46" si="13">H28</f>
        <v>100</v>
      </c>
      <c r="V28" s="1726" t="s">
        <v>28</v>
      </c>
      <c r="W28" s="1727">
        <f t="shared" ref="W28:W46" si="14">J28</f>
        <v>101</v>
      </c>
      <c r="X28" s="1666"/>
      <c r="Y28" s="3450"/>
      <c r="Z28" s="1728" t="str">
        <f t="shared" ref="Z28:Z46" si="15">Q28</f>
        <v>楼层</v>
      </c>
      <c r="AA28" s="1729">
        <f t="shared" si="3"/>
        <v>0.99009900990099009</v>
      </c>
      <c r="AB28" s="1729">
        <f t="shared" si="4"/>
        <v>1</v>
      </c>
      <c r="AC28" s="1729">
        <f t="shared" si="5"/>
        <v>0.99009900990099009</v>
      </c>
    </row>
    <row r="29" spans="1:29" ht="15">
      <c r="A29" s="1703"/>
      <c r="B29" s="3679" t="s">
        <v>3182</v>
      </c>
      <c r="C29" s="1711" t="s">
        <v>3183</v>
      </c>
      <c r="D29" s="1712">
        <v>100</v>
      </c>
      <c r="E29" s="1711" t="str">
        <f>案例!B7</f>
        <v>1996年</v>
      </c>
      <c r="F29" s="1755">
        <f>SUMIF(94:94,E29,95:95)-SUMIF(94:94,C29,95:95)+100</f>
        <v>100</v>
      </c>
      <c r="G29" s="1711" t="str">
        <f>案例!B10</f>
        <v>1992年</v>
      </c>
      <c r="H29" s="1712">
        <f>SUMIF(94:94,G29,95:95)-SUMIF(94:94,C29,95:95)+100</f>
        <v>100</v>
      </c>
      <c r="I29" s="1711" t="str">
        <f>案例!B15</f>
        <v>1996年</v>
      </c>
      <c r="J29" s="1712">
        <f>SUMIF(94:94,I29,95:95)-SUMIF(94:94,C29,95:95)+100</f>
        <v>100</v>
      </c>
      <c r="K29" s="1710"/>
      <c r="L29" s="3002"/>
      <c r="M29" s="2998"/>
      <c r="N29" s="2998"/>
      <c r="O29" s="2998"/>
      <c r="P29" s="3463"/>
      <c r="Q29" s="1616" t="str">
        <f t="shared" si="11"/>
        <v>建成年代</v>
      </c>
      <c r="R29" s="1726" t="s">
        <v>28</v>
      </c>
      <c r="S29" s="1727">
        <f t="shared" si="12"/>
        <v>100</v>
      </c>
      <c r="T29" s="1726" t="s">
        <v>28</v>
      </c>
      <c r="U29" s="1727">
        <f t="shared" si="13"/>
        <v>100</v>
      </c>
      <c r="V29" s="1726" t="s">
        <v>28</v>
      </c>
      <c r="W29" s="1727">
        <f t="shared" si="14"/>
        <v>100</v>
      </c>
      <c r="X29" s="1666"/>
      <c r="Y29" s="3450"/>
      <c r="Z29" s="1728" t="str">
        <f t="shared" si="15"/>
        <v>建成年代</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3"/>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3"/>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2274</v>
      </c>
      <c r="B32" s="1688" t="s">
        <v>2275</v>
      </c>
      <c r="C32" s="1762" t="s">
        <v>3173</v>
      </c>
      <c r="D32" s="1763">
        <v>100</v>
      </c>
      <c r="E32" s="1764" t="s">
        <v>3173</v>
      </c>
      <c r="F32" s="1755">
        <f>SUMIF(100:100,E32,101:101)-SUMIF(100:100,C32,101:101)+100</f>
        <v>100</v>
      </c>
      <c r="G32" s="1762" t="s">
        <v>3173</v>
      </c>
      <c r="H32" s="1763">
        <f>SUMIF(100:100,G32,101:101)-SUMIF(100:100,C32,101:101)+100</f>
        <v>100</v>
      </c>
      <c r="I32" s="1764" t="s">
        <v>3173</v>
      </c>
      <c r="J32" s="1712">
        <f>SUMIF(100:100,I32,101:101)-SUMIF(100:100,C32,101:101)+100</f>
        <v>100</v>
      </c>
      <c r="K32" s="1701"/>
      <c r="L32" s="3002"/>
      <c r="M32" s="2998"/>
      <c r="N32" s="2998"/>
      <c r="O32" s="2998"/>
      <c r="P32" s="3451" t="s">
        <v>2276</v>
      </c>
      <c r="Q32" s="1616" t="str">
        <f t="shared" si="11"/>
        <v>建筑类型</v>
      </c>
      <c r="R32" s="1726" t="s">
        <v>28</v>
      </c>
      <c r="S32" s="1727">
        <f t="shared" si="12"/>
        <v>100</v>
      </c>
      <c r="T32" s="1726" t="s">
        <v>28</v>
      </c>
      <c r="U32" s="1727">
        <f t="shared" si="13"/>
        <v>100</v>
      </c>
      <c r="V32" s="1726" t="s">
        <v>28</v>
      </c>
      <c r="W32" s="1727">
        <f t="shared" si="14"/>
        <v>100</v>
      </c>
      <c r="X32" s="1666"/>
      <c r="Y32" s="3454" t="s">
        <v>2276</v>
      </c>
      <c r="Z32" s="1728" t="str">
        <f t="shared" si="15"/>
        <v>建筑类型</v>
      </c>
      <c r="AA32" s="1729">
        <f t="shared" si="3"/>
        <v>1</v>
      </c>
      <c r="AB32" s="1729">
        <f t="shared" si="4"/>
        <v>1</v>
      </c>
      <c r="AC32" s="1729">
        <f t="shared" si="5"/>
        <v>1</v>
      </c>
    </row>
    <row r="33" spans="1:29" s="1772" customFormat="1" ht="15">
      <c r="A33" s="1765"/>
      <c r="B33" s="1696" t="s">
        <v>2277</v>
      </c>
      <c r="C33" s="1766">
        <v>110.82</v>
      </c>
      <c r="D33" s="1698">
        <v>100</v>
      </c>
      <c r="E33" s="1705">
        <f>案例!O7</f>
        <v>60.19</v>
      </c>
      <c r="F33" s="1700">
        <f>LOOKUP(E33,103:103,104:104)-LOOKUP(C33,103:103,104:104)+100</f>
        <v>102</v>
      </c>
      <c r="G33" s="1704">
        <f>案例!O10</f>
        <v>62.62</v>
      </c>
      <c r="H33" s="1698">
        <f>LOOKUP(G33,103:103,104:104)-LOOKUP(C33,103:103,104:104)+100</f>
        <v>102</v>
      </c>
      <c r="I33" s="1705">
        <f>案例!O15</f>
        <v>109.48</v>
      </c>
      <c r="J33" s="1698">
        <f>LOOKUP(I33,103:103,104:104)-LOOKUP(C33,103:103,104:104)+100</f>
        <v>100</v>
      </c>
      <c r="K33" s="1710"/>
      <c r="L33" s="3001"/>
      <c r="M33" s="2060"/>
      <c r="N33" s="2060"/>
      <c r="O33" s="2060"/>
      <c r="P33" s="3452"/>
      <c r="Q33" s="1767" t="str">
        <f t="shared" si="11"/>
        <v>项目建筑规模</v>
      </c>
      <c r="R33" s="1768" t="s">
        <v>28</v>
      </c>
      <c r="S33" s="1769">
        <f t="shared" si="12"/>
        <v>102</v>
      </c>
      <c r="T33" s="1768" t="s">
        <v>28</v>
      </c>
      <c r="U33" s="1769">
        <f t="shared" si="13"/>
        <v>102</v>
      </c>
      <c r="V33" s="1768" t="s">
        <v>28</v>
      </c>
      <c r="W33" s="1769">
        <f t="shared" si="14"/>
        <v>100</v>
      </c>
      <c r="X33" s="1770"/>
      <c r="Y33" s="3454"/>
      <c r="Z33" s="1771" t="str">
        <f t="shared" si="15"/>
        <v>项目建筑规模</v>
      </c>
      <c r="AA33" s="1729">
        <f t="shared" si="3"/>
        <v>0.98039215686274506</v>
      </c>
      <c r="AB33" s="1729">
        <f t="shared" si="4"/>
        <v>0.98039215686274506</v>
      </c>
      <c r="AC33" s="1729">
        <f t="shared" si="5"/>
        <v>1</v>
      </c>
    </row>
    <row r="34" spans="1:29" ht="15">
      <c r="A34" s="1773"/>
      <c r="B34" s="1696" t="s">
        <v>2278</v>
      </c>
      <c r="C34" s="1774" t="s">
        <v>3175</v>
      </c>
      <c r="D34" s="1712">
        <v>100</v>
      </c>
      <c r="E34" s="1775" t="s">
        <v>3175</v>
      </c>
      <c r="F34" s="1755">
        <f>SUMIF(105:105,E34,106:106)-SUMIF(105:105,C34,106:106)+100</f>
        <v>100</v>
      </c>
      <c r="G34" s="1774" t="s">
        <v>3175</v>
      </c>
      <c r="H34" s="1712">
        <f>SUMIF(105:105,G34,106:106)-SUMIF(105:105,C34,106:106)+100</f>
        <v>100</v>
      </c>
      <c r="I34" s="1775" t="s">
        <v>3175</v>
      </c>
      <c r="J34" s="1712">
        <f>SUMIF(105:105,I34,106:106)-SUMIF(105:105,C34,106:106)+100</f>
        <v>100</v>
      </c>
      <c r="K34" s="1701"/>
      <c r="L34" s="3002"/>
      <c r="M34" s="2998"/>
      <c r="N34" s="2998"/>
      <c r="O34" s="2998"/>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2280</v>
      </c>
      <c r="C36" s="1756" t="s">
        <v>3177</v>
      </c>
      <c r="D36" s="1712">
        <v>100</v>
      </c>
      <c r="E36" s="1754" t="s">
        <v>3177</v>
      </c>
      <c r="F36" s="1755">
        <f>SUMIF(109:109,E36,110:110)-SUMIF(109:109,C36,110:110)+100</f>
        <v>100</v>
      </c>
      <c r="G36" s="1756" t="s">
        <v>3177</v>
      </c>
      <c r="H36" s="1712">
        <f>SUMIF(109:109,G36,110:110)-SUMIF(109:109,C36,110:110)+100</f>
        <v>100</v>
      </c>
      <c r="I36" s="1754" t="s">
        <v>3177</v>
      </c>
      <c r="J36" s="1712">
        <f>SUMIF(109:109,I36,110:110)-SUMIF(109:109,C36,110:110)+100</f>
        <v>100</v>
      </c>
      <c r="K36" s="1701"/>
      <c r="L36" s="3002"/>
      <c r="M36" s="2998"/>
      <c r="N36" s="2998"/>
      <c r="O36" s="2998"/>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c r="A37" s="1776"/>
      <c r="B37" s="1696" t="s">
        <v>2281</v>
      </c>
      <c r="C37" s="1777">
        <v>0.93</v>
      </c>
      <c r="D37" s="1698">
        <v>100</v>
      </c>
      <c r="E37" s="1778">
        <v>0.85</v>
      </c>
      <c r="F37" s="1700">
        <f>LOOKUP(E37,112:112,113:113)-LOOKUP(C37,112:112,113:113)+100</f>
        <v>99</v>
      </c>
      <c r="G37" s="1779">
        <v>0.85</v>
      </c>
      <c r="H37" s="1698">
        <f>LOOKUP(G37,112:112,113:113)-LOOKUP(C37,112:112,113:113)+100</f>
        <v>99</v>
      </c>
      <c r="I37" s="1778">
        <v>0.85</v>
      </c>
      <c r="J37" s="1698">
        <f>LOOKUP(I37,112:112,113:113)-LOOKUP(C37,112:112,113:113)+100</f>
        <v>99</v>
      </c>
      <c r="K37" s="1701">
        <v>1</v>
      </c>
      <c r="L37" s="2997"/>
      <c r="M37" s="2970"/>
      <c r="N37" s="2970"/>
      <c r="O37" s="2970"/>
      <c r="P37" s="3452"/>
      <c r="Q37" s="1635" t="str">
        <f t="shared" si="11"/>
        <v>成新度</v>
      </c>
      <c r="R37" s="1681" t="s">
        <v>28</v>
      </c>
      <c r="S37" s="1682">
        <f t="shared" si="12"/>
        <v>99</v>
      </c>
      <c r="T37" s="1681" t="s">
        <v>28</v>
      </c>
      <c r="U37" s="1682">
        <f t="shared" si="13"/>
        <v>99</v>
      </c>
      <c r="V37" s="1681" t="s">
        <v>28</v>
      </c>
      <c r="W37" s="1682">
        <f t="shared" si="14"/>
        <v>99</v>
      </c>
      <c r="X37" s="1683"/>
      <c r="Y37" s="3454"/>
      <c r="Z37" s="1694" t="str">
        <f t="shared" si="15"/>
        <v>成新度</v>
      </c>
      <c r="AA37" s="1684">
        <f t="shared" si="3"/>
        <v>1.0101010101010102</v>
      </c>
      <c r="AB37" s="1684">
        <f t="shared" si="4"/>
        <v>1.0101010101010102</v>
      </c>
      <c r="AC37" s="1684">
        <f t="shared" si="5"/>
        <v>1.0101010101010102</v>
      </c>
    </row>
    <row r="38" spans="1:29" ht="15">
      <c r="A38" s="1773"/>
      <c r="B38" s="1696" t="s">
        <v>2282</v>
      </c>
      <c r="C38" s="1756" t="s">
        <v>3179</v>
      </c>
      <c r="D38" s="1712">
        <v>100</v>
      </c>
      <c r="E38" s="1754" t="s">
        <v>3179</v>
      </c>
      <c r="F38" s="1755">
        <f>SUMIF(114:114,E38,115:115)-SUMIF(114:114,C38,115:115)+100</f>
        <v>100</v>
      </c>
      <c r="G38" s="1756" t="s">
        <v>3179</v>
      </c>
      <c r="H38" s="1712">
        <f>SUMIF(114:114,G38,115:115)-SUMIF(114:114,C38,115:115)+100</f>
        <v>100</v>
      </c>
      <c r="I38" s="1754" t="s">
        <v>3179</v>
      </c>
      <c r="J38" s="1712">
        <f>SUMIF(114:114,I38,115:115)-SUMIF(114:114,C38,115:115)+100</f>
        <v>100</v>
      </c>
      <c r="K38" s="1701"/>
      <c r="L38" s="3002"/>
      <c r="M38" s="2998"/>
      <c r="N38" s="2998"/>
      <c r="O38" s="2998"/>
      <c r="P38" s="3452" t="s">
        <v>2276</v>
      </c>
      <c r="Q38" s="1616" t="str">
        <f t="shared" si="11"/>
        <v>物业管理</v>
      </c>
      <c r="R38" s="1726" t="s">
        <v>28</v>
      </c>
      <c r="S38" s="1727">
        <f t="shared" si="12"/>
        <v>100</v>
      </c>
      <c r="T38" s="1726" t="s">
        <v>28</v>
      </c>
      <c r="U38" s="1727">
        <f t="shared" si="13"/>
        <v>100</v>
      </c>
      <c r="V38" s="1726" t="s">
        <v>28</v>
      </c>
      <c r="W38" s="1727">
        <f t="shared" si="14"/>
        <v>100</v>
      </c>
      <c r="X38" s="1666"/>
      <c r="Y38" s="3454" t="s">
        <v>2276</v>
      </c>
      <c r="Z38" s="1728" t="str">
        <f t="shared" si="15"/>
        <v>物业管理</v>
      </c>
      <c r="AA38" s="1729">
        <f t="shared" si="3"/>
        <v>1</v>
      </c>
      <c r="AB38" s="1729">
        <f t="shared" si="4"/>
        <v>1</v>
      </c>
      <c r="AC38" s="1729">
        <f t="shared" si="5"/>
        <v>1</v>
      </c>
    </row>
    <row r="39" spans="1:29" ht="15">
      <c r="A39" s="1773"/>
      <c r="B39" s="1696" t="s">
        <v>2283</v>
      </c>
      <c r="C39" s="1756" t="s">
        <v>3158</v>
      </c>
      <c r="D39" s="1712">
        <v>100</v>
      </c>
      <c r="E39" s="1754" t="s">
        <v>3158</v>
      </c>
      <c r="F39" s="1755">
        <f>SUMIF(116:116,E39,117:117)-SUMIF(116:116,C39,117:117)+100</f>
        <v>100</v>
      </c>
      <c r="G39" s="1756" t="s">
        <v>3158</v>
      </c>
      <c r="H39" s="1712">
        <f>SUMIF(116:116,G39,117:117)-SUMIF(116:116,C39,117:117)+100</f>
        <v>100</v>
      </c>
      <c r="I39" s="1754" t="s">
        <v>3158</v>
      </c>
      <c r="J39" s="1712">
        <f>SUMIF(116:116,I39,117:117)-SUMIF(116:116,C39,117:117)+100</f>
        <v>100</v>
      </c>
      <c r="K39" s="1701"/>
      <c r="L39" s="3002"/>
      <c r="M39" s="2998"/>
      <c r="N39" s="2998"/>
      <c r="O39" s="2998"/>
      <c r="P39" s="3452"/>
      <c r="Q39" s="1616" t="str">
        <f t="shared" si="11"/>
        <v>市政基础设施</v>
      </c>
      <c r="R39" s="1726" t="s">
        <v>28</v>
      </c>
      <c r="S39" s="1727">
        <f t="shared" si="12"/>
        <v>100</v>
      </c>
      <c r="T39" s="1726" t="s">
        <v>28</v>
      </c>
      <c r="U39" s="1727">
        <f t="shared" si="13"/>
        <v>100</v>
      </c>
      <c r="V39" s="1726" t="s">
        <v>28</v>
      </c>
      <c r="W39" s="1727">
        <f t="shared" si="14"/>
        <v>100</v>
      </c>
      <c r="X39" s="1666"/>
      <c r="Y39" s="3454"/>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2"/>
      <c r="Q40" s="1616" t="str">
        <f t="shared" si="11"/>
        <v>房型</v>
      </c>
      <c r="R40" s="1726" t="s">
        <v>28</v>
      </c>
      <c r="S40" s="1727">
        <f t="shared" si="12"/>
        <v>100</v>
      </c>
      <c r="T40" s="1726" t="s">
        <v>28</v>
      </c>
      <c r="U40" s="1727">
        <f t="shared" si="13"/>
        <v>100</v>
      </c>
      <c r="V40" s="1726" t="s">
        <v>28</v>
      </c>
      <c r="W40" s="1727">
        <f t="shared" si="14"/>
        <v>100</v>
      </c>
      <c r="X40" s="1666"/>
      <c r="Y40" s="3454"/>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2286</v>
      </c>
      <c r="C42" s="1756" t="s">
        <v>3177</v>
      </c>
      <c r="D42" s="1712">
        <v>100</v>
      </c>
      <c r="E42" s="1754" t="s">
        <v>3177</v>
      </c>
      <c r="F42" s="1755">
        <f>SUMIF(122:122,E42,123:123)-SUMIF(122:122,C42,123:123)+100</f>
        <v>100</v>
      </c>
      <c r="G42" s="1756" t="s">
        <v>3177</v>
      </c>
      <c r="H42" s="1712">
        <f>SUMIF(122:122,G42,123:123)-SUMIF(122:122,C42,123:123)+100</f>
        <v>100</v>
      </c>
      <c r="I42" s="1754" t="s">
        <v>3177</v>
      </c>
      <c r="J42" s="1712">
        <f>SUMIF(122:122,I42,123:123)-SUMIF(122:122,C42,123:123)+100</f>
        <v>100</v>
      </c>
      <c r="K42" s="1701"/>
      <c r="L42" s="3002"/>
      <c r="M42" s="2998"/>
      <c r="N42" s="2998"/>
      <c r="O42" s="2998"/>
      <c r="P42" s="3452"/>
      <c r="Q42" s="1616" t="str">
        <f t="shared" si="11"/>
        <v>内部装修</v>
      </c>
      <c r="R42" s="1726" t="s">
        <v>28</v>
      </c>
      <c r="S42" s="1727">
        <f t="shared" si="12"/>
        <v>100</v>
      </c>
      <c r="T42" s="1726" t="s">
        <v>28</v>
      </c>
      <c r="U42" s="1727">
        <f t="shared" si="13"/>
        <v>100</v>
      </c>
      <c r="V42" s="1726" t="s">
        <v>28</v>
      </c>
      <c r="W42" s="1727">
        <f t="shared" si="14"/>
        <v>100</v>
      </c>
      <c r="X42" s="1666"/>
      <c r="Y42" s="3454"/>
      <c r="Z42" s="1728" t="str">
        <f t="shared" si="15"/>
        <v>内部装修</v>
      </c>
      <c r="AA42" s="1729">
        <f t="shared" si="3"/>
        <v>1</v>
      </c>
      <c r="AB42" s="1729">
        <f t="shared" si="4"/>
        <v>1</v>
      </c>
      <c r="AC42" s="1729">
        <f t="shared" si="5"/>
        <v>1</v>
      </c>
    </row>
    <row r="43" spans="1:29" ht="15">
      <c r="A43" s="1773"/>
      <c r="B43" s="1696" t="s">
        <v>2287</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2"/>
      <c r="M43" s="2998"/>
      <c r="N43" s="2998"/>
      <c r="O43" s="2998"/>
      <c r="P43" s="3452"/>
      <c r="Q43" s="1616" t="str">
        <f t="shared" si="11"/>
        <v>内部装修维护情况</v>
      </c>
      <c r="R43" s="1726" t="s">
        <v>28</v>
      </c>
      <c r="S43" s="1727">
        <f t="shared" si="12"/>
        <v>100</v>
      </c>
      <c r="T43" s="1726" t="s">
        <v>28</v>
      </c>
      <c r="U43" s="1727">
        <f t="shared" si="13"/>
        <v>100</v>
      </c>
      <c r="V43" s="1726" t="s">
        <v>28</v>
      </c>
      <c r="W43" s="1727">
        <f t="shared" si="14"/>
        <v>100</v>
      </c>
      <c r="X43" s="1666"/>
      <c r="Y43" s="3454"/>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2"/>
      <c r="Q44" s="1635">
        <f t="shared" si="11"/>
        <v>111</v>
      </c>
      <c r="R44" s="1681" t="s">
        <v>28</v>
      </c>
      <c r="S44" s="1682">
        <f t="shared" si="12"/>
        <v>100</v>
      </c>
      <c r="T44" s="1681" t="s">
        <v>28</v>
      </c>
      <c r="U44" s="1682">
        <f t="shared" si="13"/>
        <v>100</v>
      </c>
      <c r="V44" s="1681" t="s">
        <v>28</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2288</v>
      </c>
      <c r="B47" s="1783"/>
      <c r="C47" s="1784" t="s">
        <v>26</v>
      </c>
      <c r="D47" s="1785"/>
      <c r="E47" s="1786">
        <f>案例!X7</f>
        <v>2819</v>
      </c>
      <c r="F47" s="1787"/>
      <c r="G47" s="1788">
        <f>案例!X10</f>
        <v>2824</v>
      </c>
      <c r="H47" s="1789"/>
      <c r="I47" s="1786">
        <f>案例!X15</f>
        <v>2600</v>
      </c>
      <c r="J47" s="1789"/>
      <c r="K47" s="1790"/>
      <c r="L47" s="3003"/>
      <c r="N47" s="2998"/>
      <c r="P47" s="3460" t="str">
        <f>A47</f>
        <v>成交单价（元/平方米）</v>
      </c>
      <c r="Q47" s="3460"/>
      <c r="R47" s="3461">
        <f>E47</f>
        <v>2819</v>
      </c>
      <c r="S47" s="3461"/>
      <c r="T47" s="3461">
        <f>G47</f>
        <v>2824</v>
      </c>
      <c r="U47" s="3461"/>
      <c r="V47" s="3461">
        <f>I47</f>
        <v>2600</v>
      </c>
      <c r="W47" s="3461"/>
      <c r="X47" s="1792"/>
      <c r="Y47" s="1793"/>
      <c r="Z47" s="1792"/>
      <c r="AA47" s="1792"/>
      <c r="AB47" s="1792"/>
      <c r="AC47" s="1792"/>
    </row>
    <row r="48" spans="1:29" ht="15.75" thickBot="1">
      <c r="A48" s="1794" t="s">
        <v>2289</v>
      </c>
      <c r="B48" s="1795"/>
      <c r="C48" s="1796">
        <f>R49</f>
        <v>2807</v>
      </c>
      <c r="D48" s="1797" t="s">
        <v>2745</v>
      </c>
      <c r="E48" s="1798">
        <f>R48</f>
        <v>2894</v>
      </c>
      <c r="F48" s="1799"/>
      <c r="G48" s="1796">
        <f>T48</f>
        <v>2913</v>
      </c>
      <c r="H48" s="1799"/>
      <c r="I48" s="1798">
        <f>V48</f>
        <v>2613</v>
      </c>
      <c r="J48" s="1799"/>
      <c r="K48" s="2512">
        <f>F48+H48+J48</f>
        <v>0</v>
      </c>
      <c r="L48" s="3003"/>
      <c r="P48" s="3460" t="str">
        <f>A48</f>
        <v>比较价值（元/平方米）</v>
      </c>
      <c r="Q48" s="3460"/>
      <c r="R48" s="3461">
        <f>IF(E1="售价",ROUND(PRODUCT(R47,AA7:AA46),0),ROUND(PRODUCT(R47,AA7:AA46),1))</f>
        <v>2894</v>
      </c>
      <c r="S48" s="3461"/>
      <c r="T48" s="3464">
        <f>IF(E1="售价",ROUND(PRODUCT(T47,AB7:AB46),0),ROUND(PRODUCT(T47,AB7:AB46),1))</f>
        <v>2913</v>
      </c>
      <c r="U48" s="3465"/>
      <c r="V48" s="3461">
        <f>IF(E1="售价",ROUND(PRODUCT(V47,AC7:AC46),0),ROUND(PRODUCT(V47,AC7:AC46),1))</f>
        <v>2613</v>
      </c>
      <c r="W48" s="3461"/>
      <c r="X48" s="1792"/>
      <c r="Y48" s="1792"/>
      <c r="Z48" s="1792"/>
      <c r="AA48" s="1792"/>
      <c r="AB48" s="1792"/>
      <c r="AC48" s="1792"/>
    </row>
    <row r="49" spans="1:29" ht="15.75" thickBot="1">
      <c r="A49" s="1800" t="s">
        <v>2290</v>
      </c>
      <c r="B49" s="1801"/>
      <c r="C49" s="1802">
        <f>R49</f>
        <v>2807</v>
      </c>
      <c r="D49" s="1803"/>
      <c r="E49" s="1803"/>
      <c r="F49" s="1803"/>
      <c r="G49" s="1803"/>
      <c r="H49" s="1803"/>
      <c r="I49" s="1803"/>
      <c r="J49" s="1803"/>
      <c r="K49" s="1804"/>
      <c r="L49" s="3003"/>
      <c r="P49" s="3466" t="str">
        <f>A49</f>
        <v>估价对象XX用房的比较价值（楼面单价，元/平方米）</v>
      </c>
      <c r="Q49" s="3467"/>
      <c r="R49" s="3468">
        <f>IF(E1="售价",ROUND(IF(D48="简单平均",AVERAGE(R48:V48),R48*F48+T48*H48+V48*J48),0),ROUND(IF(D48="简单平均",AVERAGE(R48:V48),R48*F48+T48*H48+V48*J48),1))</f>
        <v>2807</v>
      </c>
      <c r="S49" s="3468"/>
      <c r="T49" s="3468"/>
      <c r="U49" s="3468"/>
      <c r="V49" s="3468"/>
      <c r="W49" s="3468"/>
      <c r="X49" s="1792"/>
      <c r="Y49" s="1792"/>
      <c r="Z49" s="1792"/>
      <c r="AA49" s="1792"/>
      <c r="AB49" s="1792"/>
      <c r="AC49" s="1792"/>
    </row>
    <row r="50" spans="1:29">
      <c r="G50" s="3007"/>
    </row>
    <row r="52" spans="1:29" ht="13.5" customHeight="1">
      <c r="C52" s="383" t="s">
        <v>2291</v>
      </c>
      <c r="D52" s="1808"/>
      <c r="E52" s="1809">
        <f>IF(E47&lt;E48,E48/E47-1,E47/E48-1)</f>
        <v>2.6605179141539592E-2</v>
      </c>
      <c r="F52" s="1810" t="str">
        <f>IF(OR(E52&gt;=0.3,E52&lt;=-0.3),"超过30%","")</f>
        <v/>
      </c>
      <c r="G52" s="1809">
        <f>IF(G47&lt;G48,G48/G47-1,G47/G48-1)</f>
        <v>3.1515580736543924E-2</v>
      </c>
      <c r="H52" s="1810" t="str">
        <f>IF(OR(G52&gt;=0.3,G52&lt;=-0.3),"超过30%","")</f>
        <v/>
      </c>
      <c r="I52" s="1809">
        <f>IF(I47&lt;I48,I48/I47-1,I47/I48-1)</f>
        <v>4.9999999999998934E-3</v>
      </c>
      <c r="J52" s="1810" t="str">
        <f>IF(OR(I52&gt;=0.3,I52&lt;=-0.3),"超过30%","")</f>
        <v/>
      </c>
    </row>
    <row r="53" spans="1:29" ht="13.5" customHeight="1">
      <c r="C53" s="383" t="s">
        <v>2292</v>
      </c>
      <c r="D53" s="1811"/>
      <c r="E53" s="1809">
        <f>IF(E48&lt;G48,G48/E48-1,E48/G48-1)</f>
        <v>6.5653075328264698E-3</v>
      </c>
      <c r="F53" s="1810" t="str">
        <f>IF(OR(E53&gt;=0.2,E53&lt;=-0.2),"超过20%","")</f>
        <v/>
      </c>
      <c r="G53" s="1809">
        <f>IF(G48&lt;I48,I48/G48-1,G48/I48-1)</f>
        <v>0.11481056257175659</v>
      </c>
      <c r="H53" s="1810" t="str">
        <f>IF(OR(G53&gt;=0.2,G53&lt;=-0.2),"超过20%","")</f>
        <v/>
      </c>
      <c r="I53" s="1809">
        <f>IF(I48&lt;E48,E48/I48-1,I48/E48-1)</f>
        <v>0.10753922694221196</v>
      </c>
      <c r="J53" s="1810" t="str">
        <f>IF(OR(I53&gt;=0.2,I53&lt;=-0.2),"超过20%","")</f>
        <v/>
      </c>
    </row>
    <row r="54" spans="1:29" s="1814" customFormat="1" ht="13.5" customHeight="1">
      <c r="C54" s="383" t="s">
        <v>2293</v>
      </c>
      <c r="D54" s="1811"/>
      <c r="E54" s="1809">
        <f>IF(E47&lt;G47,G47/E47-1,E47/G47-1)</f>
        <v>1.7736786094360024E-3</v>
      </c>
      <c r="F54" s="1810" t="str">
        <f>IF(OR(E54&gt;=0.3,E54&lt;=-0.3),"超过30%","")</f>
        <v/>
      </c>
      <c r="G54" s="1809">
        <f>IF(G47&lt;I47,I47/G47-1,G47/I47-1)</f>
        <v>8.6153846153846247E-2</v>
      </c>
      <c r="H54" s="1810" t="str">
        <f>IF(OR(G54&gt;=0.3,G54&lt;=-0.3),"超过30%","")</f>
        <v/>
      </c>
      <c r="I54" s="1809">
        <f>IF(I47&lt;E47,E47/I47-1,I47/E47-1)</f>
        <v>8.4230769230769331E-2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2005-12</v>
      </c>
      <c r="D58" s="1826">
        <f>EDATE(C58,-1)</f>
        <v>38657</v>
      </c>
      <c r="E58" s="1826">
        <f t="shared" ref="E58:O58" si="16">EDATE(D58,-1)</f>
        <v>38626</v>
      </c>
      <c r="F58" s="1826">
        <f t="shared" si="16"/>
        <v>38596</v>
      </c>
      <c r="G58" s="1826">
        <f t="shared" si="16"/>
        <v>38565</v>
      </c>
      <c r="H58" s="1826">
        <f t="shared" si="16"/>
        <v>38534</v>
      </c>
      <c r="I58" s="1826">
        <f t="shared" si="16"/>
        <v>38504</v>
      </c>
      <c r="J58" s="1826">
        <f t="shared" si="16"/>
        <v>38473</v>
      </c>
      <c r="K58" s="1826">
        <f t="shared" si="16"/>
        <v>38443</v>
      </c>
      <c r="L58" s="1826">
        <f t="shared" si="16"/>
        <v>38412</v>
      </c>
      <c r="M58" s="1826">
        <f t="shared" si="16"/>
        <v>38384</v>
      </c>
      <c r="N58" s="1826">
        <f t="shared" si="16"/>
        <v>38353</v>
      </c>
      <c r="O58" s="1826">
        <f t="shared" si="16"/>
        <v>38322</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3680" t="s">
        <v>3161</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15.75" thickTop="1">
      <c r="A90" s="1870"/>
      <c r="B90" s="1859" t="str">
        <f>B27</f>
        <v>道路级别</v>
      </c>
      <c r="C90" s="3680" t="s">
        <v>3169</v>
      </c>
      <c r="D90" s="3680" t="s">
        <v>3170</v>
      </c>
      <c r="E90" s="3680" t="s">
        <v>3171</v>
      </c>
      <c r="F90" s="3680" t="s">
        <v>3159</v>
      </c>
      <c r="G90" s="3680" t="s">
        <v>3172</v>
      </c>
      <c r="H90" s="443"/>
      <c r="I90" s="443"/>
      <c r="J90" s="443"/>
      <c r="K90" s="443"/>
      <c r="L90" s="443"/>
      <c r="M90" s="1871"/>
      <c r="N90" s="1872"/>
      <c r="O90" s="1872"/>
      <c r="P90" s="1873"/>
      <c r="Q90" s="1874"/>
    </row>
    <row r="91" spans="1:17" s="1772" customFormat="1" ht="15.75" thickBot="1">
      <c r="A91" s="1870"/>
      <c r="B91" s="1862"/>
      <c r="C91" s="1875">
        <v>100</v>
      </c>
      <c r="D91" s="1875">
        <v>99</v>
      </c>
      <c r="E91" s="1875">
        <v>98</v>
      </c>
      <c r="F91" s="1875">
        <v>97</v>
      </c>
      <c r="G91" s="1875">
        <v>96</v>
      </c>
      <c r="H91" s="1878"/>
      <c r="I91" s="1878"/>
      <c r="J91" s="1878"/>
      <c r="K91" s="1878"/>
      <c r="L91" s="1878"/>
      <c r="M91" s="1879"/>
      <c r="N91" s="1872"/>
      <c r="O91" s="1872"/>
      <c r="P91" s="1873"/>
      <c r="Q91" s="1874"/>
    </row>
    <row r="92" spans="1:17" ht="15.75" thickTop="1">
      <c r="A92" s="1854"/>
      <c r="B92" s="1859" t="str">
        <f>B28</f>
        <v>楼层</v>
      </c>
      <c r="C92" s="3682" t="s">
        <v>3184</v>
      </c>
      <c r="D92" s="468" t="s">
        <v>3185</v>
      </c>
      <c r="E92" s="468" t="s">
        <v>3186</v>
      </c>
      <c r="F92" s="468" t="s">
        <v>3162</v>
      </c>
      <c r="G92" s="1578" t="s">
        <v>3187</v>
      </c>
      <c r="H92" s="1578" t="s">
        <v>3188</v>
      </c>
      <c r="I92" s="1578"/>
      <c r="J92" s="1578"/>
      <c r="K92" s="473"/>
      <c r="L92" s="473"/>
      <c r="M92" s="1894"/>
      <c r="N92" s="1852"/>
      <c r="O92" s="1852"/>
      <c r="P92" s="1853"/>
      <c r="Q92" s="1822"/>
    </row>
    <row r="93" spans="1:17" ht="15.75" thickBot="1">
      <c r="A93" s="1854"/>
      <c r="B93" s="1862"/>
      <c r="C93" s="1875">
        <v>100</v>
      </c>
      <c r="D93" s="1856">
        <v>100</v>
      </c>
      <c r="E93" s="1856">
        <v>99</v>
      </c>
      <c r="F93" s="1856">
        <v>99</v>
      </c>
      <c r="G93" s="1856">
        <v>98</v>
      </c>
      <c r="H93" s="1856">
        <v>98</v>
      </c>
      <c r="I93" s="1856"/>
      <c r="J93" s="1856"/>
      <c r="K93" s="1856"/>
      <c r="L93" s="1856"/>
      <c r="M93" s="1857"/>
      <c r="N93" s="1858"/>
      <c r="O93" s="1858"/>
      <c r="P93" s="1853"/>
      <c r="Q93" s="1822"/>
    </row>
    <row r="94" spans="1:17" ht="15.75" thickTop="1">
      <c r="A94" s="1854"/>
      <c r="B94" s="1859" t="str">
        <f>B29</f>
        <v>建成年代</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3681" t="s">
        <v>3174</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0(含)-60</v>
      </c>
      <c r="D102" s="579" t="str">
        <f t="shared" ref="D102:L102" si="23">D103&amp;"(含)"&amp;"-"&amp;E103</f>
        <v>60(含)-80</v>
      </c>
      <c r="E102" s="579" t="str">
        <f t="shared" si="23"/>
        <v>80(含)-100</v>
      </c>
      <c r="F102" s="579" t="str">
        <f t="shared" si="23"/>
        <v>100(含)-120</v>
      </c>
      <c r="G102" s="579" t="str">
        <f t="shared" si="23"/>
        <v>120(含)-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60</v>
      </c>
      <c r="E103" s="1902">
        <v>80</v>
      </c>
      <c r="F103" s="1902">
        <v>100</v>
      </c>
      <c r="G103" s="1902">
        <v>120</v>
      </c>
      <c r="H103" s="1902"/>
      <c r="I103" s="1902"/>
      <c r="J103" s="485"/>
      <c r="K103" s="485"/>
      <c r="L103" s="485"/>
      <c r="M103" s="1903"/>
      <c r="N103" s="1872"/>
      <c r="O103" s="1872"/>
      <c r="P103" s="1873"/>
      <c r="Q103" s="1874"/>
    </row>
    <row r="104" spans="1:17" s="1772" customFormat="1" ht="15.75" thickBot="1">
      <c r="A104" s="1870"/>
      <c r="B104" s="1862"/>
      <c r="C104" s="1875"/>
      <c r="D104" s="1856">
        <v>100</v>
      </c>
      <c r="E104" s="1856">
        <v>99</v>
      </c>
      <c r="F104" s="1856">
        <v>98</v>
      </c>
      <c r="G104" s="1856">
        <v>97</v>
      </c>
      <c r="H104" s="1856"/>
      <c r="I104" s="1856"/>
      <c r="J104" s="1856"/>
      <c r="K104" s="1856"/>
      <c r="L104" s="1856"/>
      <c r="M104" s="1856"/>
      <c r="N104" s="1858"/>
      <c r="O104" s="1858"/>
      <c r="P104" s="1873"/>
      <c r="Q104" s="1874"/>
    </row>
    <row r="105" spans="1:17" ht="15" thickTop="1">
      <c r="A105" s="1904"/>
      <c r="B105" s="1859" t="s">
        <v>2325</v>
      </c>
      <c r="C105" s="3680" t="s">
        <v>3176</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3680" t="s">
        <v>3178</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101</v>
      </c>
      <c r="E113" s="1863">
        <f>D113+$K37</f>
        <v>102</v>
      </c>
      <c r="F113" s="1863">
        <f>E113+$K37</f>
        <v>103</v>
      </c>
      <c r="G113" s="1863">
        <f>F113+$K37</f>
        <v>104</v>
      </c>
      <c r="H113" s="1863">
        <f>G113+$K37</f>
        <v>105</v>
      </c>
      <c r="I113" s="1892"/>
      <c r="J113" s="1908"/>
      <c r="K113" s="1908"/>
      <c r="L113" s="1908"/>
      <c r="M113" s="1909"/>
      <c r="N113" s="1872"/>
      <c r="O113" s="1872"/>
      <c r="P113" s="1873"/>
      <c r="Q113" s="1874"/>
    </row>
    <row r="114" spans="1:17" ht="15" thickTop="1">
      <c r="A114" s="1904"/>
      <c r="B114" s="1859" t="s">
        <v>2329</v>
      </c>
      <c r="C114" s="3680" t="s">
        <v>3180</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3680" t="s">
        <v>3181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3680" t="s">
        <v>3178</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29" sqref="P29: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110.82</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24" t="s">
        <v>2246</v>
      </c>
      <c r="D4" s="3425"/>
      <c r="E4" s="3426" t="s">
        <v>2247</v>
      </c>
      <c r="F4" s="3427"/>
      <c r="G4" s="3424" t="s">
        <v>2248</v>
      </c>
      <c r="H4" s="3425"/>
      <c r="I4" s="3424" t="s">
        <v>2249</v>
      </c>
      <c r="J4" s="3425"/>
      <c r="K4" s="1966" t="s">
        <v>2250</v>
      </c>
      <c r="L4" s="2997"/>
      <c r="M4" s="2998"/>
      <c r="N4" s="2998"/>
      <c r="O4" s="2998"/>
      <c r="P4" s="3428" t="s">
        <v>2251</v>
      </c>
      <c r="Q4" s="3429"/>
      <c r="R4" s="3434" t="s">
        <v>2247</v>
      </c>
      <c r="S4" s="3435"/>
      <c r="T4" s="3434" t="s">
        <v>2248</v>
      </c>
      <c r="U4" s="3435"/>
      <c r="V4" s="3440" t="s">
        <v>2249</v>
      </c>
      <c r="W4" s="3440"/>
      <c r="X4" s="2075"/>
      <c r="Y4" s="3434" t="s">
        <v>2251</v>
      </c>
      <c r="Z4" s="3435"/>
      <c r="AA4" s="3421" t="s">
        <v>2247</v>
      </c>
      <c r="AB4" s="3440" t="s">
        <v>2248</v>
      </c>
      <c r="AC4" s="3421" t="s">
        <v>2249</v>
      </c>
    </row>
    <row r="5" spans="1:29" ht="15">
      <c r="A5" s="1668"/>
      <c r="B5" s="1669"/>
      <c r="C5" s="3443" t="s">
        <v>2252</v>
      </c>
      <c r="D5" s="3444"/>
      <c r="E5" s="3441" t="s">
        <v>2253</v>
      </c>
      <c r="F5" s="3442"/>
      <c r="G5" s="3443" t="s">
        <v>2254</v>
      </c>
      <c r="H5" s="3444"/>
      <c r="I5" s="3443" t="s">
        <v>2255</v>
      </c>
      <c r="J5" s="3444"/>
      <c r="K5" s="1966"/>
      <c r="L5" s="2997"/>
      <c r="M5" s="2998"/>
      <c r="N5" s="2998"/>
      <c r="O5" s="2998"/>
      <c r="P5" s="3430"/>
      <c r="Q5" s="3431"/>
      <c r="R5" s="3436"/>
      <c r="S5" s="3437"/>
      <c r="T5" s="3436"/>
      <c r="U5" s="3437"/>
      <c r="V5" s="3440"/>
      <c r="W5" s="3440"/>
      <c r="X5" s="2075"/>
      <c r="Y5" s="3436"/>
      <c r="Z5" s="3437"/>
      <c r="AA5" s="3422"/>
      <c r="AB5" s="3440"/>
      <c r="AC5" s="3422"/>
    </row>
    <row r="6" spans="1:29" ht="15.75" thickBot="1">
      <c r="A6" s="1671"/>
      <c r="B6" s="1672"/>
      <c r="C6" s="3445" t="s">
        <v>2256</v>
      </c>
      <c r="D6" s="3446"/>
      <c r="E6" s="3447" t="s">
        <v>2256</v>
      </c>
      <c r="F6" s="3448"/>
      <c r="G6" s="3445" t="s">
        <v>2256</v>
      </c>
      <c r="H6" s="3446"/>
      <c r="I6" s="3445" t="s">
        <v>2256</v>
      </c>
      <c r="J6" s="3446"/>
      <c r="K6" s="1966" t="s">
        <v>2257</v>
      </c>
      <c r="L6" s="2997"/>
      <c r="M6" s="2998"/>
      <c r="N6" s="2998"/>
      <c r="O6" s="2998"/>
      <c r="P6" s="3432"/>
      <c r="Q6" s="3433"/>
      <c r="R6" s="3436"/>
      <c r="S6" s="3437"/>
      <c r="T6" s="3438"/>
      <c r="U6" s="3439"/>
      <c r="V6" s="3440"/>
      <c r="W6" s="3440"/>
      <c r="X6" s="2075"/>
      <c r="Y6" s="3438"/>
      <c r="Z6" s="3439"/>
      <c r="AA6" s="3423"/>
      <c r="AB6" s="3440"/>
      <c r="AC6" s="3423"/>
    </row>
    <row r="7" spans="1:29" s="1685" customFormat="1" ht="15.75" thickBot="1">
      <c r="A7" s="1673" t="s">
        <v>2258</v>
      </c>
      <c r="B7" s="1674"/>
      <c r="C7" s="1675">
        <f>'数据-取费表'!B2</f>
        <v>38705</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6" t="s">
        <v>2259</v>
      </c>
      <c r="Q7" s="3458"/>
      <c r="R7" s="1681" t="s">
        <v>25</v>
      </c>
      <c r="S7" s="1682">
        <f t="shared" ref="S7:S15" si="0">F7</f>
        <v>0</v>
      </c>
      <c r="T7" s="1681" t="s">
        <v>25</v>
      </c>
      <c r="U7" s="1682">
        <f t="shared" ref="U7:U15" si="1">H7</f>
        <v>0</v>
      </c>
      <c r="V7" s="1681" t="s">
        <v>25</v>
      </c>
      <c r="W7" s="1682">
        <f t="shared" ref="W7:W15" si="2">J7</f>
        <v>0</v>
      </c>
      <c r="X7" s="1683"/>
      <c r="Y7" s="3456" t="s">
        <v>2259</v>
      </c>
      <c r="Z7" s="3457"/>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6" t="s">
        <v>2262</v>
      </c>
      <c r="Q8" s="3457"/>
      <c r="R8" s="1681" t="s">
        <v>25</v>
      </c>
      <c r="S8" s="1682">
        <f t="shared" si="0"/>
        <v>0</v>
      </c>
      <c r="T8" s="1681" t="s">
        <v>25</v>
      </c>
      <c r="U8" s="1682">
        <f t="shared" si="1"/>
        <v>0</v>
      </c>
      <c r="V8" s="1681" t="s">
        <v>25</v>
      </c>
      <c r="W8" s="1682">
        <f t="shared" si="2"/>
        <v>0</v>
      </c>
      <c r="X8" s="1683"/>
      <c r="Y8" s="3456" t="s">
        <v>2262</v>
      </c>
      <c r="Z8" s="3457"/>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9" t="s">
        <v>2265</v>
      </c>
      <c r="Q9" s="2066"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9"/>
      <c r="Q10" s="2066"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9"/>
      <c r="Q11" s="2066"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9"/>
      <c r="Q12" s="2066">
        <f t="shared" si="6"/>
        <v>111</v>
      </c>
      <c r="R12" s="1681" t="s">
        <v>25</v>
      </c>
      <c r="S12" s="1682">
        <f t="shared" si="0"/>
        <v>100</v>
      </c>
      <c r="T12" s="1681" t="s">
        <v>25</v>
      </c>
      <c r="U12" s="1682">
        <f t="shared" si="1"/>
        <v>100</v>
      </c>
      <c r="V12" s="1681" t="s">
        <v>25</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9"/>
      <c r="Q13" s="2066">
        <f t="shared" si="6"/>
        <v>111</v>
      </c>
      <c r="R13" s="1681" t="s">
        <v>25</v>
      </c>
      <c r="S13" s="1682">
        <f t="shared" si="0"/>
        <v>100</v>
      </c>
      <c r="T13" s="1681" t="s">
        <v>25</v>
      </c>
      <c r="U13" s="1682">
        <f t="shared" si="1"/>
        <v>100</v>
      </c>
      <c r="V13" s="1681" t="s">
        <v>25</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9"/>
      <c r="Q14" s="2066">
        <f t="shared" si="6"/>
        <v>111</v>
      </c>
      <c r="R14" s="1681" t="s">
        <v>25</v>
      </c>
      <c r="S14" s="1682">
        <f t="shared" si="0"/>
        <v>100</v>
      </c>
      <c r="T14" s="1681" t="s">
        <v>25</v>
      </c>
      <c r="U14" s="1682">
        <f t="shared" si="1"/>
        <v>100</v>
      </c>
      <c r="V14" s="1681" t="s">
        <v>25</v>
      </c>
      <c r="W14" s="1682">
        <f t="shared" si="2"/>
        <v>100</v>
      </c>
      <c r="X14" s="1683"/>
      <c r="Y14" s="3322"/>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2" t="s">
        <v>2270</v>
      </c>
      <c r="Q15" s="2072" t="str">
        <f t="shared" si="6"/>
        <v>商业繁华度</v>
      </c>
      <c r="R15" s="1726" t="s">
        <v>25</v>
      </c>
      <c r="S15" s="1727">
        <f t="shared" si="0"/>
        <v>100</v>
      </c>
      <c r="T15" s="1726" t="s">
        <v>25</v>
      </c>
      <c r="U15" s="1727">
        <f t="shared" si="1"/>
        <v>100</v>
      </c>
      <c r="V15" s="1726" t="s">
        <v>25</v>
      </c>
      <c r="W15" s="1727">
        <f t="shared" si="2"/>
        <v>100</v>
      </c>
      <c r="X15" s="2075"/>
      <c r="Y15" s="3449"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3"/>
      <c r="Q16" s="2072"/>
      <c r="R16" s="1726"/>
      <c r="S16" s="1727"/>
      <c r="T16" s="1726"/>
      <c r="U16" s="1727"/>
      <c r="V16" s="1726"/>
      <c r="W16" s="1727"/>
      <c r="X16" s="2075"/>
      <c r="Y16" s="3450"/>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3"/>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3"/>
      <c r="Q18" s="2072"/>
      <c r="R18" s="1726"/>
      <c r="S18" s="1727"/>
      <c r="T18" s="1726"/>
      <c r="U18" s="1727"/>
      <c r="V18" s="1726"/>
      <c r="W18" s="1727"/>
      <c r="X18" s="2075"/>
      <c r="Y18" s="3450"/>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3"/>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3"/>
      <c r="Q20" s="2072"/>
      <c r="R20" s="1726"/>
      <c r="S20" s="1727"/>
      <c r="T20" s="1726"/>
      <c r="U20" s="1727"/>
      <c r="V20" s="1726"/>
      <c r="W20" s="1727"/>
      <c r="X20" s="2075"/>
      <c r="Y20" s="3450"/>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3"/>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3"/>
      <c r="Q22" s="2072"/>
      <c r="R22" s="1726"/>
      <c r="S22" s="1727"/>
      <c r="T22" s="1726"/>
      <c r="U22" s="1727"/>
      <c r="V22" s="1726"/>
      <c r="W22" s="1727"/>
      <c r="X22" s="2075"/>
      <c r="Y22" s="3450"/>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3"/>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3"/>
      <c r="Q24" s="2072"/>
      <c r="R24" s="1726"/>
      <c r="S24" s="1727"/>
      <c r="T24" s="1726"/>
      <c r="U24" s="1727"/>
      <c r="V24" s="1726"/>
      <c r="W24" s="1727"/>
      <c r="X24" s="2075"/>
      <c r="Y24" s="3450"/>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3"/>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3"/>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3"/>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3"/>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3"/>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3"/>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1" t="s">
        <v>2276</v>
      </c>
      <c r="Q32" s="2072" t="str">
        <f t="shared" si="11"/>
        <v>商业类型</v>
      </c>
      <c r="R32" s="1726" t="s">
        <v>25</v>
      </c>
      <c r="S32" s="1727">
        <f t="shared" si="12"/>
        <v>100</v>
      </c>
      <c r="T32" s="1726" t="s">
        <v>25</v>
      </c>
      <c r="U32" s="1727">
        <f t="shared" si="13"/>
        <v>100</v>
      </c>
      <c r="V32" s="1726" t="s">
        <v>25</v>
      </c>
      <c r="W32" s="1727">
        <f t="shared" si="14"/>
        <v>100</v>
      </c>
      <c r="X32" s="2075"/>
      <c r="Y32" s="3454"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2" t="s">
        <v>2276</v>
      </c>
      <c r="Q38" s="2072" t="str">
        <f t="shared" si="11"/>
        <v>业态</v>
      </c>
      <c r="R38" s="1726" t="s">
        <v>25</v>
      </c>
      <c r="S38" s="1727">
        <f t="shared" si="12"/>
        <v>100</v>
      </c>
      <c r="T38" s="1726" t="s">
        <v>25</v>
      </c>
      <c r="U38" s="1727">
        <f t="shared" si="13"/>
        <v>100</v>
      </c>
      <c r="V38" s="1726" t="s">
        <v>25</v>
      </c>
      <c r="W38" s="1727">
        <f t="shared" si="14"/>
        <v>100</v>
      </c>
      <c r="X38" s="2075"/>
      <c r="Y38" s="3454"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460" t="str">
        <f>A47</f>
        <v>成交单价（元/平方米）</v>
      </c>
      <c r="Q47" s="3460"/>
      <c r="R47" s="3461">
        <f>E47</f>
        <v>0</v>
      </c>
      <c r="S47" s="3461"/>
      <c r="T47" s="3461">
        <f>G47</f>
        <v>0</v>
      </c>
      <c r="U47" s="3461"/>
      <c r="V47" s="3461">
        <f>I47</f>
        <v>0</v>
      </c>
      <c r="W47" s="3461"/>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1">
        <f>F48+H48+J48</f>
        <v>0</v>
      </c>
      <c r="L48" s="3003"/>
      <c r="N48" s="2998"/>
      <c r="P48" s="3460" t="str">
        <f>A48</f>
        <v>比较价值（元/平方米）</v>
      </c>
      <c r="Q48" s="3460"/>
      <c r="R48" s="3461" t="e">
        <f>IF(E1="售价",ROUND(PRODUCT(R47,AA7:AA46),0),ROUND(PRODUCT(R47,AA7:AA46),1))</f>
        <v>#DIV/0!</v>
      </c>
      <c r="S48" s="3461"/>
      <c r="T48" s="3461" t="e">
        <f>IF(E1="售价",ROUND(PRODUCT(T47,AB7:AB46),0),ROUND(PRODUCT(T47,AB7:AB46),1))</f>
        <v>#DIV/0!</v>
      </c>
      <c r="U48" s="3461"/>
      <c r="V48" s="3461" t="e">
        <f>IF(E1="售价",ROUND(PRODUCT(V47,AC7:AC46),0),ROUND(PRODUCT(V47,AC7:AC46),1))</f>
        <v>#DIV/0!</v>
      </c>
      <c r="W48" s="3461"/>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3"/>
      <c r="N49" s="2998"/>
      <c r="P49" s="3466" t="str">
        <f>A49</f>
        <v>估价对象XX用房的比较价值（楼面单价，元/平方米）</v>
      </c>
      <c r="Q49" s="3467"/>
      <c r="R49" s="3468" t="e">
        <f>IF(E1="售价",ROUND(IF(D48="简单平均",AVERAGE(R48:V48),R48*F48+T48*H48+V48*J48),0),ROUND(IF(D48="简单平均",AVERAGE(R48:V48),R48*F48+T48*H48+V48*J48),1))</f>
        <v>#DIV/0!</v>
      </c>
      <c r="S49" s="3468"/>
      <c r="T49" s="3468"/>
      <c r="U49" s="3468"/>
      <c r="V49" s="3468"/>
      <c r="W49" s="3468"/>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2005-12</v>
      </c>
      <c r="D58" s="1826">
        <f>EDATE(C58,-1)</f>
        <v>38657</v>
      </c>
      <c r="E58" s="1826">
        <f t="shared" ref="E58:O58" si="16">EDATE(D58,-1)</f>
        <v>38626</v>
      </c>
      <c r="F58" s="1826">
        <f t="shared" si="16"/>
        <v>38596</v>
      </c>
      <c r="G58" s="1826">
        <f t="shared" si="16"/>
        <v>38565</v>
      </c>
      <c r="H58" s="1826">
        <f t="shared" si="16"/>
        <v>38534</v>
      </c>
      <c r="I58" s="1826">
        <f t="shared" si="16"/>
        <v>38504</v>
      </c>
      <c r="J58" s="1826">
        <f t="shared" si="16"/>
        <v>38473</v>
      </c>
      <c r="K58" s="1826">
        <f t="shared" si="16"/>
        <v>38443</v>
      </c>
      <c r="L58" s="1826">
        <f t="shared" si="16"/>
        <v>38412</v>
      </c>
      <c r="M58" s="1826">
        <f t="shared" si="16"/>
        <v>38384</v>
      </c>
      <c r="N58" s="1826">
        <f t="shared" si="16"/>
        <v>38353</v>
      </c>
      <c r="O58" s="1826">
        <f t="shared" si="16"/>
        <v>38322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29" sqref="P29: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110.82</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24" t="s">
        <v>2246</v>
      </c>
      <c r="D4" s="3425"/>
      <c r="E4" s="3426" t="s">
        <v>2247</v>
      </c>
      <c r="F4" s="3427"/>
      <c r="G4" s="3424" t="s">
        <v>2248</v>
      </c>
      <c r="H4" s="3425"/>
      <c r="I4" s="3424" t="s">
        <v>2249</v>
      </c>
      <c r="J4" s="3425"/>
      <c r="K4" s="1966" t="s">
        <v>2250</v>
      </c>
      <c r="L4" s="2997"/>
      <c r="M4" s="2998"/>
      <c r="N4" s="2998"/>
      <c r="O4" s="2998"/>
      <c r="P4" s="3428" t="s">
        <v>2251</v>
      </c>
      <c r="Q4" s="3429"/>
      <c r="R4" s="3434" t="s">
        <v>2247</v>
      </c>
      <c r="S4" s="3435"/>
      <c r="T4" s="3434" t="s">
        <v>2248</v>
      </c>
      <c r="U4" s="3435"/>
      <c r="V4" s="3440" t="s">
        <v>2249</v>
      </c>
      <c r="W4" s="3440"/>
      <c r="X4" s="2075"/>
      <c r="Y4" s="3434" t="s">
        <v>2251</v>
      </c>
      <c r="Z4" s="3435"/>
      <c r="AA4" s="3421" t="s">
        <v>2247</v>
      </c>
      <c r="AB4" s="3421" t="s">
        <v>2248</v>
      </c>
      <c r="AC4" s="3421" t="s">
        <v>2249</v>
      </c>
    </row>
    <row r="5" spans="1:29" ht="15">
      <c r="A5" s="1668"/>
      <c r="B5" s="1669"/>
      <c r="C5" s="3443" t="s">
        <v>2252</v>
      </c>
      <c r="D5" s="3444"/>
      <c r="E5" s="3441" t="s">
        <v>2253</v>
      </c>
      <c r="F5" s="3442"/>
      <c r="G5" s="3443" t="s">
        <v>2254</v>
      </c>
      <c r="H5" s="3444"/>
      <c r="I5" s="3443" t="s">
        <v>2255</v>
      </c>
      <c r="J5" s="3444"/>
      <c r="K5" s="1966"/>
      <c r="L5" s="2997"/>
      <c r="M5" s="2998"/>
      <c r="N5" s="2998"/>
      <c r="O5" s="2998"/>
      <c r="P5" s="3430"/>
      <c r="Q5" s="3431"/>
      <c r="R5" s="3436"/>
      <c r="S5" s="3437"/>
      <c r="T5" s="3436"/>
      <c r="U5" s="3437"/>
      <c r="V5" s="3440"/>
      <c r="W5" s="3440"/>
      <c r="X5" s="2075"/>
      <c r="Y5" s="3436"/>
      <c r="Z5" s="3437"/>
      <c r="AA5" s="3422"/>
      <c r="AB5" s="3422"/>
      <c r="AC5" s="3422"/>
    </row>
    <row r="6" spans="1:29" ht="15.75" thickBot="1">
      <c r="A6" s="1671"/>
      <c r="B6" s="1672"/>
      <c r="C6" s="3445" t="s">
        <v>2256</v>
      </c>
      <c r="D6" s="3446"/>
      <c r="E6" s="3447" t="s">
        <v>2256</v>
      </c>
      <c r="F6" s="3448"/>
      <c r="G6" s="3445" t="s">
        <v>2256</v>
      </c>
      <c r="H6" s="3446"/>
      <c r="I6" s="3445" t="s">
        <v>2256</v>
      </c>
      <c r="J6" s="3446"/>
      <c r="K6" s="1966" t="s">
        <v>2257</v>
      </c>
      <c r="L6" s="2997"/>
      <c r="M6" s="2998"/>
      <c r="N6" s="2998"/>
      <c r="O6" s="2998"/>
      <c r="P6" s="3432"/>
      <c r="Q6" s="3433"/>
      <c r="R6" s="3436"/>
      <c r="S6" s="3437"/>
      <c r="T6" s="3438"/>
      <c r="U6" s="3439"/>
      <c r="V6" s="3440"/>
      <c r="W6" s="3440"/>
      <c r="X6" s="2075"/>
      <c r="Y6" s="3438"/>
      <c r="Z6" s="3439"/>
      <c r="AA6" s="3423"/>
      <c r="AB6" s="3423"/>
      <c r="AC6" s="3423"/>
    </row>
    <row r="7" spans="1:29" s="1685" customFormat="1" ht="15.75" thickBot="1">
      <c r="A7" s="1673" t="s">
        <v>2258</v>
      </c>
      <c r="B7" s="1674"/>
      <c r="C7" s="1675">
        <f>'数据-取费表'!B2</f>
        <v>38705</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56" t="s">
        <v>2259</v>
      </c>
      <c r="Q7" s="3458"/>
      <c r="R7" s="1681" t="s">
        <v>25</v>
      </c>
      <c r="S7" s="1682">
        <f t="shared" ref="S7:S15" si="0">F7</f>
        <v>0</v>
      </c>
      <c r="T7" s="1681" t="s">
        <v>25</v>
      </c>
      <c r="U7" s="1682">
        <f t="shared" ref="U7:U15" si="1">H7</f>
        <v>0</v>
      </c>
      <c r="V7" s="1681" t="s">
        <v>25</v>
      </c>
      <c r="W7" s="1682">
        <f t="shared" ref="W7:W15" si="2">J7</f>
        <v>0</v>
      </c>
      <c r="X7" s="1683"/>
      <c r="Y7" s="3456" t="s">
        <v>2259</v>
      </c>
      <c r="Z7" s="3457"/>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56" t="s">
        <v>2262</v>
      </c>
      <c r="Q8" s="3457"/>
      <c r="R8" s="1681" t="s">
        <v>25</v>
      </c>
      <c r="S8" s="1682">
        <f t="shared" si="0"/>
        <v>0</v>
      </c>
      <c r="T8" s="1681" t="s">
        <v>25</v>
      </c>
      <c r="U8" s="1682">
        <f t="shared" si="1"/>
        <v>0</v>
      </c>
      <c r="V8" s="1681" t="s">
        <v>25</v>
      </c>
      <c r="W8" s="1682">
        <f t="shared" si="2"/>
        <v>0</v>
      </c>
      <c r="X8" s="1683"/>
      <c r="Y8" s="3456" t="s">
        <v>2262</v>
      </c>
      <c r="Z8" s="3457"/>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0" t="s">
        <v>2265</v>
      </c>
      <c r="Q9" s="2915"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0"/>
      <c r="Q10" s="2915" t="str">
        <f t="shared" si="6"/>
        <v>土地使用年限（年）</v>
      </c>
      <c r="R10" s="1681" t="s">
        <v>25</v>
      </c>
      <c r="S10" s="1682">
        <f t="shared" si="0"/>
        <v>100</v>
      </c>
      <c r="T10" s="1681" t="s">
        <v>25</v>
      </c>
      <c r="U10" s="1682">
        <f t="shared" si="1"/>
        <v>100</v>
      </c>
      <c r="V10" s="1681" t="s">
        <v>25</v>
      </c>
      <c r="W10" s="1682">
        <f t="shared" si="2"/>
        <v>100</v>
      </c>
      <c r="X10" s="1683"/>
      <c r="Y10" s="3322"/>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60"/>
      <c r="Q11" s="2915"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0"/>
      <c r="Q12" s="2915">
        <f t="shared" si="6"/>
        <v>111</v>
      </c>
      <c r="R12" s="1681" t="s">
        <v>25</v>
      </c>
      <c r="S12" s="1682">
        <f t="shared" si="0"/>
        <v>100</v>
      </c>
      <c r="T12" s="1681" t="s">
        <v>25</v>
      </c>
      <c r="U12" s="1682">
        <f t="shared" si="1"/>
        <v>100</v>
      </c>
      <c r="V12" s="1681" t="s">
        <v>25</v>
      </c>
      <c r="W12" s="1682">
        <f t="shared" si="2"/>
        <v>100</v>
      </c>
      <c r="X12" s="1683"/>
      <c r="Y12" s="332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0"/>
      <c r="Q13" s="2915">
        <f t="shared" si="6"/>
        <v>111</v>
      </c>
      <c r="R13" s="1681" t="s">
        <v>25</v>
      </c>
      <c r="S13" s="1682">
        <f t="shared" si="0"/>
        <v>100</v>
      </c>
      <c r="T13" s="1681" t="s">
        <v>25</v>
      </c>
      <c r="U13" s="1682">
        <f t="shared" si="1"/>
        <v>100</v>
      </c>
      <c r="V13" s="1681" t="s">
        <v>25</v>
      </c>
      <c r="W13" s="1682">
        <f t="shared" si="2"/>
        <v>100</v>
      </c>
      <c r="X13" s="1683"/>
      <c r="Y13" s="3322"/>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0"/>
      <c r="Q14" s="2915">
        <f t="shared" si="6"/>
        <v>111</v>
      </c>
      <c r="R14" s="1681" t="s">
        <v>25</v>
      </c>
      <c r="S14" s="1682">
        <f t="shared" si="0"/>
        <v>100</v>
      </c>
      <c r="T14" s="1681" t="s">
        <v>25</v>
      </c>
      <c r="U14" s="1682">
        <f t="shared" si="1"/>
        <v>100</v>
      </c>
      <c r="V14" s="1681" t="s">
        <v>25</v>
      </c>
      <c r="W14" s="1682">
        <f t="shared" si="2"/>
        <v>100</v>
      </c>
      <c r="X14" s="1683"/>
      <c r="Y14" s="3322"/>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49" t="s">
        <v>2270</v>
      </c>
      <c r="Q15" s="2916" t="str">
        <f t="shared" si="6"/>
        <v>办公集聚程度</v>
      </c>
      <c r="R15" s="1726" t="s">
        <v>25</v>
      </c>
      <c r="S15" s="1727">
        <f t="shared" si="0"/>
        <v>100</v>
      </c>
      <c r="T15" s="1726" t="s">
        <v>25</v>
      </c>
      <c r="U15" s="1727">
        <f t="shared" si="1"/>
        <v>100</v>
      </c>
      <c r="V15" s="1726" t="s">
        <v>25</v>
      </c>
      <c r="W15" s="1727">
        <f t="shared" si="2"/>
        <v>100</v>
      </c>
      <c r="X15" s="2075"/>
      <c r="Y15" s="3449"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0"/>
      <c r="Q16" s="2916"/>
      <c r="R16" s="1726"/>
      <c r="S16" s="1727"/>
      <c r="T16" s="1726"/>
      <c r="U16" s="1727"/>
      <c r="V16" s="1726"/>
      <c r="W16" s="1727"/>
      <c r="X16" s="2075"/>
      <c r="Y16" s="3450"/>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0"/>
      <c r="Q17" s="2916"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0"/>
      <c r="Q18" s="2916"/>
      <c r="R18" s="1726"/>
      <c r="S18" s="1727"/>
      <c r="T18" s="1726"/>
      <c r="U18" s="1727"/>
      <c r="V18" s="1726"/>
      <c r="W18" s="1727"/>
      <c r="X18" s="2075"/>
      <c r="Y18" s="3450"/>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0"/>
      <c r="Q19" s="2916"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0"/>
      <c r="Q20" s="2916"/>
      <c r="R20" s="1726"/>
      <c r="S20" s="1727"/>
      <c r="T20" s="1726"/>
      <c r="U20" s="1727"/>
      <c r="V20" s="1726"/>
      <c r="W20" s="1727"/>
      <c r="X20" s="2075"/>
      <c r="Y20" s="3450"/>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0"/>
      <c r="Q21" s="2916"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0"/>
      <c r="Q22" s="2916"/>
      <c r="R22" s="1726"/>
      <c r="S22" s="1727"/>
      <c r="T22" s="1726"/>
      <c r="U22" s="1727"/>
      <c r="V22" s="1726"/>
      <c r="W22" s="1727"/>
      <c r="X22" s="2075"/>
      <c r="Y22" s="3450"/>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0"/>
      <c r="Q23" s="2916"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0"/>
      <c r="Q24" s="2916"/>
      <c r="R24" s="1726"/>
      <c r="S24" s="1727"/>
      <c r="T24" s="1726"/>
      <c r="U24" s="1727"/>
      <c r="V24" s="1726"/>
      <c r="W24" s="1727"/>
      <c r="X24" s="2075"/>
      <c r="Y24" s="3450"/>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0"/>
      <c r="Q25" s="2916"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0"/>
      <c r="Q26" s="2916"/>
      <c r="R26" s="1726"/>
      <c r="S26" s="1727"/>
      <c r="T26" s="1726"/>
      <c r="U26" s="1727"/>
      <c r="V26" s="1726"/>
      <c r="W26" s="1727"/>
      <c r="X26" s="2075"/>
      <c r="Y26" s="3450"/>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0"/>
      <c r="Q27" s="2916"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0"/>
      <c r="Q28" s="2915"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0"/>
      <c r="Q30" s="2916">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0"/>
      <c r="Q31" s="2916">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0"/>
      <c r="Q32" s="2916">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69" t="s">
        <v>2276</v>
      </c>
      <c r="Q33" s="2916" t="str">
        <f t="shared" si="11"/>
        <v>建筑类型</v>
      </c>
      <c r="R33" s="1726" t="s">
        <v>25</v>
      </c>
      <c r="S33" s="1727">
        <f t="shared" si="12"/>
        <v>100</v>
      </c>
      <c r="T33" s="1726" t="s">
        <v>25</v>
      </c>
      <c r="U33" s="1727">
        <f t="shared" si="13"/>
        <v>100</v>
      </c>
      <c r="V33" s="1726" t="s">
        <v>25</v>
      </c>
      <c r="W33" s="1727">
        <f t="shared" si="14"/>
        <v>100</v>
      </c>
      <c r="X33" s="2075"/>
      <c r="Y33" s="3454"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4"/>
      <c r="Q35" s="2916"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4"/>
      <c r="Q36" s="2916"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54"/>
      <c r="Q37" s="2916"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4"/>
      <c r="Q38" s="2915"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4" t="s">
        <v>2276</v>
      </c>
      <c r="Q39" s="2916" t="str">
        <f t="shared" si="11"/>
        <v>物业管理</v>
      </c>
      <c r="R39" s="1726" t="s">
        <v>25</v>
      </c>
      <c r="S39" s="1727">
        <f t="shared" si="12"/>
        <v>100</v>
      </c>
      <c r="T39" s="1726" t="s">
        <v>25</v>
      </c>
      <c r="U39" s="1727">
        <f t="shared" si="13"/>
        <v>100</v>
      </c>
      <c r="V39" s="1726" t="s">
        <v>25</v>
      </c>
      <c r="W39" s="1727">
        <f t="shared" si="14"/>
        <v>100</v>
      </c>
      <c r="X39" s="2075"/>
      <c r="Y39" s="3454"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4"/>
      <c r="Q40" s="2916"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4"/>
      <c r="Q41" s="2916"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54"/>
      <c r="Q43" s="2916"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4"/>
      <c r="Q44" s="2916"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4"/>
      <c r="Q45" s="2915">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4"/>
      <c r="Q46" s="2916">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5"/>
      <c r="Q47" s="2916">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60" t="str">
        <f>A48</f>
        <v>成交单价（元/平方米）</v>
      </c>
      <c r="Q48" s="3460"/>
      <c r="R48" s="3461">
        <f>E48</f>
        <v>0</v>
      </c>
      <c r="S48" s="3461"/>
      <c r="T48" s="3461">
        <f>G48</f>
        <v>0</v>
      </c>
      <c r="U48" s="3461"/>
      <c r="V48" s="3461">
        <f>I48</f>
        <v>0</v>
      </c>
      <c r="W48" s="3461"/>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1">
        <f>F49+H49+J49</f>
        <v>0</v>
      </c>
      <c r="L49" s="3003"/>
      <c r="M49" s="2998"/>
      <c r="N49" s="2998"/>
      <c r="O49" s="2998"/>
      <c r="P49" s="3460" t="str">
        <f>A49</f>
        <v>比较价值（元/平方米）</v>
      </c>
      <c r="Q49" s="3460"/>
      <c r="R49" s="3461" t="e">
        <f>IF(E1="售价",ROUND(PRODUCT(R48,AA7:AA47),0),ROUND(PRODUCT(R48,AA7:AA47),1))</f>
        <v>#DIV/0!</v>
      </c>
      <c r="S49" s="3461"/>
      <c r="T49" s="3461" t="e">
        <f>IF(E1="售价",ROUND(PRODUCT(T48,AB7:AB47),0),ROUND(PRODUCT(T48,AB7:AB47),1))</f>
        <v>#DIV/0!</v>
      </c>
      <c r="U49" s="3461"/>
      <c r="V49" s="3461" t="e">
        <f>IF(E1="售价",ROUND(PRODUCT(V48,AC7:AC47),0),ROUND(PRODUCT(V48,AC7:AC47),1))</f>
        <v>#DIV/0!</v>
      </c>
      <c r="W49" s="3461"/>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66" t="str">
        <f>A50</f>
        <v>估价对象XX用房的比较价值（楼面单价，元/平方米）</v>
      </c>
      <c r="Q50" s="3467"/>
      <c r="R50" s="3468" t="e">
        <f>IF(E1="售价",ROUND(IF(D49="简单平均",AVERAGE(R49:V49),R49*F49+T49*H49+V49*J49),0),ROUND(IF(D49="简单平均",AVERAGE(R49:V49),R49*F49+T49*H49+V49*J49),1))</f>
        <v>#DIV/0!</v>
      </c>
      <c r="S50" s="3468"/>
      <c r="T50" s="3468"/>
      <c r="U50" s="3468"/>
      <c r="V50" s="3468"/>
      <c r="W50" s="3468"/>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2005-12</v>
      </c>
      <c r="D59" s="1826">
        <f>EDATE(C59,-1)</f>
        <v>38657</v>
      </c>
      <c r="E59" s="1826">
        <f t="shared" ref="E59:O59" si="16">EDATE(D59,-1)</f>
        <v>38626</v>
      </c>
      <c r="F59" s="1826">
        <f t="shared" si="16"/>
        <v>38596</v>
      </c>
      <c r="G59" s="1826">
        <f t="shared" si="16"/>
        <v>38565</v>
      </c>
      <c r="H59" s="1826">
        <f t="shared" si="16"/>
        <v>38534</v>
      </c>
      <c r="I59" s="1826">
        <f t="shared" si="16"/>
        <v>38504</v>
      </c>
      <c r="J59" s="1826">
        <f t="shared" si="16"/>
        <v>38473</v>
      </c>
      <c r="K59" s="1826">
        <f t="shared" si="16"/>
        <v>38443</v>
      </c>
      <c r="L59" s="1826">
        <f t="shared" si="16"/>
        <v>38412</v>
      </c>
      <c r="M59" s="1826">
        <f t="shared" si="16"/>
        <v>38384</v>
      </c>
      <c r="N59" s="1826">
        <f t="shared" si="16"/>
        <v>38353</v>
      </c>
      <c r="O59" s="1826">
        <f t="shared" si="16"/>
        <v>38322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P29" sqref="P29: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110.82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2" t="s">
        <v>2246</v>
      </c>
      <c r="D4" s="3483"/>
      <c r="E4" s="3484" t="s">
        <v>2247</v>
      </c>
      <c r="F4" s="3485"/>
      <c r="G4" s="3482" t="s">
        <v>2248</v>
      </c>
      <c r="H4" s="3483"/>
      <c r="I4" s="3482" t="s">
        <v>2249</v>
      </c>
      <c r="J4" s="3483"/>
      <c r="K4" s="496" t="s">
        <v>2250</v>
      </c>
      <c r="L4" s="3025"/>
      <c r="M4" s="3026"/>
      <c r="N4" s="3026"/>
      <c r="O4" s="3026"/>
      <c r="P4" s="3486" t="s">
        <v>2251</v>
      </c>
      <c r="Q4" s="3487"/>
      <c r="R4" s="3492" t="s">
        <v>2247</v>
      </c>
      <c r="S4" s="3493"/>
      <c r="T4" s="3492" t="s">
        <v>2248</v>
      </c>
      <c r="U4" s="3493"/>
      <c r="V4" s="3498" t="s">
        <v>2249</v>
      </c>
      <c r="W4" s="3498"/>
      <c r="X4" s="1335"/>
      <c r="Y4" s="3492" t="s">
        <v>2251</v>
      </c>
      <c r="Z4" s="3493"/>
      <c r="AA4" s="3479" t="s">
        <v>2247</v>
      </c>
      <c r="AB4" s="3480" t="s">
        <v>2248</v>
      </c>
      <c r="AC4" s="3479" t="s">
        <v>2249</v>
      </c>
    </row>
    <row r="5" spans="1:29" ht="15">
      <c r="A5" s="297"/>
      <c r="B5" s="298"/>
      <c r="C5" s="3475" t="s">
        <v>2252</v>
      </c>
      <c r="D5" s="3476"/>
      <c r="E5" s="3499" t="s">
        <v>2253</v>
      </c>
      <c r="F5" s="3500"/>
      <c r="G5" s="3475" t="s">
        <v>2254</v>
      </c>
      <c r="H5" s="3476"/>
      <c r="I5" s="3475" t="s">
        <v>2255</v>
      </c>
      <c r="J5" s="3476"/>
      <c r="K5" s="496"/>
      <c r="L5" s="3025"/>
      <c r="M5" s="3026"/>
      <c r="N5" s="3026"/>
      <c r="O5" s="3026"/>
      <c r="P5" s="3488"/>
      <c r="Q5" s="3489"/>
      <c r="R5" s="3494"/>
      <c r="S5" s="3495"/>
      <c r="T5" s="3494"/>
      <c r="U5" s="3495"/>
      <c r="V5" s="3498"/>
      <c r="W5" s="3498"/>
      <c r="X5" s="1335"/>
      <c r="Y5" s="3494"/>
      <c r="Z5" s="3495"/>
      <c r="AA5" s="3480"/>
      <c r="AB5" s="3480"/>
      <c r="AC5" s="3480"/>
    </row>
    <row r="6" spans="1:29" ht="15.75" thickBot="1">
      <c r="A6" s="299"/>
      <c r="B6" s="300"/>
      <c r="C6" s="3472" t="s">
        <v>2256</v>
      </c>
      <c r="D6" s="3473"/>
      <c r="E6" s="3470" t="s">
        <v>2256</v>
      </c>
      <c r="F6" s="3471"/>
      <c r="G6" s="3472" t="s">
        <v>2256</v>
      </c>
      <c r="H6" s="3473"/>
      <c r="I6" s="3472" t="s">
        <v>2256</v>
      </c>
      <c r="J6" s="3473"/>
      <c r="K6" s="496" t="s">
        <v>2257</v>
      </c>
      <c r="L6" s="3025"/>
      <c r="M6" s="3026"/>
      <c r="N6" s="3026"/>
      <c r="O6" s="3026"/>
      <c r="P6" s="3490"/>
      <c r="Q6" s="3491"/>
      <c r="R6" s="3494"/>
      <c r="S6" s="3495"/>
      <c r="T6" s="3496"/>
      <c r="U6" s="3497"/>
      <c r="V6" s="3498"/>
      <c r="W6" s="3498"/>
      <c r="X6" s="1335"/>
      <c r="Y6" s="3496"/>
      <c r="Z6" s="3497"/>
      <c r="AA6" s="3481"/>
      <c r="AB6" s="3481"/>
      <c r="AC6" s="3481"/>
    </row>
    <row r="7" spans="1:29" s="25" customFormat="1" ht="15.75" thickBot="1">
      <c r="A7" s="301" t="s">
        <v>2258</v>
      </c>
      <c r="B7" s="302"/>
      <c r="C7" s="303">
        <f>'数据-取费表'!B2</f>
        <v>38705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77" t="s">
        <v>2259</v>
      </c>
      <c r="Q7" s="3501"/>
      <c r="R7" s="627" t="s">
        <v>25</v>
      </c>
      <c r="S7" s="628">
        <f t="shared" ref="S7:S15" si="0">F7</f>
        <v>0</v>
      </c>
      <c r="T7" s="627" t="s">
        <v>25</v>
      </c>
      <c r="U7" s="628">
        <f t="shared" ref="U7:U15" si="1">H7</f>
        <v>0</v>
      </c>
      <c r="V7" s="627" t="s">
        <v>25</v>
      </c>
      <c r="W7" s="628">
        <f t="shared" ref="W7:W15" si="2">J7</f>
        <v>0</v>
      </c>
      <c r="X7" s="629"/>
      <c r="Y7" s="3477" t="s">
        <v>2259</v>
      </c>
      <c r="Z7" s="3478"/>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77" t="s">
        <v>2262</v>
      </c>
      <c r="Q8" s="3478"/>
      <c r="R8" s="627" t="s">
        <v>25</v>
      </c>
      <c r="S8" s="628">
        <f t="shared" si="0"/>
        <v>0</v>
      </c>
      <c r="T8" s="627" t="s">
        <v>25</v>
      </c>
      <c r="U8" s="628">
        <f t="shared" si="1"/>
        <v>0</v>
      </c>
      <c r="V8" s="627" t="s">
        <v>25</v>
      </c>
      <c r="W8" s="628">
        <f t="shared" si="2"/>
        <v>0</v>
      </c>
      <c r="X8" s="629"/>
      <c r="Y8" s="3477" t="s">
        <v>2262</v>
      </c>
      <c r="Z8" s="3478"/>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4" t="s">
        <v>2265</v>
      </c>
      <c r="Q9" s="1327" t="str">
        <f t="shared" ref="Q9:Q15" si="6">B9</f>
        <v>用途</v>
      </c>
      <c r="R9" s="627" t="s">
        <v>25</v>
      </c>
      <c r="S9" s="628">
        <f t="shared" si="0"/>
        <v>100</v>
      </c>
      <c r="T9" s="627" t="s">
        <v>25</v>
      </c>
      <c r="U9" s="628">
        <f t="shared" si="1"/>
        <v>100</v>
      </c>
      <c r="V9" s="627" t="s">
        <v>25</v>
      </c>
      <c r="W9" s="628">
        <f t="shared" si="2"/>
        <v>100</v>
      </c>
      <c r="X9" s="629"/>
      <c r="Y9" s="3504"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4"/>
      <c r="Q10" s="1327" t="str">
        <f t="shared" si="6"/>
        <v>土地使用年限（年）</v>
      </c>
      <c r="R10" s="627" t="s">
        <v>25</v>
      </c>
      <c r="S10" s="628">
        <f t="shared" si="0"/>
        <v>100</v>
      </c>
      <c r="T10" s="627" t="s">
        <v>25</v>
      </c>
      <c r="U10" s="628">
        <f t="shared" si="1"/>
        <v>100</v>
      </c>
      <c r="V10" s="627" t="s">
        <v>25</v>
      </c>
      <c r="W10" s="628">
        <f t="shared" si="2"/>
        <v>100</v>
      </c>
      <c r="X10" s="629"/>
      <c r="Y10" s="3504"/>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4"/>
      <c r="Q11" s="1327" t="str">
        <f t="shared" si="6"/>
        <v>容积率</v>
      </c>
      <c r="R11" s="627" t="s">
        <v>25</v>
      </c>
      <c r="S11" s="628" t="e">
        <f t="shared" si="0"/>
        <v>#N/A</v>
      </c>
      <c r="T11" s="627" t="s">
        <v>25</v>
      </c>
      <c r="U11" s="628" t="e">
        <f t="shared" si="1"/>
        <v>#N/A</v>
      </c>
      <c r="V11" s="627" t="s">
        <v>25</v>
      </c>
      <c r="W11" s="628" t="e">
        <f t="shared" si="2"/>
        <v>#N/A</v>
      </c>
      <c r="X11" s="629"/>
      <c r="Y11" s="3504"/>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4"/>
      <c r="Q14" s="1327">
        <f t="shared" si="6"/>
        <v>111</v>
      </c>
      <c r="R14" s="627" t="s">
        <v>25</v>
      </c>
      <c r="S14" s="628">
        <f t="shared" si="0"/>
        <v>100</v>
      </c>
      <c r="T14" s="627" t="s">
        <v>25</v>
      </c>
      <c r="U14" s="628">
        <f t="shared" si="1"/>
        <v>100</v>
      </c>
      <c r="V14" s="627" t="s">
        <v>25</v>
      </c>
      <c r="W14" s="628">
        <f t="shared" si="2"/>
        <v>100</v>
      </c>
      <c r="X14" s="629"/>
      <c r="Y14" s="3504"/>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2" t="s">
        <v>2270</v>
      </c>
      <c r="Q15" s="1334" t="str">
        <f t="shared" si="6"/>
        <v>产业集聚程度</v>
      </c>
      <c r="R15" s="631" t="s">
        <v>25</v>
      </c>
      <c r="S15" s="632">
        <f t="shared" si="0"/>
        <v>100</v>
      </c>
      <c r="T15" s="631" t="s">
        <v>25</v>
      </c>
      <c r="U15" s="632">
        <f t="shared" si="1"/>
        <v>100</v>
      </c>
      <c r="V15" s="631" t="s">
        <v>25</v>
      </c>
      <c r="W15" s="632">
        <f t="shared" si="2"/>
        <v>100</v>
      </c>
      <c r="X15" s="1335"/>
      <c r="Y15" s="3502"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3"/>
      <c r="Q16" s="1334"/>
      <c r="R16" s="631"/>
      <c r="S16" s="632"/>
      <c r="T16" s="631"/>
      <c r="U16" s="632"/>
      <c r="V16" s="631"/>
      <c r="W16" s="632"/>
      <c r="X16" s="1335"/>
      <c r="Y16" s="3503"/>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3"/>
      <c r="Q17" s="1334" t="str">
        <f>B17</f>
        <v>交通便捷度</v>
      </c>
      <c r="R17" s="631" t="s">
        <v>25</v>
      </c>
      <c r="S17" s="632">
        <f>F17</f>
        <v>100</v>
      </c>
      <c r="T17" s="631" t="s">
        <v>25</v>
      </c>
      <c r="U17" s="632">
        <f>H17</f>
        <v>100</v>
      </c>
      <c r="V17" s="631" t="s">
        <v>25</v>
      </c>
      <c r="W17" s="632">
        <f>J17</f>
        <v>100</v>
      </c>
      <c r="X17" s="1335"/>
      <c r="Y17" s="3503"/>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3"/>
      <c r="Q18" s="1334"/>
      <c r="R18" s="631"/>
      <c r="S18" s="632"/>
      <c r="T18" s="631"/>
      <c r="U18" s="632"/>
      <c r="V18" s="631"/>
      <c r="W18" s="632"/>
      <c r="X18" s="1335"/>
      <c r="Y18" s="3503"/>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3"/>
      <c r="Q19" s="1334" t="str">
        <f>B19</f>
        <v>公共配套设施</v>
      </c>
      <c r="R19" s="631" t="s">
        <v>25</v>
      </c>
      <c r="S19" s="632">
        <f>F19</f>
        <v>100</v>
      </c>
      <c r="T19" s="631" t="s">
        <v>25</v>
      </c>
      <c r="U19" s="632">
        <f>H19</f>
        <v>100</v>
      </c>
      <c r="V19" s="631" t="s">
        <v>25</v>
      </c>
      <c r="W19" s="632">
        <f>J19</f>
        <v>100</v>
      </c>
      <c r="X19" s="1335"/>
      <c r="Y19" s="3503"/>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3"/>
      <c r="Q20" s="1334"/>
      <c r="R20" s="631"/>
      <c r="S20" s="632"/>
      <c r="T20" s="631"/>
      <c r="U20" s="632"/>
      <c r="V20" s="631"/>
      <c r="W20" s="632"/>
      <c r="X20" s="1335"/>
      <c r="Y20" s="3503"/>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3"/>
      <c r="Q21" s="1334" t="str">
        <f>B21</f>
        <v>基础设施水平</v>
      </c>
      <c r="R21" s="631" t="s">
        <v>25</v>
      </c>
      <c r="S21" s="632">
        <f>F21</f>
        <v>100</v>
      </c>
      <c r="T21" s="631" t="s">
        <v>25</v>
      </c>
      <c r="U21" s="632">
        <f>H21</f>
        <v>100</v>
      </c>
      <c r="V21" s="631" t="s">
        <v>25</v>
      </c>
      <c r="W21" s="632">
        <f>J21</f>
        <v>100</v>
      </c>
      <c r="X21" s="1335"/>
      <c r="Y21" s="3503"/>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3"/>
      <c r="Q22" s="1334"/>
      <c r="R22" s="631"/>
      <c r="S22" s="632"/>
      <c r="T22" s="631"/>
      <c r="U22" s="632"/>
      <c r="V22" s="631"/>
      <c r="W22" s="632"/>
      <c r="X22" s="1335"/>
      <c r="Y22" s="3503"/>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3"/>
      <c r="Q23" s="1334" t="str">
        <f>B23</f>
        <v>环境质量</v>
      </c>
      <c r="R23" s="631" t="s">
        <v>25</v>
      </c>
      <c r="S23" s="632">
        <f>F23</f>
        <v>100</v>
      </c>
      <c r="T23" s="631" t="s">
        <v>25</v>
      </c>
      <c r="U23" s="632">
        <f>H23</f>
        <v>100</v>
      </c>
      <c r="V23" s="631" t="s">
        <v>25</v>
      </c>
      <c r="W23" s="632">
        <f>J23</f>
        <v>100</v>
      </c>
      <c r="X23" s="1335"/>
      <c r="Y23" s="3503"/>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3"/>
      <c r="Q24" s="1334"/>
      <c r="R24" s="631"/>
      <c r="S24" s="632"/>
      <c r="T24" s="631"/>
      <c r="U24" s="632"/>
      <c r="V24" s="631"/>
      <c r="W24" s="632"/>
      <c r="X24" s="1335"/>
      <c r="Y24" s="3503"/>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3"/>
      <c r="Q25" s="1334">
        <f>B25</f>
        <v>111</v>
      </c>
      <c r="R25" s="631" t="s">
        <v>25</v>
      </c>
      <c r="S25" s="632">
        <f>F25</f>
        <v>100</v>
      </c>
      <c r="T25" s="631" t="s">
        <v>25</v>
      </c>
      <c r="U25" s="632">
        <f>H25</f>
        <v>100</v>
      </c>
      <c r="V25" s="631" t="s">
        <v>25</v>
      </c>
      <c r="W25" s="632">
        <f>J25</f>
        <v>100</v>
      </c>
      <c r="X25" s="1335"/>
      <c r="Y25" s="3503"/>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3"/>
      <c r="Q26" s="1334">
        <f t="shared" ref="Q26:Q40" si="11">B26</f>
        <v>111</v>
      </c>
      <c r="R26" s="631" t="s">
        <v>25</v>
      </c>
      <c r="S26" s="632">
        <f>F26</f>
        <v>100</v>
      </c>
      <c r="T26" s="631" t="s">
        <v>25</v>
      </c>
      <c r="U26" s="632">
        <f>H26</f>
        <v>100</v>
      </c>
      <c r="V26" s="631" t="s">
        <v>25</v>
      </c>
      <c r="W26" s="632">
        <f>J26</f>
        <v>100</v>
      </c>
      <c r="X26" s="1335"/>
      <c r="Y26" s="3503"/>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3"/>
      <c r="Q27" s="1327">
        <f t="shared" si="11"/>
        <v>111</v>
      </c>
      <c r="R27" s="627" t="s">
        <v>25</v>
      </c>
      <c r="S27" s="628">
        <f>F27</f>
        <v>100</v>
      </c>
      <c r="T27" s="627" t="s">
        <v>25</v>
      </c>
      <c r="U27" s="628">
        <f>H27</f>
        <v>100</v>
      </c>
      <c r="V27" s="627" t="s">
        <v>25</v>
      </c>
      <c r="W27" s="628">
        <f>J27</f>
        <v>100</v>
      </c>
      <c r="X27" s="629"/>
      <c r="Y27" s="3503"/>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3"/>
      <c r="Q28" s="1334">
        <f t="shared" si="11"/>
        <v>111</v>
      </c>
      <c r="R28" s="631" t="s">
        <v>25</v>
      </c>
      <c r="S28" s="632">
        <f t="shared" ref="S28:S40" si="12">F28</f>
        <v>100</v>
      </c>
      <c r="T28" s="631" t="s">
        <v>25</v>
      </c>
      <c r="U28" s="632">
        <f t="shared" ref="U28:U40" si="13">H28</f>
        <v>100</v>
      </c>
      <c r="V28" s="631" t="s">
        <v>25</v>
      </c>
      <c r="W28" s="632">
        <f t="shared" ref="W28:W40" si="14">J28</f>
        <v>100</v>
      </c>
      <c r="X28" s="1335"/>
      <c r="Y28" s="3503"/>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5" t="s">
        <v>2276</v>
      </c>
      <c r="Q29" s="1334" t="str">
        <f t="shared" si="11"/>
        <v>建筑类型</v>
      </c>
      <c r="R29" s="631" t="s">
        <v>25</v>
      </c>
      <c r="S29" s="632">
        <f t="shared" si="12"/>
        <v>100</v>
      </c>
      <c r="T29" s="631" t="s">
        <v>25</v>
      </c>
      <c r="U29" s="632">
        <f t="shared" si="13"/>
        <v>100</v>
      </c>
      <c r="V29" s="631" t="s">
        <v>25</v>
      </c>
      <c r="W29" s="632">
        <f t="shared" si="14"/>
        <v>100</v>
      </c>
      <c r="X29" s="1335"/>
      <c r="Y29" s="3506"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6"/>
      <c r="Q30" s="633" t="str">
        <f t="shared" si="11"/>
        <v>项目建筑规模</v>
      </c>
      <c r="R30" s="634" t="s">
        <v>25</v>
      </c>
      <c r="S30" s="635" t="e">
        <f t="shared" si="12"/>
        <v>#N/A</v>
      </c>
      <c r="T30" s="634" t="s">
        <v>25</v>
      </c>
      <c r="U30" s="635" t="e">
        <f t="shared" si="13"/>
        <v>#N/A</v>
      </c>
      <c r="V30" s="634" t="s">
        <v>25</v>
      </c>
      <c r="W30" s="635" t="e">
        <f t="shared" si="14"/>
        <v>#N/A</v>
      </c>
      <c r="X30" s="636"/>
      <c r="Y30" s="3506"/>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6"/>
      <c r="Q31" s="1334" t="str">
        <f t="shared" si="11"/>
        <v>建筑结构</v>
      </c>
      <c r="R31" s="631" t="s">
        <v>25</v>
      </c>
      <c r="S31" s="632">
        <f t="shared" si="12"/>
        <v>100</v>
      </c>
      <c r="T31" s="631" t="s">
        <v>25</v>
      </c>
      <c r="U31" s="632">
        <f t="shared" si="13"/>
        <v>100</v>
      </c>
      <c r="V31" s="631" t="s">
        <v>25</v>
      </c>
      <c r="W31" s="632">
        <f t="shared" si="14"/>
        <v>100</v>
      </c>
      <c r="X31" s="1335"/>
      <c r="Y31" s="3506"/>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6"/>
      <c r="Q32" s="1334" t="str">
        <f t="shared" si="11"/>
        <v>公共部分装修</v>
      </c>
      <c r="R32" s="631" t="s">
        <v>25</v>
      </c>
      <c r="S32" s="632">
        <f t="shared" si="12"/>
        <v>100</v>
      </c>
      <c r="T32" s="631" t="s">
        <v>25</v>
      </c>
      <c r="U32" s="632">
        <f t="shared" si="13"/>
        <v>100</v>
      </c>
      <c r="V32" s="631" t="s">
        <v>25</v>
      </c>
      <c r="W32" s="632">
        <f t="shared" si="14"/>
        <v>100</v>
      </c>
      <c r="X32" s="1335"/>
      <c r="Y32" s="3506"/>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6"/>
      <c r="Q33" s="1334" t="str">
        <f t="shared" si="11"/>
        <v>成新度</v>
      </c>
      <c r="R33" s="631" t="s">
        <v>25</v>
      </c>
      <c r="S33" s="632" t="e">
        <f t="shared" si="12"/>
        <v>#N/A</v>
      </c>
      <c r="T33" s="631" t="s">
        <v>25</v>
      </c>
      <c r="U33" s="632" t="e">
        <f t="shared" si="13"/>
        <v>#N/A</v>
      </c>
      <c r="V33" s="631" t="s">
        <v>25</v>
      </c>
      <c r="W33" s="632" t="e">
        <f t="shared" si="14"/>
        <v>#N/A</v>
      </c>
      <c r="X33" s="1335"/>
      <c r="Y33" s="3506"/>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6"/>
      <c r="Q34" s="1327" t="str">
        <f t="shared" si="11"/>
        <v>物业管理</v>
      </c>
      <c r="R34" s="627" t="s">
        <v>25</v>
      </c>
      <c r="S34" s="628">
        <f t="shared" si="12"/>
        <v>100</v>
      </c>
      <c r="T34" s="627" t="s">
        <v>25</v>
      </c>
      <c r="U34" s="628">
        <f t="shared" si="13"/>
        <v>100</v>
      </c>
      <c r="V34" s="627" t="s">
        <v>25</v>
      </c>
      <c r="W34" s="628">
        <f t="shared" si="14"/>
        <v>100</v>
      </c>
      <c r="X34" s="629"/>
      <c r="Y34" s="3506"/>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6" t="s">
        <v>2276</v>
      </c>
      <c r="Q35" s="1334" t="str">
        <f t="shared" si="11"/>
        <v>市政基础设施</v>
      </c>
      <c r="R35" s="631" t="s">
        <v>25</v>
      </c>
      <c r="S35" s="632">
        <f t="shared" si="12"/>
        <v>100</v>
      </c>
      <c r="T35" s="631" t="s">
        <v>25</v>
      </c>
      <c r="U35" s="632">
        <f t="shared" si="13"/>
        <v>100</v>
      </c>
      <c r="V35" s="631" t="s">
        <v>25</v>
      </c>
      <c r="W35" s="632">
        <f t="shared" si="14"/>
        <v>100</v>
      </c>
      <c r="X35" s="1335"/>
      <c r="Y35" s="3506"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6"/>
      <c r="Q36" s="1334" t="str">
        <f t="shared" si="11"/>
        <v>内部装修</v>
      </c>
      <c r="R36" s="631" t="s">
        <v>25</v>
      </c>
      <c r="S36" s="632">
        <f t="shared" si="12"/>
        <v>100</v>
      </c>
      <c r="T36" s="631" t="s">
        <v>25</v>
      </c>
      <c r="U36" s="632">
        <f t="shared" si="13"/>
        <v>100</v>
      </c>
      <c r="V36" s="631" t="s">
        <v>25</v>
      </c>
      <c r="W36" s="632">
        <f t="shared" si="14"/>
        <v>100</v>
      </c>
      <c r="X36" s="1335"/>
      <c r="Y36" s="3506"/>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6"/>
      <c r="Q37" s="1334" t="str">
        <f t="shared" si="11"/>
        <v>内部装修状况</v>
      </c>
      <c r="R37" s="631" t="s">
        <v>25</v>
      </c>
      <c r="S37" s="632">
        <f t="shared" si="12"/>
        <v>100</v>
      </c>
      <c r="T37" s="631" t="s">
        <v>25</v>
      </c>
      <c r="U37" s="632">
        <f t="shared" si="13"/>
        <v>100</v>
      </c>
      <c r="V37" s="631" t="s">
        <v>25</v>
      </c>
      <c r="W37" s="632">
        <f t="shared" si="14"/>
        <v>100</v>
      </c>
      <c r="X37" s="1335"/>
      <c r="Y37" s="3506"/>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6"/>
      <c r="Q38" s="633">
        <f t="shared" si="11"/>
        <v>111</v>
      </c>
      <c r="R38" s="634" t="s">
        <v>25</v>
      </c>
      <c r="S38" s="635">
        <f t="shared" si="12"/>
        <v>100</v>
      </c>
      <c r="T38" s="634" t="s">
        <v>25</v>
      </c>
      <c r="U38" s="635">
        <f t="shared" si="13"/>
        <v>100</v>
      </c>
      <c r="V38" s="634" t="s">
        <v>25</v>
      </c>
      <c r="W38" s="635">
        <f t="shared" si="14"/>
        <v>100</v>
      </c>
      <c r="X38" s="636"/>
      <c r="Y38" s="3506"/>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6"/>
      <c r="Q39" s="1334">
        <f t="shared" si="11"/>
        <v>111</v>
      </c>
      <c r="R39" s="631" t="s">
        <v>25</v>
      </c>
      <c r="S39" s="632">
        <f t="shared" si="12"/>
        <v>100</v>
      </c>
      <c r="T39" s="631" t="s">
        <v>25</v>
      </c>
      <c r="U39" s="632">
        <f t="shared" si="13"/>
        <v>100</v>
      </c>
      <c r="V39" s="631" t="s">
        <v>25</v>
      </c>
      <c r="W39" s="632">
        <f t="shared" si="14"/>
        <v>100</v>
      </c>
      <c r="X39" s="1335"/>
      <c r="Y39" s="3506"/>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7"/>
      <c r="Q40" s="1334">
        <f t="shared" si="11"/>
        <v>111</v>
      </c>
      <c r="R40" s="631" t="s">
        <v>25</v>
      </c>
      <c r="S40" s="632">
        <f t="shared" si="12"/>
        <v>100</v>
      </c>
      <c r="T40" s="631" t="s">
        <v>25</v>
      </c>
      <c r="U40" s="632">
        <f t="shared" si="13"/>
        <v>100</v>
      </c>
      <c r="V40" s="631" t="s">
        <v>25</v>
      </c>
      <c r="W40" s="632">
        <f t="shared" si="14"/>
        <v>100</v>
      </c>
      <c r="X40" s="1335"/>
      <c r="Y40" s="3507"/>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74" t="str">
        <f>A41</f>
        <v>成交单价（元/平方米）</v>
      </c>
      <c r="Q41" s="3474"/>
      <c r="R41" s="3508">
        <f>E41</f>
        <v>0</v>
      </c>
      <c r="S41" s="3508"/>
      <c r="T41" s="3508">
        <f>G41</f>
        <v>0</v>
      </c>
      <c r="U41" s="3508"/>
      <c r="V41" s="3508">
        <f>I41</f>
        <v>0</v>
      </c>
      <c r="W41" s="3508"/>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1">
        <f>F42+H42+J42</f>
        <v>0</v>
      </c>
      <c r="L42" s="3037"/>
      <c r="N42" s="3026"/>
      <c r="P42" s="3474" t="str">
        <f>A42</f>
        <v>比较价值（元/平方米）</v>
      </c>
      <c r="Q42" s="3474"/>
      <c r="R42" s="3508" t="e">
        <f>IF(E1="售价",ROUND(PRODUCT(R41,AA7:AA40),0),ROUND(PRODUCT(R41,AA7:AA40),1))</f>
        <v>#DIV/0!</v>
      </c>
      <c r="S42" s="3508"/>
      <c r="T42" s="3508" t="e">
        <f>IF(E1="售价",ROUND(PRODUCT(T41,AB7:AB40),0),ROUND(PRODUCT(T41,AB7:AB40),1))</f>
        <v>#DIV/0!</v>
      </c>
      <c r="U42" s="3508"/>
      <c r="V42" s="3508" t="e">
        <f>IF(E1="售价",ROUND(PRODUCT(V41,AC7:AC40),0),ROUND(PRODUCT(V41,AC7:AC40),1))</f>
        <v>#DIV/0!</v>
      </c>
      <c r="W42" s="3508"/>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509" t="str">
        <f>A43</f>
        <v>估价对象XX用房的比较价值（楼面单价，元/平方米）</v>
      </c>
      <c r="Q43" s="3510"/>
      <c r="R43" s="3511" t="e">
        <f>IF(E1="售价",ROUND(IF(D42="简单平均",AVERAGE(R42:V42),R42*F42+T42*H42+V42*J42),0),ROUND(IF(D42="简单平均",AVERAGE(R42:V42),R42*F42+T42*H42+V42*J42),1))</f>
        <v>#DIV/0!</v>
      </c>
      <c r="S43" s="3511"/>
      <c r="T43" s="3511"/>
      <c r="U43" s="3511"/>
      <c r="V43" s="3511"/>
      <c r="W43" s="3511"/>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2005-12</v>
      </c>
      <c r="D52" s="1188">
        <f>EDATE(C52,-1)</f>
        <v>38657</v>
      </c>
      <c r="E52" s="1189">
        <f t="shared" ref="E52:O52" si="16">EDATE(D52,-1)</f>
        <v>38626</v>
      </c>
      <c r="F52" s="1189">
        <f t="shared" si="16"/>
        <v>38596</v>
      </c>
      <c r="G52" s="1189">
        <f t="shared" si="16"/>
        <v>38565</v>
      </c>
      <c r="H52" s="1189">
        <f t="shared" si="16"/>
        <v>38534</v>
      </c>
      <c r="I52" s="1189">
        <f t="shared" si="16"/>
        <v>38504</v>
      </c>
      <c r="J52" s="1189">
        <f t="shared" si="16"/>
        <v>38473</v>
      </c>
      <c r="K52" s="1189">
        <f t="shared" si="16"/>
        <v>38443</v>
      </c>
      <c r="L52" s="1189">
        <f t="shared" si="16"/>
        <v>38412</v>
      </c>
      <c r="M52" s="1189">
        <f t="shared" si="16"/>
        <v>38384</v>
      </c>
      <c r="N52" s="1189">
        <f t="shared" si="16"/>
        <v>38353</v>
      </c>
      <c r="O52" s="1189">
        <f t="shared" si="16"/>
        <v>38322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G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110.82</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2" t="s">
        <v>2246</v>
      </c>
      <c r="D4" s="3483"/>
      <c r="E4" s="3484" t="s">
        <v>2247</v>
      </c>
      <c r="F4" s="3485"/>
      <c r="G4" s="3482" t="s">
        <v>2248</v>
      </c>
      <c r="H4" s="3483"/>
      <c r="I4" s="3482" t="s">
        <v>2249</v>
      </c>
      <c r="J4" s="3483"/>
      <c r="K4" s="496" t="s">
        <v>2250</v>
      </c>
      <c r="L4" s="3025"/>
      <c r="M4" s="3026"/>
      <c r="N4" s="3026"/>
      <c r="O4" s="3026"/>
      <c r="P4" s="3486" t="s">
        <v>2251</v>
      </c>
      <c r="Q4" s="3487"/>
      <c r="R4" s="3492" t="s">
        <v>2247</v>
      </c>
      <c r="S4" s="3493"/>
      <c r="T4" s="3492" t="s">
        <v>2248</v>
      </c>
      <c r="U4" s="3493"/>
      <c r="V4" s="3498" t="s">
        <v>2249</v>
      </c>
      <c r="W4" s="3498"/>
      <c r="X4" s="1335"/>
      <c r="Y4" s="3492" t="s">
        <v>2251</v>
      </c>
      <c r="Z4" s="3493"/>
      <c r="AA4" s="3479" t="s">
        <v>2247</v>
      </c>
      <c r="AB4" s="3480" t="s">
        <v>2248</v>
      </c>
      <c r="AC4" s="3479" t="s">
        <v>2249</v>
      </c>
    </row>
    <row r="5" spans="1:29" ht="15">
      <c r="A5" s="297"/>
      <c r="B5" s="298"/>
      <c r="C5" s="3475" t="s">
        <v>2252</v>
      </c>
      <c r="D5" s="3476"/>
      <c r="E5" s="3499" t="s">
        <v>2253</v>
      </c>
      <c r="F5" s="3500"/>
      <c r="G5" s="3475" t="s">
        <v>2254</v>
      </c>
      <c r="H5" s="3476"/>
      <c r="I5" s="3475" t="s">
        <v>2255</v>
      </c>
      <c r="J5" s="3476"/>
      <c r="K5" s="496"/>
      <c r="L5" s="3025"/>
      <c r="M5" s="3026"/>
      <c r="N5" s="3026"/>
      <c r="O5" s="3026"/>
      <c r="P5" s="3488"/>
      <c r="Q5" s="3489"/>
      <c r="R5" s="3494"/>
      <c r="S5" s="3495"/>
      <c r="T5" s="3494"/>
      <c r="U5" s="3495"/>
      <c r="V5" s="3498"/>
      <c r="W5" s="3498"/>
      <c r="X5" s="1335"/>
      <c r="Y5" s="3494"/>
      <c r="Z5" s="3495"/>
      <c r="AA5" s="3480"/>
      <c r="AB5" s="3480"/>
      <c r="AC5" s="3480"/>
    </row>
    <row r="6" spans="1:29" ht="15.75" thickBot="1">
      <c r="A6" s="299"/>
      <c r="B6" s="300"/>
      <c r="C6" s="3472" t="s">
        <v>2256</v>
      </c>
      <c r="D6" s="3473"/>
      <c r="E6" s="3470" t="s">
        <v>2256</v>
      </c>
      <c r="F6" s="3471"/>
      <c r="G6" s="3472" t="s">
        <v>2256</v>
      </c>
      <c r="H6" s="3473"/>
      <c r="I6" s="3472" t="s">
        <v>2256</v>
      </c>
      <c r="J6" s="3473"/>
      <c r="K6" s="496" t="s">
        <v>2257</v>
      </c>
      <c r="L6" s="3025"/>
      <c r="M6" s="3026"/>
      <c r="N6" s="3026"/>
      <c r="O6" s="3026"/>
      <c r="P6" s="3490"/>
      <c r="Q6" s="3491"/>
      <c r="R6" s="3494"/>
      <c r="S6" s="3495"/>
      <c r="T6" s="3496"/>
      <c r="U6" s="3497"/>
      <c r="V6" s="3498"/>
      <c r="W6" s="3498"/>
      <c r="X6" s="1335"/>
      <c r="Y6" s="3496"/>
      <c r="Z6" s="3497"/>
      <c r="AA6" s="3481"/>
      <c r="AB6" s="3481"/>
      <c r="AC6" s="3481"/>
    </row>
    <row r="7" spans="1:29" s="25" customFormat="1" ht="15.75" thickBot="1">
      <c r="A7" s="301" t="s">
        <v>2258</v>
      </c>
      <c r="B7" s="302"/>
      <c r="C7" s="303">
        <f>'数据-取费表'!B2</f>
        <v>38705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77" t="s">
        <v>2259</v>
      </c>
      <c r="Q7" s="3501"/>
      <c r="R7" s="627" t="s">
        <v>25</v>
      </c>
      <c r="S7" s="628">
        <f t="shared" ref="S7:S14" si="0">F7</f>
        <v>0</v>
      </c>
      <c r="T7" s="627" t="s">
        <v>25</v>
      </c>
      <c r="U7" s="628">
        <f t="shared" ref="U7:U14" si="1">H7</f>
        <v>0</v>
      </c>
      <c r="V7" s="627" t="s">
        <v>25</v>
      </c>
      <c r="W7" s="628">
        <f t="shared" ref="W7:W14" si="2">J7</f>
        <v>0</v>
      </c>
      <c r="X7" s="629"/>
      <c r="Y7" s="3477" t="s">
        <v>2259</v>
      </c>
      <c r="Z7" s="3478"/>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77" t="s">
        <v>2262</v>
      </c>
      <c r="Q8" s="3478"/>
      <c r="R8" s="627" t="s">
        <v>25</v>
      </c>
      <c r="S8" s="628">
        <f t="shared" si="0"/>
        <v>0</v>
      </c>
      <c r="T8" s="627" t="s">
        <v>25</v>
      </c>
      <c r="U8" s="628">
        <f t="shared" si="1"/>
        <v>0</v>
      </c>
      <c r="V8" s="627" t="s">
        <v>25</v>
      </c>
      <c r="W8" s="628">
        <f t="shared" si="2"/>
        <v>0</v>
      </c>
      <c r="X8" s="629"/>
      <c r="Y8" s="3477" t="s">
        <v>2262</v>
      </c>
      <c r="Z8" s="3478"/>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4" t="s">
        <v>2265</v>
      </c>
      <c r="Q9" s="1327" t="str">
        <f t="shared" ref="Q9:Q14" si="6">B9</f>
        <v>用途</v>
      </c>
      <c r="R9" s="627" t="s">
        <v>25</v>
      </c>
      <c r="S9" s="628">
        <f t="shared" si="0"/>
        <v>100</v>
      </c>
      <c r="T9" s="627" t="s">
        <v>25</v>
      </c>
      <c r="U9" s="628">
        <f t="shared" si="1"/>
        <v>100</v>
      </c>
      <c r="V9" s="627" t="s">
        <v>25</v>
      </c>
      <c r="W9" s="628">
        <f t="shared" si="2"/>
        <v>100</v>
      </c>
      <c r="X9" s="629"/>
      <c r="Y9" s="3504"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4"/>
      <c r="Q10" s="1327" t="str">
        <f t="shared" si="6"/>
        <v>土地使用年限（年）</v>
      </c>
      <c r="R10" s="627" t="s">
        <v>25</v>
      </c>
      <c r="S10" s="628">
        <f t="shared" si="0"/>
        <v>100</v>
      </c>
      <c r="T10" s="627" t="s">
        <v>25</v>
      </c>
      <c r="U10" s="628">
        <f t="shared" si="1"/>
        <v>100</v>
      </c>
      <c r="V10" s="627" t="s">
        <v>25</v>
      </c>
      <c r="W10" s="628">
        <f t="shared" si="2"/>
        <v>100</v>
      </c>
      <c r="X10" s="629"/>
      <c r="Y10" s="350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4"/>
      <c r="Q11" s="1327">
        <f t="shared" si="6"/>
        <v>111</v>
      </c>
      <c r="R11" s="627" t="s">
        <v>25</v>
      </c>
      <c r="S11" s="628">
        <f t="shared" si="0"/>
        <v>100</v>
      </c>
      <c r="T11" s="627" t="s">
        <v>25</v>
      </c>
      <c r="U11" s="628">
        <f t="shared" si="1"/>
        <v>100</v>
      </c>
      <c r="V11" s="627" t="s">
        <v>25</v>
      </c>
      <c r="W11" s="628">
        <f t="shared" si="2"/>
        <v>100</v>
      </c>
      <c r="X11" s="629"/>
      <c r="Y11" s="350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2" t="s">
        <v>2270</v>
      </c>
      <c r="Q14" s="1334" t="str">
        <f t="shared" si="6"/>
        <v>交通便捷度</v>
      </c>
      <c r="R14" s="631" t="s">
        <v>25</v>
      </c>
      <c r="S14" s="632">
        <f t="shared" si="0"/>
        <v>100</v>
      </c>
      <c r="T14" s="631" t="s">
        <v>25</v>
      </c>
      <c r="U14" s="632">
        <f t="shared" si="1"/>
        <v>100</v>
      </c>
      <c r="V14" s="631" t="s">
        <v>25</v>
      </c>
      <c r="W14" s="632">
        <f t="shared" si="2"/>
        <v>100</v>
      </c>
      <c r="X14" s="1335"/>
      <c r="Y14" s="3502"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3"/>
      <c r="Q15" s="1334"/>
      <c r="R15" s="631"/>
      <c r="S15" s="632"/>
      <c r="T15" s="631"/>
      <c r="U15" s="632"/>
      <c r="V15" s="631"/>
      <c r="W15" s="632"/>
      <c r="X15" s="1335"/>
      <c r="Y15" s="3503"/>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3"/>
      <c r="Q16" s="1334" t="str">
        <f>B16</f>
        <v>公共配套设施</v>
      </c>
      <c r="R16" s="631" t="s">
        <v>25</v>
      </c>
      <c r="S16" s="632">
        <f>F16</f>
        <v>100</v>
      </c>
      <c r="T16" s="631" t="s">
        <v>25</v>
      </c>
      <c r="U16" s="632">
        <f>H16</f>
        <v>100</v>
      </c>
      <c r="V16" s="631" t="s">
        <v>25</v>
      </c>
      <c r="W16" s="632">
        <f>J16</f>
        <v>100</v>
      </c>
      <c r="X16" s="1335"/>
      <c r="Y16" s="350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3"/>
      <c r="Q17" s="1334"/>
      <c r="R17" s="631"/>
      <c r="S17" s="632"/>
      <c r="T17" s="631"/>
      <c r="U17" s="632"/>
      <c r="V17" s="631"/>
      <c r="W17" s="632"/>
      <c r="X17" s="1335"/>
      <c r="Y17" s="3503"/>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3"/>
      <c r="Q18" s="1334" t="str">
        <f>B18</f>
        <v>基础设施水平</v>
      </c>
      <c r="R18" s="631" t="s">
        <v>25</v>
      </c>
      <c r="S18" s="632">
        <f>F18</f>
        <v>100</v>
      </c>
      <c r="T18" s="631" t="s">
        <v>25</v>
      </c>
      <c r="U18" s="632">
        <f>H18</f>
        <v>100</v>
      </c>
      <c r="V18" s="631" t="s">
        <v>25</v>
      </c>
      <c r="W18" s="632">
        <f>J18</f>
        <v>100</v>
      </c>
      <c r="X18" s="1335"/>
      <c r="Y18" s="350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3"/>
      <c r="Q19" s="1334"/>
      <c r="R19" s="631"/>
      <c r="S19" s="632"/>
      <c r="T19" s="631"/>
      <c r="U19" s="632"/>
      <c r="V19" s="631"/>
      <c r="W19" s="632"/>
      <c r="X19" s="1335"/>
      <c r="Y19" s="3503"/>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3"/>
      <c r="Q20" s="1334" t="str">
        <f>B20</f>
        <v>自然及人文环境</v>
      </c>
      <c r="R20" s="631" t="s">
        <v>25</v>
      </c>
      <c r="S20" s="632">
        <f>F20</f>
        <v>100</v>
      </c>
      <c r="T20" s="631" t="s">
        <v>25</v>
      </c>
      <c r="U20" s="632">
        <f>H20</f>
        <v>100</v>
      </c>
      <c r="V20" s="631" t="s">
        <v>25</v>
      </c>
      <c r="W20" s="632">
        <f>J20</f>
        <v>100</v>
      </c>
      <c r="X20" s="1335"/>
      <c r="Y20" s="350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3"/>
      <c r="Q21" s="1334"/>
      <c r="R21" s="631"/>
      <c r="S21" s="632"/>
      <c r="T21" s="631"/>
      <c r="U21" s="632"/>
      <c r="V21" s="631"/>
      <c r="W21" s="632"/>
      <c r="X21" s="1335"/>
      <c r="Y21" s="3503"/>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3"/>
      <c r="Q22" s="1334" t="str">
        <f>B22</f>
        <v>楼层</v>
      </c>
      <c r="R22" s="631" t="s">
        <v>25</v>
      </c>
      <c r="S22" s="632">
        <f>F22</f>
        <v>100</v>
      </c>
      <c r="T22" s="631" t="s">
        <v>25</v>
      </c>
      <c r="U22" s="632">
        <f>H22</f>
        <v>100</v>
      </c>
      <c r="V22" s="631" t="s">
        <v>25</v>
      </c>
      <c r="W22" s="632">
        <f>J22</f>
        <v>100</v>
      </c>
      <c r="X22" s="1335"/>
      <c r="Y22" s="350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3"/>
      <c r="Q23" s="1334">
        <f>B23</f>
        <v>111</v>
      </c>
      <c r="R23" s="631" t="s">
        <v>25</v>
      </c>
      <c r="S23" s="632">
        <f>F23</f>
        <v>100</v>
      </c>
      <c r="T23" s="631" t="s">
        <v>25</v>
      </c>
      <c r="U23" s="632">
        <f>H23</f>
        <v>100</v>
      </c>
      <c r="V23" s="631" t="s">
        <v>25</v>
      </c>
      <c r="W23" s="632">
        <f>J23</f>
        <v>100</v>
      </c>
      <c r="X23" s="1335"/>
      <c r="Y23" s="350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3"/>
      <c r="Q24" s="1334">
        <f t="shared" ref="Q24:Q36" si="11">B24</f>
        <v>111</v>
      </c>
      <c r="R24" s="631" t="s">
        <v>25</v>
      </c>
      <c r="S24" s="632">
        <f>F24</f>
        <v>100</v>
      </c>
      <c r="T24" s="631" t="s">
        <v>25</v>
      </c>
      <c r="U24" s="632">
        <f>H24</f>
        <v>100</v>
      </c>
      <c r="V24" s="631" t="s">
        <v>25</v>
      </c>
      <c r="W24" s="632">
        <f>J24</f>
        <v>100</v>
      </c>
      <c r="X24" s="1335"/>
      <c r="Y24" s="350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3"/>
      <c r="Q25" s="1327">
        <f t="shared" si="11"/>
        <v>111</v>
      </c>
      <c r="R25" s="627" t="s">
        <v>25</v>
      </c>
      <c r="S25" s="628">
        <f>F25</f>
        <v>100</v>
      </c>
      <c r="T25" s="627" t="s">
        <v>25</v>
      </c>
      <c r="U25" s="628">
        <f>H25</f>
        <v>100</v>
      </c>
      <c r="V25" s="627" t="s">
        <v>25</v>
      </c>
      <c r="W25" s="628">
        <f>J25</f>
        <v>100</v>
      </c>
      <c r="X25" s="629"/>
      <c r="Y25" s="3503"/>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5"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6"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6"/>
      <c r="Q27" s="633" t="str">
        <f t="shared" si="11"/>
        <v>项目停车位配比</v>
      </c>
      <c r="R27" s="634" t="s">
        <v>25</v>
      </c>
      <c r="S27" s="635">
        <f t="shared" si="12"/>
        <v>100</v>
      </c>
      <c r="T27" s="634" t="s">
        <v>25</v>
      </c>
      <c r="U27" s="635">
        <f t="shared" si="13"/>
        <v>100</v>
      </c>
      <c r="V27" s="634" t="s">
        <v>25</v>
      </c>
      <c r="W27" s="635">
        <f t="shared" si="14"/>
        <v>100</v>
      </c>
      <c r="X27" s="636"/>
      <c r="Y27" s="3506"/>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6"/>
      <c r="Q28" s="1334" t="str">
        <f t="shared" si="11"/>
        <v>公共部分装修</v>
      </c>
      <c r="R28" s="631" t="s">
        <v>25</v>
      </c>
      <c r="S28" s="632">
        <f t="shared" si="12"/>
        <v>100</v>
      </c>
      <c r="T28" s="631" t="s">
        <v>25</v>
      </c>
      <c r="U28" s="632">
        <f t="shared" si="13"/>
        <v>100</v>
      </c>
      <c r="V28" s="631" t="s">
        <v>25</v>
      </c>
      <c r="W28" s="632">
        <f t="shared" si="14"/>
        <v>100</v>
      </c>
      <c r="X28" s="1335"/>
      <c r="Y28" s="3506"/>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6"/>
      <c r="Q29" s="1334" t="str">
        <f t="shared" si="11"/>
        <v>成新率</v>
      </c>
      <c r="R29" s="631" t="s">
        <v>25</v>
      </c>
      <c r="S29" s="632" t="e">
        <f t="shared" si="12"/>
        <v>#N/A</v>
      </c>
      <c r="T29" s="631" t="s">
        <v>25</v>
      </c>
      <c r="U29" s="632" t="e">
        <f t="shared" si="13"/>
        <v>#N/A</v>
      </c>
      <c r="V29" s="631" t="s">
        <v>25</v>
      </c>
      <c r="W29" s="632" t="e">
        <f t="shared" si="14"/>
        <v>#N/A</v>
      </c>
      <c r="X29" s="1335"/>
      <c r="Y29" s="3506"/>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6"/>
      <c r="Q30" s="1334" t="str">
        <f t="shared" si="11"/>
        <v>物业等级</v>
      </c>
      <c r="R30" s="631" t="s">
        <v>25</v>
      </c>
      <c r="S30" s="632">
        <f t="shared" si="12"/>
        <v>100</v>
      </c>
      <c r="T30" s="631" t="s">
        <v>25</v>
      </c>
      <c r="U30" s="632">
        <f t="shared" si="13"/>
        <v>100</v>
      </c>
      <c r="V30" s="631" t="s">
        <v>25</v>
      </c>
      <c r="W30" s="632">
        <f t="shared" si="14"/>
        <v>100</v>
      </c>
      <c r="X30" s="1335"/>
      <c r="Y30" s="3506"/>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6"/>
      <c r="Q31" s="1327" t="str">
        <f t="shared" si="11"/>
        <v>停车位面积</v>
      </c>
      <c r="R31" s="627" t="s">
        <v>25</v>
      </c>
      <c r="S31" s="628" t="e">
        <f t="shared" si="12"/>
        <v>#N/A</v>
      </c>
      <c r="T31" s="627" t="s">
        <v>25</v>
      </c>
      <c r="U31" s="628" t="e">
        <f t="shared" si="13"/>
        <v>#N/A</v>
      </c>
      <c r="V31" s="627" t="s">
        <v>25</v>
      </c>
      <c r="W31" s="628" t="e">
        <f t="shared" si="14"/>
        <v>#N/A</v>
      </c>
      <c r="X31" s="629"/>
      <c r="Y31" s="3506"/>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6" t="s">
        <v>2276</v>
      </c>
      <c r="Q32" s="1334" t="str">
        <f t="shared" si="11"/>
        <v>车位类型</v>
      </c>
      <c r="R32" s="631" t="s">
        <v>25</v>
      </c>
      <c r="S32" s="632">
        <f t="shared" si="12"/>
        <v>100</v>
      </c>
      <c r="T32" s="631" t="s">
        <v>25</v>
      </c>
      <c r="U32" s="632">
        <f t="shared" si="13"/>
        <v>100</v>
      </c>
      <c r="V32" s="631" t="s">
        <v>25</v>
      </c>
      <c r="W32" s="632">
        <f t="shared" si="14"/>
        <v>100</v>
      </c>
      <c r="X32" s="1335"/>
      <c r="Y32" s="3506"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6"/>
      <c r="Q33" s="1334" t="str">
        <f t="shared" si="11"/>
        <v>是否直接入户</v>
      </c>
      <c r="R33" s="631" t="s">
        <v>25</v>
      </c>
      <c r="S33" s="632">
        <f t="shared" si="12"/>
        <v>100</v>
      </c>
      <c r="T33" s="631" t="s">
        <v>25</v>
      </c>
      <c r="U33" s="632">
        <f t="shared" si="13"/>
        <v>100</v>
      </c>
      <c r="V33" s="631" t="s">
        <v>25</v>
      </c>
      <c r="W33" s="632">
        <f t="shared" si="14"/>
        <v>100</v>
      </c>
      <c r="X33" s="1335"/>
      <c r="Y33" s="350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6"/>
      <c r="Q34" s="1334">
        <f t="shared" si="11"/>
        <v>111</v>
      </c>
      <c r="R34" s="631" t="s">
        <v>25</v>
      </c>
      <c r="S34" s="632">
        <f t="shared" si="12"/>
        <v>100</v>
      </c>
      <c r="T34" s="631" t="s">
        <v>25</v>
      </c>
      <c r="U34" s="632">
        <f t="shared" si="13"/>
        <v>100</v>
      </c>
      <c r="V34" s="631" t="s">
        <v>25</v>
      </c>
      <c r="W34" s="632">
        <f t="shared" si="14"/>
        <v>100</v>
      </c>
      <c r="X34" s="1335"/>
      <c r="Y34" s="350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6"/>
      <c r="Q35" s="633">
        <f t="shared" si="11"/>
        <v>111</v>
      </c>
      <c r="R35" s="634" t="s">
        <v>25</v>
      </c>
      <c r="S35" s="635">
        <f t="shared" si="12"/>
        <v>100</v>
      </c>
      <c r="T35" s="634" t="s">
        <v>25</v>
      </c>
      <c r="U35" s="635">
        <f t="shared" si="13"/>
        <v>100</v>
      </c>
      <c r="V35" s="634" t="s">
        <v>25</v>
      </c>
      <c r="W35" s="635">
        <f t="shared" si="14"/>
        <v>100</v>
      </c>
      <c r="X35" s="636"/>
      <c r="Y35" s="350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6"/>
      <c r="Q36" s="1334">
        <f t="shared" si="11"/>
        <v>111</v>
      </c>
      <c r="R36" s="631" t="s">
        <v>25</v>
      </c>
      <c r="S36" s="632">
        <f t="shared" si="12"/>
        <v>100</v>
      </c>
      <c r="T36" s="631" t="s">
        <v>25</v>
      </c>
      <c r="U36" s="632">
        <f t="shared" si="13"/>
        <v>100</v>
      </c>
      <c r="V36" s="631" t="s">
        <v>25</v>
      </c>
      <c r="W36" s="632">
        <f t="shared" si="14"/>
        <v>100</v>
      </c>
      <c r="X36" s="1335"/>
      <c r="Y36" s="3506"/>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74" t="str">
        <f>A37</f>
        <v>成交单价</v>
      </c>
      <c r="Q37" s="3474"/>
      <c r="R37" s="3508">
        <f>E37</f>
        <v>0</v>
      </c>
      <c r="S37" s="3508"/>
      <c r="T37" s="3508">
        <f>G37</f>
        <v>0</v>
      </c>
      <c r="U37" s="3508"/>
      <c r="V37" s="3508">
        <f>I37</f>
        <v>0</v>
      </c>
      <c r="W37" s="3508"/>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74" t="str">
        <f>A38</f>
        <v>比较价值</v>
      </c>
      <c r="Q38" s="3474"/>
      <c r="R38" s="3508" t="e">
        <f>IF(E1="售价",ROUND(PRODUCT(R37,AA7:AA36),0),ROUND(PRODUCT(R37,AA7:AA36),1))</f>
        <v>#DIV/0!</v>
      </c>
      <c r="S38" s="3508"/>
      <c r="T38" s="3508" t="e">
        <f>IF(E1="售价",ROUND(PRODUCT(T37,AB7:AB36),0),ROUND(PRODUCT(T37,AB7:AB36),1))</f>
        <v>#DIV/0!</v>
      </c>
      <c r="U38" s="3508"/>
      <c r="V38" s="3508" t="e">
        <f>IF(E1="售价",ROUND(PRODUCT(V37,AC7:AC36),0),ROUND(PRODUCT(V37,AC7:AC36),1))</f>
        <v>#DIV/0!</v>
      </c>
      <c r="W38" s="3508"/>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509" t="str">
        <f>A39</f>
        <v>估价对象XX用房的比较价值（楼面单价，元/平方米）</v>
      </c>
      <c r="Q39" s="3510"/>
      <c r="R39" s="3511" t="e">
        <f>IF(E1="售价",ROUND(IF(D38="简单平均",AVERAGE(R38:W38),R38*F38+T38*H38+V38*J38),0),ROUND(IF(D38="简单平均",AVERAGE(R38:V38),R38*F38+T38*H38+V38*J38),1))</f>
        <v>#DIV/0!</v>
      </c>
      <c r="S39" s="3511"/>
      <c r="T39" s="3511"/>
      <c r="U39" s="3511"/>
      <c r="V39" s="3511"/>
      <c r="W39" s="3511"/>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2005-12</v>
      </c>
      <c r="D48" s="1188">
        <f>EDATE(C48,-1)</f>
        <v>38657</v>
      </c>
      <c r="E48" s="1188">
        <f t="shared" ref="E48:O48" si="16">EDATE(D48,-1)</f>
        <v>38626</v>
      </c>
      <c r="F48" s="1188">
        <f t="shared" si="16"/>
        <v>38596</v>
      </c>
      <c r="G48" s="1188">
        <f t="shared" si="16"/>
        <v>38565</v>
      </c>
      <c r="H48" s="1188">
        <f t="shared" si="16"/>
        <v>38534</v>
      </c>
      <c r="I48" s="1188">
        <f t="shared" si="16"/>
        <v>38504</v>
      </c>
      <c r="J48" s="1188">
        <f t="shared" si="16"/>
        <v>38473</v>
      </c>
      <c r="K48" s="1188">
        <f t="shared" si="16"/>
        <v>38443</v>
      </c>
      <c r="L48" s="1188">
        <f t="shared" si="16"/>
        <v>38412</v>
      </c>
      <c r="M48" s="1188">
        <f t="shared" si="16"/>
        <v>38384</v>
      </c>
      <c r="N48" s="1188">
        <f t="shared" si="16"/>
        <v>38353</v>
      </c>
      <c r="O48" s="1188">
        <f t="shared" si="16"/>
        <v>38322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G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110.82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2" t="s">
        <v>2246</v>
      </c>
      <c r="D4" s="3483"/>
      <c r="E4" s="3484" t="s">
        <v>2247</v>
      </c>
      <c r="F4" s="3485"/>
      <c r="G4" s="3482" t="s">
        <v>2248</v>
      </c>
      <c r="H4" s="3483"/>
      <c r="I4" s="3482" t="s">
        <v>2249</v>
      </c>
      <c r="J4" s="3483"/>
      <c r="K4" s="496" t="s">
        <v>2250</v>
      </c>
      <c r="L4" s="3025"/>
      <c r="M4" s="3026"/>
      <c r="N4" s="3026"/>
      <c r="O4" s="3026"/>
      <c r="P4" s="3486" t="s">
        <v>2251</v>
      </c>
      <c r="Q4" s="3487"/>
      <c r="R4" s="3492" t="s">
        <v>2247</v>
      </c>
      <c r="S4" s="3493"/>
      <c r="T4" s="3492" t="s">
        <v>2248</v>
      </c>
      <c r="U4" s="3493"/>
      <c r="V4" s="3498" t="s">
        <v>2249</v>
      </c>
      <c r="W4" s="3498"/>
      <c r="X4" s="1335"/>
      <c r="Y4" s="3492" t="s">
        <v>2251</v>
      </c>
      <c r="Z4" s="3493"/>
      <c r="AA4" s="3479" t="s">
        <v>2247</v>
      </c>
      <c r="AB4" s="3480" t="s">
        <v>2248</v>
      </c>
      <c r="AC4" s="3479" t="s">
        <v>2249</v>
      </c>
    </row>
    <row r="5" spans="1:29" ht="15">
      <c r="A5" s="297"/>
      <c r="B5" s="298"/>
      <c r="C5" s="3475" t="s">
        <v>2252</v>
      </c>
      <c r="D5" s="3476"/>
      <c r="E5" s="3499" t="s">
        <v>2253</v>
      </c>
      <c r="F5" s="3500"/>
      <c r="G5" s="3475" t="s">
        <v>2254</v>
      </c>
      <c r="H5" s="3476"/>
      <c r="I5" s="3475" t="s">
        <v>2255</v>
      </c>
      <c r="J5" s="3476"/>
      <c r="K5" s="496"/>
      <c r="L5" s="3025"/>
      <c r="M5" s="3026"/>
      <c r="N5" s="3026"/>
      <c r="O5" s="3026"/>
      <c r="P5" s="3488"/>
      <c r="Q5" s="3489"/>
      <c r="R5" s="3494"/>
      <c r="S5" s="3495"/>
      <c r="T5" s="3494"/>
      <c r="U5" s="3495"/>
      <c r="V5" s="3498"/>
      <c r="W5" s="3498"/>
      <c r="X5" s="1335"/>
      <c r="Y5" s="3494"/>
      <c r="Z5" s="3495"/>
      <c r="AA5" s="3480"/>
      <c r="AB5" s="3480"/>
      <c r="AC5" s="3480"/>
    </row>
    <row r="6" spans="1:29" ht="15.75" thickBot="1">
      <c r="A6" s="299"/>
      <c r="B6" s="300"/>
      <c r="C6" s="3472" t="s">
        <v>2256</v>
      </c>
      <c r="D6" s="3473"/>
      <c r="E6" s="3470" t="s">
        <v>2256</v>
      </c>
      <c r="F6" s="3471"/>
      <c r="G6" s="3472" t="s">
        <v>2256</v>
      </c>
      <c r="H6" s="3473"/>
      <c r="I6" s="3472" t="s">
        <v>2256</v>
      </c>
      <c r="J6" s="3473"/>
      <c r="K6" s="496" t="s">
        <v>2257</v>
      </c>
      <c r="L6" s="3025"/>
      <c r="M6" s="3026"/>
      <c r="N6" s="3026"/>
      <c r="O6" s="3026"/>
      <c r="P6" s="3490"/>
      <c r="Q6" s="3491"/>
      <c r="R6" s="3494"/>
      <c r="S6" s="3495"/>
      <c r="T6" s="3496"/>
      <c r="U6" s="3497"/>
      <c r="V6" s="3498"/>
      <c r="W6" s="3498"/>
      <c r="X6" s="1335"/>
      <c r="Y6" s="3496"/>
      <c r="Z6" s="3497"/>
      <c r="AA6" s="3481"/>
      <c r="AB6" s="3481"/>
      <c r="AC6" s="3481"/>
    </row>
    <row r="7" spans="1:29" s="25" customFormat="1" ht="15.75" thickBot="1">
      <c r="A7" s="301" t="s">
        <v>2258</v>
      </c>
      <c r="B7" s="302"/>
      <c r="C7" s="303">
        <f>'数据-取费表'!B2</f>
        <v>38705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77" t="s">
        <v>2259</v>
      </c>
      <c r="Q7" s="3501"/>
      <c r="R7" s="627" t="s">
        <v>25</v>
      </c>
      <c r="S7" s="628">
        <f t="shared" ref="S7:S14" si="0">F7</f>
        <v>0</v>
      </c>
      <c r="T7" s="627" t="s">
        <v>25</v>
      </c>
      <c r="U7" s="628">
        <f t="shared" ref="U7:U14" si="1">H7</f>
        <v>0</v>
      </c>
      <c r="V7" s="627" t="s">
        <v>25</v>
      </c>
      <c r="W7" s="628">
        <f t="shared" ref="W7:W14" si="2">J7</f>
        <v>0</v>
      </c>
      <c r="X7" s="629"/>
      <c r="Y7" s="3477" t="s">
        <v>2259</v>
      </c>
      <c r="Z7" s="3478"/>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77" t="s">
        <v>2262</v>
      </c>
      <c r="Q8" s="3478"/>
      <c r="R8" s="627" t="s">
        <v>25</v>
      </c>
      <c r="S8" s="628">
        <f t="shared" si="0"/>
        <v>0</v>
      </c>
      <c r="T8" s="627" t="s">
        <v>25</v>
      </c>
      <c r="U8" s="628">
        <f t="shared" si="1"/>
        <v>0</v>
      </c>
      <c r="V8" s="627" t="s">
        <v>25</v>
      </c>
      <c r="W8" s="628">
        <f t="shared" si="2"/>
        <v>0</v>
      </c>
      <c r="X8" s="629"/>
      <c r="Y8" s="3477" t="s">
        <v>2262</v>
      </c>
      <c r="Z8" s="3478"/>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4" t="s">
        <v>2265</v>
      </c>
      <c r="Q9" s="1327" t="str">
        <f t="shared" ref="Q9:Q14" si="6">B9</f>
        <v>用途</v>
      </c>
      <c r="R9" s="627" t="s">
        <v>25</v>
      </c>
      <c r="S9" s="628">
        <f t="shared" si="0"/>
        <v>100</v>
      </c>
      <c r="T9" s="627" t="s">
        <v>25</v>
      </c>
      <c r="U9" s="628">
        <f t="shared" si="1"/>
        <v>100</v>
      </c>
      <c r="V9" s="627" t="s">
        <v>25</v>
      </c>
      <c r="W9" s="628">
        <f t="shared" si="2"/>
        <v>100</v>
      </c>
      <c r="X9" s="629"/>
      <c r="Y9" s="3504"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4"/>
      <c r="Q10" s="1327" t="str">
        <f t="shared" si="6"/>
        <v>土地使用年限（年）</v>
      </c>
      <c r="R10" s="627" t="s">
        <v>25</v>
      </c>
      <c r="S10" s="628">
        <f t="shared" si="0"/>
        <v>100</v>
      </c>
      <c r="T10" s="627" t="s">
        <v>25</v>
      </c>
      <c r="U10" s="628">
        <f t="shared" si="1"/>
        <v>100</v>
      </c>
      <c r="V10" s="627" t="s">
        <v>25</v>
      </c>
      <c r="W10" s="628">
        <f t="shared" si="2"/>
        <v>100</v>
      </c>
      <c r="X10" s="629"/>
      <c r="Y10" s="3504"/>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4"/>
      <c r="Q11" s="1327">
        <f t="shared" si="6"/>
        <v>111</v>
      </c>
      <c r="R11" s="627" t="s">
        <v>25</v>
      </c>
      <c r="S11" s="628">
        <f t="shared" si="0"/>
        <v>100</v>
      </c>
      <c r="T11" s="627" t="s">
        <v>25</v>
      </c>
      <c r="U11" s="628">
        <f t="shared" si="1"/>
        <v>100</v>
      </c>
      <c r="V11" s="627" t="s">
        <v>25</v>
      </c>
      <c r="W11" s="628">
        <f t="shared" si="2"/>
        <v>100</v>
      </c>
      <c r="X11" s="629"/>
      <c r="Y11" s="3504"/>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2" t="s">
        <v>2270</v>
      </c>
      <c r="Q14" s="1334" t="str">
        <f t="shared" si="6"/>
        <v>交通便捷度</v>
      </c>
      <c r="R14" s="631" t="s">
        <v>25</v>
      </c>
      <c r="S14" s="632">
        <f t="shared" si="0"/>
        <v>100</v>
      </c>
      <c r="T14" s="631" t="s">
        <v>25</v>
      </c>
      <c r="U14" s="632">
        <f t="shared" si="1"/>
        <v>100</v>
      </c>
      <c r="V14" s="631" t="s">
        <v>25</v>
      </c>
      <c r="W14" s="632">
        <f t="shared" si="2"/>
        <v>100</v>
      </c>
      <c r="X14" s="1335"/>
      <c r="Y14" s="3502"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3"/>
      <c r="Q15" s="1334"/>
      <c r="R15" s="631"/>
      <c r="S15" s="632"/>
      <c r="T15" s="631"/>
      <c r="U15" s="632"/>
      <c r="V15" s="631"/>
      <c r="W15" s="632"/>
      <c r="X15" s="1335"/>
      <c r="Y15" s="3503"/>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3"/>
      <c r="Q16" s="1334" t="str">
        <f>B16</f>
        <v>公共配套设施</v>
      </c>
      <c r="R16" s="631" t="s">
        <v>25</v>
      </c>
      <c r="S16" s="632">
        <f>F16</f>
        <v>100</v>
      </c>
      <c r="T16" s="631" t="s">
        <v>25</v>
      </c>
      <c r="U16" s="632">
        <f>H16</f>
        <v>100</v>
      </c>
      <c r="V16" s="631" t="s">
        <v>25</v>
      </c>
      <c r="W16" s="632">
        <f>J16</f>
        <v>100</v>
      </c>
      <c r="X16" s="1335"/>
      <c r="Y16" s="350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3"/>
      <c r="Q17" s="1334"/>
      <c r="R17" s="631"/>
      <c r="S17" s="632"/>
      <c r="T17" s="631"/>
      <c r="U17" s="632"/>
      <c r="V17" s="631"/>
      <c r="W17" s="632"/>
      <c r="X17" s="1335"/>
      <c r="Y17" s="3503"/>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3"/>
      <c r="Q18" s="1334" t="str">
        <f>B18</f>
        <v>基础设施水平</v>
      </c>
      <c r="R18" s="631" t="s">
        <v>25</v>
      </c>
      <c r="S18" s="632">
        <f>F18</f>
        <v>100</v>
      </c>
      <c r="T18" s="631" t="s">
        <v>25</v>
      </c>
      <c r="U18" s="632">
        <f>H18</f>
        <v>100</v>
      </c>
      <c r="V18" s="631" t="s">
        <v>25</v>
      </c>
      <c r="W18" s="632">
        <f>J18</f>
        <v>100</v>
      </c>
      <c r="X18" s="1335"/>
      <c r="Y18" s="350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3"/>
      <c r="Q19" s="1334"/>
      <c r="R19" s="631"/>
      <c r="S19" s="632"/>
      <c r="T19" s="631"/>
      <c r="U19" s="632"/>
      <c r="V19" s="631"/>
      <c r="W19" s="632"/>
      <c r="X19" s="1335"/>
      <c r="Y19" s="3503"/>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3"/>
      <c r="Q20" s="1334" t="str">
        <f>B20</f>
        <v>自然及人文环境</v>
      </c>
      <c r="R20" s="631" t="s">
        <v>25</v>
      </c>
      <c r="S20" s="632">
        <f>F20</f>
        <v>100</v>
      </c>
      <c r="T20" s="631" t="s">
        <v>25</v>
      </c>
      <c r="U20" s="632">
        <f>H20</f>
        <v>100</v>
      </c>
      <c r="V20" s="631" t="s">
        <v>25</v>
      </c>
      <c r="W20" s="632">
        <f>J20</f>
        <v>100</v>
      </c>
      <c r="X20" s="1335"/>
      <c r="Y20" s="350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3"/>
      <c r="Q21" s="1334"/>
      <c r="R21" s="631"/>
      <c r="S21" s="632"/>
      <c r="T21" s="631"/>
      <c r="U21" s="632"/>
      <c r="V21" s="631"/>
      <c r="W21" s="632"/>
      <c r="X21" s="1335"/>
      <c r="Y21" s="3503"/>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3"/>
      <c r="Q22" s="1334" t="str">
        <f>B22</f>
        <v>楼层</v>
      </c>
      <c r="R22" s="631" t="s">
        <v>25</v>
      </c>
      <c r="S22" s="632">
        <f>F22</f>
        <v>100</v>
      </c>
      <c r="T22" s="631" t="s">
        <v>25</v>
      </c>
      <c r="U22" s="632">
        <f>H22</f>
        <v>100</v>
      </c>
      <c r="V22" s="631" t="s">
        <v>25</v>
      </c>
      <c r="W22" s="632">
        <f>J22</f>
        <v>100</v>
      </c>
      <c r="X22" s="1335"/>
      <c r="Y22" s="3503"/>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3"/>
      <c r="Q23" s="1334">
        <f>B23</f>
        <v>111</v>
      </c>
      <c r="R23" s="631" t="s">
        <v>25</v>
      </c>
      <c r="S23" s="632">
        <f>F23</f>
        <v>100</v>
      </c>
      <c r="T23" s="631" t="s">
        <v>25</v>
      </c>
      <c r="U23" s="632">
        <f>H23</f>
        <v>100</v>
      </c>
      <c r="V23" s="631" t="s">
        <v>25</v>
      </c>
      <c r="W23" s="632">
        <f>J23</f>
        <v>100</v>
      </c>
      <c r="X23" s="1335"/>
      <c r="Y23" s="3503"/>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3"/>
      <c r="Q24" s="1334">
        <f t="shared" ref="Q24:Q34" si="11">B24</f>
        <v>111</v>
      </c>
      <c r="R24" s="631" t="s">
        <v>25</v>
      </c>
      <c r="S24" s="632">
        <f>F24</f>
        <v>100</v>
      </c>
      <c r="T24" s="631" t="s">
        <v>25</v>
      </c>
      <c r="U24" s="632">
        <f>H24</f>
        <v>100</v>
      </c>
      <c r="V24" s="631" t="s">
        <v>25</v>
      </c>
      <c r="W24" s="632">
        <f>J24</f>
        <v>100</v>
      </c>
      <c r="X24" s="1335"/>
      <c r="Y24" s="3503"/>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3"/>
      <c r="Q25" s="1327">
        <f t="shared" si="11"/>
        <v>111</v>
      </c>
      <c r="R25" s="627" t="s">
        <v>25</v>
      </c>
      <c r="S25" s="628">
        <f>F25</f>
        <v>100</v>
      </c>
      <c r="T25" s="627" t="s">
        <v>25</v>
      </c>
      <c r="U25" s="628">
        <f>H25</f>
        <v>100</v>
      </c>
      <c r="V25" s="627" t="s">
        <v>25</v>
      </c>
      <c r="W25" s="628">
        <f>J25</f>
        <v>100</v>
      </c>
      <c r="X25" s="629"/>
      <c r="Y25" s="3503"/>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5"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6"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6"/>
      <c r="Q27" s="633" t="str">
        <f t="shared" si="11"/>
        <v>成新率</v>
      </c>
      <c r="R27" s="634" t="s">
        <v>25</v>
      </c>
      <c r="S27" s="635" t="e">
        <f t="shared" si="12"/>
        <v>#N/A</v>
      </c>
      <c r="T27" s="634" t="s">
        <v>25</v>
      </c>
      <c r="U27" s="635" t="e">
        <f t="shared" si="13"/>
        <v>#N/A</v>
      </c>
      <c r="V27" s="634" t="s">
        <v>25</v>
      </c>
      <c r="W27" s="635" t="e">
        <f t="shared" si="14"/>
        <v>#N/A</v>
      </c>
      <c r="X27" s="636"/>
      <c r="Y27" s="3506"/>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6"/>
      <c r="Q28" s="1334" t="str">
        <f t="shared" si="11"/>
        <v>物业等级</v>
      </c>
      <c r="R28" s="631" t="s">
        <v>25</v>
      </c>
      <c r="S28" s="632">
        <f t="shared" si="12"/>
        <v>100</v>
      </c>
      <c r="T28" s="631" t="s">
        <v>25</v>
      </c>
      <c r="U28" s="632">
        <f t="shared" si="13"/>
        <v>100</v>
      </c>
      <c r="V28" s="631" t="s">
        <v>25</v>
      </c>
      <c r="W28" s="632">
        <f t="shared" si="14"/>
        <v>100</v>
      </c>
      <c r="X28" s="1335"/>
      <c r="Y28" s="3506"/>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6"/>
      <c r="Q29" s="1334" t="str">
        <f t="shared" si="11"/>
        <v>有无电梯</v>
      </c>
      <c r="R29" s="631" t="s">
        <v>25</v>
      </c>
      <c r="S29" s="632">
        <f t="shared" si="12"/>
        <v>100</v>
      </c>
      <c r="T29" s="631" t="s">
        <v>25</v>
      </c>
      <c r="U29" s="632">
        <f t="shared" si="13"/>
        <v>100</v>
      </c>
      <c r="V29" s="631" t="s">
        <v>25</v>
      </c>
      <c r="W29" s="632">
        <f t="shared" si="14"/>
        <v>100</v>
      </c>
      <c r="X29" s="1335"/>
      <c r="Y29" s="3506"/>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6"/>
      <c r="Q30" s="1334" t="str">
        <f t="shared" si="11"/>
        <v>建筑面积</v>
      </c>
      <c r="R30" s="631" t="s">
        <v>25</v>
      </c>
      <c r="S30" s="632" t="e">
        <f t="shared" si="12"/>
        <v>#N/A</v>
      </c>
      <c r="T30" s="631" t="s">
        <v>25</v>
      </c>
      <c r="U30" s="632" t="e">
        <f t="shared" si="13"/>
        <v>#N/A</v>
      </c>
      <c r="V30" s="631" t="s">
        <v>25</v>
      </c>
      <c r="W30" s="632" t="e">
        <f t="shared" si="14"/>
        <v>#N/A</v>
      </c>
      <c r="X30" s="1335"/>
      <c r="Y30" s="3506"/>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6"/>
      <c r="Q31" s="1327" t="str">
        <f t="shared" si="11"/>
        <v>是否封闭</v>
      </c>
      <c r="R31" s="627" t="s">
        <v>25</v>
      </c>
      <c r="S31" s="628">
        <f t="shared" si="12"/>
        <v>100</v>
      </c>
      <c r="T31" s="627" t="s">
        <v>25</v>
      </c>
      <c r="U31" s="628">
        <f t="shared" si="13"/>
        <v>100</v>
      </c>
      <c r="V31" s="627" t="s">
        <v>25</v>
      </c>
      <c r="W31" s="628">
        <f t="shared" si="14"/>
        <v>100</v>
      </c>
      <c r="X31" s="629"/>
      <c r="Y31" s="3506"/>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6" t="s">
        <v>2276</v>
      </c>
      <c r="Q32" s="1334">
        <f t="shared" si="11"/>
        <v>111</v>
      </c>
      <c r="R32" s="631" t="s">
        <v>25</v>
      </c>
      <c r="S32" s="632">
        <f t="shared" si="12"/>
        <v>100</v>
      </c>
      <c r="T32" s="631" t="s">
        <v>25</v>
      </c>
      <c r="U32" s="632">
        <f t="shared" si="13"/>
        <v>100</v>
      </c>
      <c r="V32" s="631" t="s">
        <v>25</v>
      </c>
      <c r="W32" s="632">
        <f t="shared" si="14"/>
        <v>100</v>
      </c>
      <c r="X32" s="1335"/>
      <c r="Y32" s="3506"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6"/>
      <c r="Q33" s="1334">
        <f t="shared" si="11"/>
        <v>111</v>
      </c>
      <c r="R33" s="631" t="s">
        <v>25</v>
      </c>
      <c r="S33" s="632">
        <f t="shared" si="12"/>
        <v>100</v>
      </c>
      <c r="T33" s="631" t="s">
        <v>25</v>
      </c>
      <c r="U33" s="632">
        <f t="shared" si="13"/>
        <v>100</v>
      </c>
      <c r="V33" s="631" t="s">
        <v>25</v>
      </c>
      <c r="W33" s="632">
        <f t="shared" si="14"/>
        <v>100</v>
      </c>
      <c r="X33" s="1335"/>
      <c r="Y33" s="3506"/>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6"/>
      <c r="Q34" s="1334">
        <f t="shared" si="11"/>
        <v>111</v>
      </c>
      <c r="R34" s="631" t="s">
        <v>25</v>
      </c>
      <c r="S34" s="632">
        <f t="shared" si="12"/>
        <v>100</v>
      </c>
      <c r="T34" s="631" t="s">
        <v>25</v>
      </c>
      <c r="U34" s="632">
        <f t="shared" si="13"/>
        <v>100</v>
      </c>
      <c r="V34" s="631" t="s">
        <v>25</v>
      </c>
      <c r="W34" s="632">
        <f t="shared" si="14"/>
        <v>100</v>
      </c>
      <c r="X34" s="1335"/>
      <c r="Y34" s="3506"/>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74" t="str">
        <f>A35</f>
        <v>成交单价（元/平方米）</v>
      </c>
      <c r="Q35" s="3474"/>
      <c r="R35" s="3508">
        <f>E35</f>
        <v>0</v>
      </c>
      <c r="S35" s="3508"/>
      <c r="T35" s="3508">
        <f>G35</f>
        <v>0</v>
      </c>
      <c r="U35" s="3508"/>
      <c r="V35" s="3508">
        <f>I35</f>
        <v>0</v>
      </c>
      <c r="W35" s="3508"/>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1">
        <f>F36+H36+J36</f>
        <v>0</v>
      </c>
      <c r="L36" s="3037"/>
      <c r="N36" s="3026"/>
      <c r="P36" s="3474" t="str">
        <f>A36</f>
        <v>比较价值（元/平方米）</v>
      </c>
      <c r="Q36" s="3474"/>
      <c r="R36" s="3508" t="e">
        <f>IF(E1="售价",ROUND(PRODUCT(R35,AA7:AA34),0),ROUND(PRODUCT(R35,AA7:AA34),1))</f>
        <v>#DIV/0!</v>
      </c>
      <c r="S36" s="3508"/>
      <c r="T36" s="3508" t="e">
        <f>IF(E1="售价",ROUND(PRODUCT(T35,AB7:AB34),0),ROUND(PRODUCT(T35,AB7:AB34),1))</f>
        <v>#DIV/0!</v>
      </c>
      <c r="U36" s="3508"/>
      <c r="V36" s="3508" t="e">
        <f>IF(E1="售价",ROUND(PRODUCT(V35,AC7:AC34),0),ROUND(PRODUCT(V35,AC7:AC34),1))</f>
        <v>#DIV/0!</v>
      </c>
      <c r="W36" s="3508"/>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509" t="str">
        <f>A37</f>
        <v>估价对象XX用房的比较价值（楼面单价，元/平方米）</v>
      </c>
      <c r="Q37" s="3510"/>
      <c r="R37" s="3511" t="e">
        <f>IF(E1="售价",ROUND(IF(D36="简单平均",AVERAGE(R36:W36),R36*F36+T36*H36+V36*J36),0),ROUND(IF(D36="简单平均",AVERAGE(R36:V36),R36*F36+T36*H36+V36*J36),1))</f>
        <v>#DIV/0!</v>
      </c>
      <c r="S37" s="3511"/>
      <c r="T37" s="3511"/>
      <c r="U37" s="3511"/>
      <c r="V37" s="3511"/>
      <c r="W37" s="3511"/>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2005-12</v>
      </c>
      <c r="D46" s="1188">
        <f>EDATE(C46,-1)</f>
        <v>38657</v>
      </c>
      <c r="E46" s="1188">
        <f t="shared" ref="E46:O46" si="16">EDATE(D46,-1)</f>
        <v>38626</v>
      </c>
      <c r="F46" s="1188">
        <f t="shared" si="16"/>
        <v>38596</v>
      </c>
      <c r="G46" s="1188">
        <f t="shared" si="16"/>
        <v>38565</v>
      </c>
      <c r="H46" s="1188">
        <f t="shared" si="16"/>
        <v>38534</v>
      </c>
      <c r="I46" s="1188">
        <f t="shared" si="16"/>
        <v>38504</v>
      </c>
      <c r="J46" s="1188">
        <f t="shared" si="16"/>
        <v>38473</v>
      </c>
      <c r="K46" s="1188">
        <f t="shared" si="16"/>
        <v>38443</v>
      </c>
      <c r="L46" s="1188">
        <f t="shared" si="16"/>
        <v>38412</v>
      </c>
      <c r="M46" s="1188">
        <f t="shared" si="16"/>
        <v>38384</v>
      </c>
      <c r="N46" s="1188">
        <f t="shared" si="16"/>
        <v>38353</v>
      </c>
      <c r="O46" s="1188">
        <f t="shared" si="16"/>
        <v>38322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J7" activeCellId="2" sqref="F7:G34 H7:H34 J7:J34"/>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24" t="s">
        <v>2246</v>
      </c>
      <c r="D4" s="3425"/>
      <c r="E4" s="3426" t="s">
        <v>2247</v>
      </c>
      <c r="F4" s="3427"/>
      <c r="G4" s="3424" t="s">
        <v>2248</v>
      </c>
      <c r="H4" s="3425"/>
      <c r="I4" s="3424" t="s">
        <v>2249</v>
      </c>
      <c r="J4" s="3425"/>
      <c r="K4" s="1966" t="s">
        <v>2250</v>
      </c>
      <c r="L4" s="2997"/>
      <c r="M4" s="2998"/>
      <c r="N4" s="2998"/>
      <c r="O4" s="2998"/>
      <c r="P4" s="3428" t="s">
        <v>2251</v>
      </c>
      <c r="Q4" s="3429"/>
      <c r="R4" s="3434" t="s">
        <v>2247</v>
      </c>
      <c r="S4" s="3435"/>
      <c r="T4" s="3434" t="s">
        <v>2248</v>
      </c>
      <c r="U4" s="3435"/>
      <c r="V4" s="3440" t="s">
        <v>2249</v>
      </c>
      <c r="W4" s="3440"/>
      <c r="X4" s="1666"/>
      <c r="Y4" s="3434" t="s">
        <v>2251</v>
      </c>
      <c r="Z4" s="3435"/>
      <c r="AA4" s="3421" t="s">
        <v>2247</v>
      </c>
      <c r="AB4" s="3422" t="s">
        <v>2248</v>
      </c>
      <c r="AC4" s="3421" t="s">
        <v>2249</v>
      </c>
    </row>
    <row r="5" spans="1:30" ht="15">
      <c r="A5" s="1668"/>
      <c r="B5" s="1669"/>
      <c r="C5" s="3443" t="s">
        <v>2252</v>
      </c>
      <c r="D5" s="3444"/>
      <c r="E5" s="3441" t="s">
        <v>2253</v>
      </c>
      <c r="F5" s="3442"/>
      <c r="G5" s="3443" t="s">
        <v>2254</v>
      </c>
      <c r="H5" s="3444"/>
      <c r="I5" s="3443" t="s">
        <v>2255</v>
      </c>
      <c r="J5" s="3444"/>
      <c r="K5" s="1966"/>
      <c r="L5" s="2997"/>
      <c r="M5" s="2998"/>
      <c r="N5" s="2998"/>
      <c r="O5" s="2998"/>
      <c r="P5" s="3430"/>
      <c r="Q5" s="3431"/>
      <c r="R5" s="3436"/>
      <c r="S5" s="3437"/>
      <c r="T5" s="3436"/>
      <c r="U5" s="3437"/>
      <c r="V5" s="3440"/>
      <c r="W5" s="3440"/>
      <c r="X5" s="1666"/>
      <c r="Y5" s="3436"/>
      <c r="Z5" s="3437"/>
      <c r="AA5" s="3422"/>
      <c r="AB5" s="3422"/>
      <c r="AC5" s="3422"/>
    </row>
    <row r="6" spans="1:30" ht="15.75" thickBot="1">
      <c r="A6" s="1671"/>
      <c r="B6" s="1672"/>
      <c r="C6" s="3445" t="s">
        <v>2256</v>
      </c>
      <c r="D6" s="3446"/>
      <c r="E6" s="3447" t="s">
        <v>2256</v>
      </c>
      <c r="F6" s="3448"/>
      <c r="G6" s="3445" t="s">
        <v>2256</v>
      </c>
      <c r="H6" s="3446"/>
      <c r="I6" s="3445" t="s">
        <v>2256</v>
      </c>
      <c r="J6" s="3446"/>
      <c r="K6" s="1966" t="s">
        <v>2257</v>
      </c>
      <c r="L6" s="2997"/>
      <c r="M6" s="2998"/>
      <c r="N6" s="2998"/>
      <c r="O6" s="2998"/>
      <c r="P6" s="3432"/>
      <c r="Q6" s="3433"/>
      <c r="R6" s="3436"/>
      <c r="S6" s="3437"/>
      <c r="T6" s="3438"/>
      <c r="U6" s="3439"/>
      <c r="V6" s="3440"/>
      <c r="W6" s="3440"/>
      <c r="X6" s="1666"/>
      <c r="Y6" s="3438"/>
      <c r="Z6" s="3439"/>
      <c r="AA6" s="3423"/>
      <c r="AB6" s="3423"/>
      <c r="AC6" s="3423"/>
    </row>
    <row r="7" spans="1:30" s="1685" customFormat="1" ht="15.75" thickBot="1">
      <c r="A7" s="1673" t="s">
        <v>2258</v>
      </c>
      <c r="B7" s="1674"/>
      <c r="C7" s="1675">
        <f>'数据-取费表'!B2</f>
        <v>38705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6" t="s">
        <v>2259</v>
      </c>
      <c r="Q7" s="3458"/>
      <c r="R7" s="1681" t="s">
        <v>25</v>
      </c>
      <c r="S7" s="1682">
        <f t="shared" ref="S7:S15" si="0">F7</f>
        <v>0</v>
      </c>
      <c r="T7" s="1681" t="s">
        <v>25</v>
      </c>
      <c r="U7" s="1682">
        <f t="shared" ref="U7:U15" si="1">H7</f>
        <v>0</v>
      </c>
      <c r="V7" s="1681" t="s">
        <v>25</v>
      </c>
      <c r="W7" s="1682">
        <f t="shared" ref="W7:W15" si="2">J7</f>
        <v>0</v>
      </c>
      <c r="X7" s="1683"/>
      <c r="Y7" s="3456" t="s">
        <v>2259</v>
      </c>
      <c r="Z7" s="3457"/>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6" t="s">
        <v>2262</v>
      </c>
      <c r="Q8" s="3457"/>
      <c r="R8" s="1681" t="s">
        <v>25</v>
      </c>
      <c r="S8" s="1682">
        <f t="shared" si="0"/>
        <v>0</v>
      </c>
      <c r="T8" s="1681" t="s">
        <v>25</v>
      </c>
      <c r="U8" s="1682">
        <f t="shared" si="1"/>
        <v>0</v>
      </c>
      <c r="V8" s="1681" t="s">
        <v>25</v>
      </c>
      <c r="W8" s="1682">
        <f t="shared" si="2"/>
        <v>0</v>
      </c>
      <c r="X8" s="1683"/>
      <c r="Y8" s="3456" t="s">
        <v>2262</v>
      </c>
      <c r="Z8" s="3457"/>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0" t="s">
        <v>2265</v>
      </c>
      <c r="Q9" s="1635" t="str">
        <f t="shared" ref="Q9:Q15" si="6">B9</f>
        <v>用途</v>
      </c>
      <c r="R9" s="1681" t="s">
        <v>25</v>
      </c>
      <c r="S9" s="1682">
        <f t="shared" si="0"/>
        <v>100</v>
      </c>
      <c r="T9" s="1681" t="s">
        <v>25</v>
      </c>
      <c r="U9" s="1682">
        <f t="shared" si="1"/>
        <v>100</v>
      </c>
      <c r="V9" s="1681" t="s">
        <v>25</v>
      </c>
      <c r="W9" s="1682">
        <f t="shared" si="2"/>
        <v>100</v>
      </c>
      <c r="X9" s="1683"/>
      <c r="Y9" s="3322"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101</v>
      </c>
      <c r="G10" s="1758"/>
      <c r="H10" s="1698">
        <f>ROUND(100/'数据-取费表'!B14,0)</f>
        <v>101</v>
      </c>
      <c r="I10" s="1758"/>
      <c r="J10" s="1698">
        <f>ROUND(100/'数据-取费表'!B14,0)</f>
        <v>101</v>
      </c>
      <c r="K10" s="1970"/>
      <c r="L10" s="2999"/>
      <c r="M10" s="3000"/>
      <c r="N10" s="3000"/>
      <c r="O10" s="3045"/>
      <c r="P10" s="3460"/>
      <c r="Q10" s="1635" t="str">
        <f t="shared" si="6"/>
        <v>土地使用年限（年）</v>
      </c>
      <c r="R10" s="1681" t="s">
        <v>25</v>
      </c>
      <c r="S10" s="1682">
        <f t="shared" si="0"/>
        <v>101</v>
      </c>
      <c r="T10" s="1681" t="s">
        <v>25</v>
      </c>
      <c r="U10" s="1682">
        <f t="shared" si="1"/>
        <v>101</v>
      </c>
      <c r="V10" s="1681" t="s">
        <v>25</v>
      </c>
      <c r="W10" s="1682">
        <f t="shared" si="2"/>
        <v>101</v>
      </c>
      <c r="X10" s="1683"/>
      <c r="Y10" s="3322"/>
      <c r="Z10" s="1694" t="str">
        <f t="shared" si="7"/>
        <v>土地使用年限（年）</v>
      </c>
      <c r="AA10" s="1684">
        <f t="shared" si="3"/>
        <v>0.99009900990099009</v>
      </c>
      <c r="AB10" s="1684">
        <f t="shared" si="4"/>
        <v>0.99009900990099009</v>
      </c>
      <c r="AC10" s="1684">
        <f t="shared" si="5"/>
        <v>0.99009900990099009</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0"/>
      <c r="Q11" s="1635" t="str">
        <f t="shared" si="6"/>
        <v>容积率</v>
      </c>
      <c r="R11" s="1681" t="s">
        <v>25</v>
      </c>
      <c r="S11" s="1682" t="e">
        <f t="shared" si="0"/>
        <v>#N/A</v>
      </c>
      <c r="T11" s="1681" t="s">
        <v>25</v>
      </c>
      <c r="U11" s="1682" t="e">
        <f t="shared" si="1"/>
        <v>#N/A</v>
      </c>
      <c r="V11" s="1681" t="s">
        <v>25</v>
      </c>
      <c r="W11" s="1682" t="e">
        <f t="shared" si="2"/>
        <v>#N/A</v>
      </c>
      <c r="X11" s="1683"/>
      <c r="Y11" s="3322"/>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0"/>
      <c r="Q12" s="1635" t="str">
        <f t="shared" si="6"/>
        <v>配建</v>
      </c>
      <c r="R12" s="1681" t="s">
        <v>25</v>
      </c>
      <c r="S12" s="1682">
        <f t="shared" si="0"/>
        <v>100</v>
      </c>
      <c r="T12" s="1681" t="s">
        <v>25</v>
      </c>
      <c r="U12" s="1682">
        <f t="shared" si="1"/>
        <v>100</v>
      </c>
      <c r="V12" s="1681" t="s">
        <v>25</v>
      </c>
      <c r="W12" s="1682">
        <f t="shared" si="2"/>
        <v>100</v>
      </c>
      <c r="X12" s="1683"/>
      <c r="Y12" s="332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0"/>
      <c r="Q13" s="1635">
        <f t="shared" si="6"/>
        <v>111</v>
      </c>
      <c r="R13" s="1681" t="s">
        <v>25</v>
      </c>
      <c r="S13" s="1682">
        <f t="shared" si="0"/>
        <v>100</v>
      </c>
      <c r="T13" s="1681" t="s">
        <v>25</v>
      </c>
      <c r="U13" s="1682">
        <f t="shared" si="1"/>
        <v>100</v>
      </c>
      <c r="V13" s="1681" t="s">
        <v>25</v>
      </c>
      <c r="W13" s="1682">
        <f t="shared" si="2"/>
        <v>100</v>
      </c>
      <c r="X13" s="1683"/>
      <c r="Y13" s="332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0"/>
      <c r="Q14" s="1635">
        <f t="shared" si="6"/>
        <v>111</v>
      </c>
      <c r="R14" s="1681" t="s">
        <v>25</v>
      </c>
      <c r="S14" s="1682">
        <f t="shared" si="0"/>
        <v>100</v>
      </c>
      <c r="T14" s="1681" t="s">
        <v>25</v>
      </c>
      <c r="U14" s="1682">
        <f t="shared" si="1"/>
        <v>100</v>
      </c>
      <c r="V14" s="1681" t="s">
        <v>25</v>
      </c>
      <c r="W14" s="1682">
        <f t="shared" si="2"/>
        <v>100</v>
      </c>
      <c r="X14" s="1683"/>
      <c r="Y14" s="3322"/>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49" t="s">
        <v>2270</v>
      </c>
      <c r="Q15" s="1616" t="str">
        <f t="shared" si="6"/>
        <v>居住社区成熟度</v>
      </c>
      <c r="R15" s="1726" t="s">
        <v>25</v>
      </c>
      <c r="S15" s="1727">
        <f t="shared" si="0"/>
        <v>100</v>
      </c>
      <c r="T15" s="1726" t="s">
        <v>25</v>
      </c>
      <c r="U15" s="1727">
        <f t="shared" si="1"/>
        <v>100</v>
      </c>
      <c r="V15" s="1726" t="s">
        <v>25</v>
      </c>
      <c r="W15" s="1727">
        <f t="shared" si="2"/>
        <v>100</v>
      </c>
      <c r="X15" s="1666"/>
      <c r="Y15" s="3449"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0"/>
      <c r="Q16" s="1616"/>
      <c r="R16" s="1726"/>
      <c r="S16" s="1727"/>
      <c r="T16" s="1726"/>
      <c r="U16" s="1727"/>
      <c r="V16" s="1726"/>
      <c r="W16" s="1727"/>
      <c r="X16" s="1666"/>
      <c r="Y16" s="3450"/>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0"/>
      <c r="Q18" s="1616"/>
      <c r="R18" s="1726"/>
      <c r="S18" s="1727"/>
      <c r="T18" s="1726"/>
      <c r="U18" s="1727"/>
      <c r="V18" s="1726"/>
      <c r="W18" s="1727"/>
      <c r="X18" s="1666"/>
      <c r="Y18" s="3450"/>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0"/>
      <c r="Q20" s="1616"/>
      <c r="R20" s="1726"/>
      <c r="S20" s="1727"/>
      <c r="T20" s="1726"/>
      <c r="U20" s="1727"/>
      <c r="V20" s="1726"/>
      <c r="W20" s="1727"/>
      <c r="X20" s="1666"/>
      <c r="Y20" s="3450"/>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0"/>
      <c r="Q22" s="1616"/>
      <c r="R22" s="1726"/>
      <c r="S22" s="1727"/>
      <c r="T22" s="1726"/>
      <c r="U22" s="1727"/>
      <c r="V22" s="1726"/>
      <c r="W22" s="1727"/>
      <c r="X22" s="1666"/>
      <c r="Y22" s="3450"/>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0"/>
      <c r="Q24" s="1616"/>
      <c r="R24" s="1726"/>
      <c r="S24" s="1727"/>
      <c r="T24" s="1726"/>
      <c r="U24" s="1727"/>
      <c r="V24" s="1726"/>
      <c r="W24" s="1727"/>
      <c r="X24" s="1666"/>
      <c r="Y24" s="3450"/>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0"/>
      <c r="Q26" s="1616"/>
      <c r="R26" s="1726"/>
      <c r="S26" s="1727"/>
      <c r="T26" s="1726"/>
      <c r="U26" s="1727"/>
      <c r="V26" s="1726"/>
      <c r="W26" s="1727"/>
      <c r="X26" s="1666"/>
      <c r="Y26" s="3450"/>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0"/>
      <c r="Q28" s="1616"/>
      <c r="R28" s="1726"/>
      <c r="S28" s="1727"/>
      <c r="T28" s="1726"/>
      <c r="U28" s="1727"/>
      <c r="V28" s="1726"/>
      <c r="W28" s="1727"/>
      <c r="X28" s="1666"/>
      <c r="Y28" s="3450"/>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0"/>
      <c r="Q30" s="1635"/>
      <c r="R30" s="1681"/>
      <c r="S30" s="1682"/>
      <c r="T30" s="1681"/>
      <c r="U30" s="1682"/>
      <c r="V30" s="1681"/>
      <c r="W30" s="1682"/>
      <c r="X30" s="1683"/>
      <c r="Y30" s="3450"/>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0"/>
      <c r="Q33" s="1616"/>
      <c r="R33" s="1726"/>
      <c r="S33" s="1727"/>
      <c r="T33" s="1726"/>
      <c r="U33" s="1727"/>
      <c r="V33" s="1726"/>
      <c r="W33" s="1727"/>
      <c r="X33" s="1666"/>
      <c r="Y33" s="3450"/>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69" t="s">
        <v>2276</v>
      </c>
      <c r="Q36" s="1616">
        <f t="shared" si="8"/>
        <v>111</v>
      </c>
      <c r="R36" s="1726" t="s">
        <v>25</v>
      </c>
      <c r="S36" s="1727">
        <f t="shared" si="10"/>
        <v>100</v>
      </c>
      <c r="T36" s="1726" t="s">
        <v>25</v>
      </c>
      <c r="U36" s="1727">
        <f t="shared" si="11"/>
        <v>100</v>
      </c>
      <c r="V36" s="1726" t="s">
        <v>25</v>
      </c>
      <c r="W36" s="1727">
        <f t="shared" si="12"/>
        <v>100</v>
      </c>
      <c r="X36" s="1666"/>
      <c r="Y36" s="3454"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4" t="s">
        <v>2276</v>
      </c>
      <c r="Q42" s="1616" t="str">
        <f t="shared" si="14"/>
        <v>工程地质条件</v>
      </c>
      <c r="R42" s="1726" t="s">
        <v>25</v>
      </c>
      <c r="S42" s="1727">
        <f t="shared" si="10"/>
        <v>100</v>
      </c>
      <c r="T42" s="1726" t="s">
        <v>25</v>
      </c>
      <c r="U42" s="1727">
        <f t="shared" si="11"/>
        <v>100</v>
      </c>
      <c r="V42" s="1726" t="s">
        <v>25</v>
      </c>
      <c r="W42" s="1727">
        <f t="shared" si="12"/>
        <v>100</v>
      </c>
      <c r="X42" s="1666"/>
      <c r="Y42" s="3454"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60" t="str">
        <f>A46</f>
        <v>成交单价</v>
      </c>
      <c r="Q46" s="3460"/>
      <c r="R46" s="3440">
        <f>E46</f>
        <v>0</v>
      </c>
      <c r="S46" s="3440"/>
      <c r="T46" s="3440">
        <f>G46</f>
        <v>0</v>
      </c>
      <c r="U46" s="3440"/>
      <c r="V46" s="3440">
        <f>I46</f>
        <v>0</v>
      </c>
      <c r="W46" s="3440"/>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1">
        <f>F47+H47+J47</f>
        <v>0</v>
      </c>
      <c r="L47" s="3003"/>
      <c r="P47" s="3460" t="str">
        <f>A47</f>
        <v>比较价值（元/平方米）</v>
      </c>
      <c r="Q47" s="3460"/>
      <c r="R47" s="3512" t="e">
        <f>ROUND(PRODUCT(R46,AA7:AA45),0)</f>
        <v>#DIV/0!</v>
      </c>
      <c r="S47" s="3512"/>
      <c r="T47" s="3512" t="e">
        <f>ROUND(PRODUCT(T46,AB7:AB45),0)</f>
        <v>#DIV/0!</v>
      </c>
      <c r="U47" s="3512"/>
      <c r="V47" s="3512" t="e">
        <f>ROUND(PRODUCT(V46,AC7:AC45),0)</f>
        <v>#DIV/0!</v>
      </c>
      <c r="W47" s="3512"/>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66" t="str">
        <f>A48</f>
        <v>估价对象XX用房的比较价值（楼面单价，元/平方米）</v>
      </c>
      <c r="Q48" s="3467"/>
      <c r="R48" s="3513" t="e">
        <f>ROUND(IF(D47="简单平均",AVERAGE(R47:W47),R47*F47+T47*H47+V47*J47),0)</f>
        <v>#DIV/0!</v>
      </c>
      <c r="S48" s="3513"/>
      <c r="T48" s="3513"/>
      <c r="U48" s="3513"/>
      <c r="V48" s="3513"/>
      <c r="W48" s="3513"/>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2005-12-1</v>
      </c>
      <c r="D68" s="2041">
        <f>EDATE(C68,-3)</f>
        <v>38596</v>
      </c>
      <c r="E68" s="2041">
        <f t="shared" ref="E68:O68" si="18">EDATE(D68,-3)</f>
        <v>38504</v>
      </c>
      <c r="F68" s="2041">
        <f t="shared" si="18"/>
        <v>38412</v>
      </c>
      <c r="G68" s="2041">
        <f t="shared" si="18"/>
        <v>38322</v>
      </c>
      <c r="H68" s="2041">
        <f t="shared" si="18"/>
        <v>38231</v>
      </c>
      <c r="I68" s="2041">
        <f t="shared" si="18"/>
        <v>38139</v>
      </c>
      <c r="J68" s="2041">
        <f t="shared" si="18"/>
        <v>38047</v>
      </c>
      <c r="K68" s="2041">
        <f t="shared" si="18"/>
        <v>37956</v>
      </c>
      <c r="L68" s="2041">
        <f t="shared" si="18"/>
        <v>37865</v>
      </c>
      <c r="M68" s="2041">
        <f t="shared" si="18"/>
        <v>37773</v>
      </c>
      <c r="N68" s="2041">
        <f t="shared" si="18"/>
        <v>37681</v>
      </c>
      <c r="O68" s="2041">
        <f t="shared" si="18"/>
        <v>37591</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2005-4</v>
      </c>
      <c r="D70" s="2049" t="str">
        <f>YEAR(D68)&amp;"-"&amp;ROUNDUP(MONTH(D68)/3,0)</f>
        <v>2005-3</v>
      </c>
      <c r="E70" s="2049" t="str">
        <f t="shared" ref="E70:O70" si="19">YEAR(E68)&amp;"-"&amp;ROUNDUP(MONTH(E68)/3,0)</f>
        <v>2005-2</v>
      </c>
      <c r="F70" s="2049" t="str">
        <f t="shared" si="19"/>
        <v>2005-1</v>
      </c>
      <c r="G70" s="2049" t="str">
        <f t="shared" si="19"/>
        <v>2004-4</v>
      </c>
      <c r="H70" s="2049" t="str">
        <f t="shared" si="19"/>
        <v>2004-3</v>
      </c>
      <c r="I70" s="2049" t="str">
        <f t="shared" si="19"/>
        <v>2004-2</v>
      </c>
      <c r="J70" s="2049" t="str">
        <f t="shared" si="19"/>
        <v>2004-1</v>
      </c>
      <c r="K70" s="2049" t="str">
        <f t="shared" si="19"/>
        <v>2003-4</v>
      </c>
      <c r="L70" s="2049" t="str">
        <f t="shared" si="19"/>
        <v>2003-3</v>
      </c>
      <c r="M70" s="2049" t="str">
        <f t="shared" si="19"/>
        <v>2003-2</v>
      </c>
      <c r="N70" s="2049" t="str">
        <f t="shared" si="19"/>
        <v>2003-1</v>
      </c>
      <c r="O70" s="2049" t="str">
        <f t="shared" si="19"/>
        <v>2002-4</v>
      </c>
      <c r="P70" s="2050"/>
    </row>
    <row r="71" spans="1:17" s="1685" customFormat="1" ht="29.25" customHeight="1">
      <c r="A71" s="2052" t="s">
        <v>2476</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J7" activeCellId="2" sqref="F7:G34 H7:H34 J7:J34"/>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482" t="s">
        <v>2246</v>
      </c>
      <c r="D4" s="3483"/>
      <c r="E4" s="3484" t="s">
        <v>2247</v>
      </c>
      <c r="F4" s="3485"/>
      <c r="G4" s="3482" t="s">
        <v>2248</v>
      </c>
      <c r="H4" s="3483"/>
      <c r="I4" s="3482" t="s">
        <v>2249</v>
      </c>
      <c r="J4" s="3483"/>
      <c r="K4" s="496" t="s">
        <v>2250</v>
      </c>
      <c r="L4" s="3025"/>
      <c r="M4" s="3026"/>
      <c r="N4" s="3026"/>
      <c r="O4" s="3026"/>
      <c r="P4" s="3486" t="s">
        <v>2251</v>
      </c>
      <c r="Q4" s="3487"/>
      <c r="R4" s="3492" t="s">
        <v>2247</v>
      </c>
      <c r="S4" s="3493"/>
      <c r="T4" s="3492" t="s">
        <v>2248</v>
      </c>
      <c r="U4" s="3493"/>
      <c r="V4" s="3498" t="s">
        <v>2249</v>
      </c>
      <c r="W4" s="3498"/>
      <c r="X4" s="1335"/>
      <c r="Y4" s="3492" t="s">
        <v>2251</v>
      </c>
      <c r="Z4" s="3493"/>
      <c r="AA4" s="3479" t="s">
        <v>2247</v>
      </c>
      <c r="AB4" s="3480" t="s">
        <v>2248</v>
      </c>
      <c r="AC4" s="3479" t="s">
        <v>2249</v>
      </c>
    </row>
    <row r="5" spans="1:29" ht="15">
      <c r="A5" s="297"/>
      <c r="B5" s="298"/>
      <c r="C5" s="3475" t="s">
        <v>2252</v>
      </c>
      <c r="D5" s="3476"/>
      <c r="E5" s="3499" t="s">
        <v>2253</v>
      </c>
      <c r="F5" s="3500"/>
      <c r="G5" s="3475" t="s">
        <v>2254</v>
      </c>
      <c r="H5" s="3476"/>
      <c r="I5" s="3475" t="s">
        <v>2255</v>
      </c>
      <c r="J5" s="3476"/>
      <c r="K5" s="496"/>
      <c r="L5" s="3025"/>
      <c r="M5" s="3026"/>
      <c r="N5" s="3026"/>
      <c r="O5" s="3026"/>
      <c r="P5" s="3488"/>
      <c r="Q5" s="3489"/>
      <c r="R5" s="3494"/>
      <c r="S5" s="3495"/>
      <c r="T5" s="3494"/>
      <c r="U5" s="3495"/>
      <c r="V5" s="3498"/>
      <c r="W5" s="3498"/>
      <c r="X5" s="1335"/>
      <c r="Y5" s="3494"/>
      <c r="Z5" s="3495"/>
      <c r="AA5" s="3480"/>
      <c r="AB5" s="3480"/>
      <c r="AC5" s="3480"/>
    </row>
    <row r="6" spans="1:29" ht="15.75" thickBot="1">
      <c r="A6" s="299"/>
      <c r="B6" s="300"/>
      <c r="C6" s="3472" t="s">
        <v>2256</v>
      </c>
      <c r="D6" s="3473"/>
      <c r="E6" s="3470" t="s">
        <v>2256</v>
      </c>
      <c r="F6" s="3471"/>
      <c r="G6" s="3472" t="s">
        <v>2256</v>
      </c>
      <c r="H6" s="3473"/>
      <c r="I6" s="3472" t="s">
        <v>2256</v>
      </c>
      <c r="J6" s="3473"/>
      <c r="K6" s="496" t="s">
        <v>2257</v>
      </c>
      <c r="L6" s="3025"/>
      <c r="M6" s="3026"/>
      <c r="N6" s="3026"/>
      <c r="O6" s="3026"/>
      <c r="P6" s="3490"/>
      <c r="Q6" s="3491"/>
      <c r="R6" s="3494"/>
      <c r="S6" s="3495"/>
      <c r="T6" s="3496"/>
      <c r="U6" s="3497"/>
      <c r="V6" s="3498"/>
      <c r="W6" s="3498"/>
      <c r="X6" s="1335"/>
      <c r="Y6" s="3496"/>
      <c r="Z6" s="3497"/>
      <c r="AA6" s="3481"/>
      <c r="AB6" s="3481"/>
      <c r="AC6" s="3481"/>
    </row>
    <row r="7" spans="1:29" s="25" customFormat="1" ht="15.75" thickBot="1">
      <c r="A7" s="301" t="s">
        <v>2258</v>
      </c>
      <c r="B7" s="302"/>
      <c r="C7" s="303">
        <f>'数据-取费表'!B2</f>
        <v>38705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77" t="s">
        <v>2259</v>
      </c>
      <c r="Q7" s="3501"/>
      <c r="R7" s="627" t="s">
        <v>25</v>
      </c>
      <c r="S7" s="628">
        <f t="shared" ref="S7:S15" si="0">F7</f>
        <v>0</v>
      </c>
      <c r="T7" s="627" t="s">
        <v>25</v>
      </c>
      <c r="U7" s="628">
        <f t="shared" ref="U7:U15" si="1">H7</f>
        <v>0</v>
      </c>
      <c r="V7" s="627" t="s">
        <v>25</v>
      </c>
      <c r="W7" s="628">
        <f t="shared" ref="W7:W15" si="2">J7</f>
        <v>0</v>
      </c>
      <c r="X7" s="629"/>
      <c r="Y7" s="3477" t="s">
        <v>2259</v>
      </c>
      <c r="Z7" s="3478"/>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77" t="s">
        <v>2262</v>
      </c>
      <c r="Q8" s="3478"/>
      <c r="R8" s="627" t="s">
        <v>25</v>
      </c>
      <c r="S8" s="628">
        <f t="shared" si="0"/>
        <v>0</v>
      </c>
      <c r="T8" s="627" t="s">
        <v>25</v>
      </c>
      <c r="U8" s="628">
        <f t="shared" si="1"/>
        <v>0</v>
      </c>
      <c r="V8" s="627" t="s">
        <v>25</v>
      </c>
      <c r="W8" s="628">
        <f t="shared" si="2"/>
        <v>0</v>
      </c>
      <c r="X8" s="629"/>
      <c r="Y8" s="3477" t="s">
        <v>2262</v>
      </c>
      <c r="Z8" s="3478"/>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4" t="s">
        <v>2265</v>
      </c>
      <c r="Q9" s="1327" t="str">
        <f t="shared" ref="Q9:Q15" si="6">B9</f>
        <v>用途</v>
      </c>
      <c r="R9" s="627" t="s">
        <v>25</v>
      </c>
      <c r="S9" s="628">
        <f t="shared" si="0"/>
        <v>100</v>
      </c>
      <c r="T9" s="627" t="s">
        <v>25</v>
      </c>
      <c r="U9" s="628">
        <f t="shared" si="1"/>
        <v>100</v>
      </c>
      <c r="V9" s="627" t="s">
        <v>25</v>
      </c>
      <c r="W9" s="628">
        <f t="shared" si="2"/>
        <v>100</v>
      </c>
      <c r="X9" s="629"/>
      <c r="Y9" s="3504"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101</v>
      </c>
      <c r="G10" s="322"/>
      <c r="H10" s="29">
        <f>ROUND(100/'数据-取费表'!B14,0)</f>
        <v>101</v>
      </c>
      <c r="I10" s="322"/>
      <c r="J10" s="29">
        <f>ROUND(100/'数据-取费表'!B14,0)</f>
        <v>101</v>
      </c>
      <c r="K10" s="553"/>
      <c r="L10" s="3030"/>
      <c r="M10" s="3031"/>
      <c r="N10" s="3031"/>
      <c r="O10" s="3032"/>
      <c r="P10" s="3474"/>
      <c r="Q10" s="1327" t="str">
        <f t="shared" si="6"/>
        <v>土地使用年限（年）</v>
      </c>
      <c r="R10" s="627" t="s">
        <v>25</v>
      </c>
      <c r="S10" s="628">
        <f t="shared" si="0"/>
        <v>101</v>
      </c>
      <c r="T10" s="627" t="s">
        <v>25</v>
      </c>
      <c r="U10" s="628">
        <f t="shared" si="1"/>
        <v>101</v>
      </c>
      <c r="V10" s="627" t="s">
        <v>25</v>
      </c>
      <c r="W10" s="628">
        <f t="shared" si="2"/>
        <v>101</v>
      </c>
      <c r="X10" s="629"/>
      <c r="Y10" s="3504"/>
      <c r="Z10" s="19" t="str">
        <f t="shared" si="7"/>
        <v>土地使用年限（年）</v>
      </c>
      <c r="AA10" s="630">
        <f t="shared" si="3"/>
        <v>0.99009900990099009</v>
      </c>
      <c r="AB10" s="630">
        <f t="shared" si="4"/>
        <v>0.99009900990099009</v>
      </c>
      <c r="AC10" s="630">
        <f t="shared" si="5"/>
        <v>0.99009900990099009</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4"/>
      <c r="Q11" s="1327" t="str">
        <f t="shared" si="6"/>
        <v>容积率</v>
      </c>
      <c r="R11" s="627" t="s">
        <v>25</v>
      </c>
      <c r="S11" s="628" t="e">
        <f t="shared" si="0"/>
        <v>#N/A</v>
      </c>
      <c r="T11" s="627" t="s">
        <v>25</v>
      </c>
      <c r="U11" s="628" t="e">
        <f t="shared" si="1"/>
        <v>#N/A</v>
      </c>
      <c r="V11" s="627" t="s">
        <v>25</v>
      </c>
      <c r="W11" s="628" t="e">
        <f t="shared" si="2"/>
        <v>#N/A</v>
      </c>
      <c r="X11" s="629"/>
      <c r="Y11" s="3504"/>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4"/>
      <c r="Q12" s="1327">
        <f t="shared" si="6"/>
        <v>111</v>
      </c>
      <c r="R12" s="627" t="s">
        <v>25</v>
      </c>
      <c r="S12" s="628">
        <f t="shared" si="0"/>
        <v>100</v>
      </c>
      <c r="T12" s="627" t="s">
        <v>25</v>
      </c>
      <c r="U12" s="628">
        <f t="shared" si="1"/>
        <v>100</v>
      </c>
      <c r="V12" s="627" t="s">
        <v>25</v>
      </c>
      <c r="W12" s="628">
        <f t="shared" si="2"/>
        <v>100</v>
      </c>
      <c r="X12" s="629"/>
      <c r="Y12" s="3504"/>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4"/>
      <c r="Q13" s="1327">
        <f t="shared" si="6"/>
        <v>111</v>
      </c>
      <c r="R13" s="627" t="s">
        <v>25</v>
      </c>
      <c r="S13" s="628">
        <f t="shared" si="0"/>
        <v>100</v>
      </c>
      <c r="T13" s="627" t="s">
        <v>25</v>
      </c>
      <c r="U13" s="628">
        <f t="shared" si="1"/>
        <v>100</v>
      </c>
      <c r="V13" s="627" t="s">
        <v>25</v>
      </c>
      <c r="W13" s="628">
        <f t="shared" si="2"/>
        <v>100</v>
      </c>
      <c r="X13" s="629"/>
      <c r="Y13" s="3504"/>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4"/>
      <c r="Q14" s="1327">
        <f t="shared" si="6"/>
        <v>111</v>
      </c>
      <c r="R14" s="627" t="s">
        <v>25</v>
      </c>
      <c r="S14" s="628">
        <f t="shared" si="0"/>
        <v>100</v>
      </c>
      <c r="T14" s="627" t="s">
        <v>25</v>
      </c>
      <c r="U14" s="628">
        <f t="shared" si="1"/>
        <v>100</v>
      </c>
      <c r="V14" s="627" t="s">
        <v>25</v>
      </c>
      <c r="W14" s="628">
        <f t="shared" si="2"/>
        <v>100</v>
      </c>
      <c r="X14" s="629"/>
      <c r="Y14" s="3504"/>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2" t="s">
        <v>2270</v>
      </c>
      <c r="Q15" s="1334" t="str">
        <f t="shared" si="6"/>
        <v>产业集聚程度</v>
      </c>
      <c r="R15" s="631" t="s">
        <v>25</v>
      </c>
      <c r="S15" s="632">
        <f t="shared" si="0"/>
        <v>100</v>
      </c>
      <c r="T15" s="631" t="s">
        <v>25</v>
      </c>
      <c r="U15" s="632">
        <f t="shared" si="1"/>
        <v>100</v>
      </c>
      <c r="V15" s="631" t="s">
        <v>25</v>
      </c>
      <c r="W15" s="632">
        <f t="shared" si="2"/>
        <v>100</v>
      </c>
      <c r="X15" s="1335"/>
      <c r="Y15" s="3502"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3"/>
      <c r="Q16" s="1334"/>
      <c r="R16" s="631"/>
      <c r="S16" s="632"/>
      <c r="T16" s="631"/>
      <c r="U16" s="632"/>
      <c r="V16" s="631"/>
      <c r="W16" s="632"/>
      <c r="X16" s="1335"/>
      <c r="Y16" s="3503"/>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3"/>
      <c r="Q17" s="1334" t="str">
        <f>B17</f>
        <v>交通便捷度</v>
      </c>
      <c r="R17" s="631" t="s">
        <v>25</v>
      </c>
      <c r="S17" s="632">
        <f>F17</f>
        <v>100</v>
      </c>
      <c r="T17" s="631" t="s">
        <v>25</v>
      </c>
      <c r="U17" s="632">
        <f>H17</f>
        <v>100</v>
      </c>
      <c r="V17" s="631" t="s">
        <v>25</v>
      </c>
      <c r="W17" s="632">
        <f>J17</f>
        <v>100</v>
      </c>
      <c r="X17" s="1335"/>
      <c r="Y17" s="350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3"/>
      <c r="Q18" s="1334"/>
      <c r="R18" s="631"/>
      <c r="S18" s="632"/>
      <c r="T18" s="631"/>
      <c r="U18" s="632"/>
      <c r="V18" s="631"/>
      <c r="W18" s="632"/>
      <c r="X18" s="1335"/>
      <c r="Y18" s="3503"/>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3"/>
      <c r="Q19" s="1334" t="str">
        <f t="shared" ref="Q19:Q33" si="8">B19</f>
        <v>区域土地利用方向</v>
      </c>
      <c r="R19" s="631" t="s">
        <v>25</v>
      </c>
      <c r="S19" s="632">
        <f>F19</f>
        <v>100</v>
      </c>
      <c r="T19" s="631" t="s">
        <v>25</v>
      </c>
      <c r="U19" s="632">
        <f>H19</f>
        <v>100</v>
      </c>
      <c r="V19" s="631" t="s">
        <v>25</v>
      </c>
      <c r="W19" s="632">
        <f>J19</f>
        <v>100</v>
      </c>
      <c r="X19" s="1335"/>
      <c r="Y19" s="350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3"/>
      <c r="Q20" s="1334"/>
      <c r="R20" s="631"/>
      <c r="S20" s="632"/>
      <c r="T20" s="631"/>
      <c r="U20" s="632"/>
      <c r="V20" s="631"/>
      <c r="W20" s="632"/>
      <c r="X20" s="1335"/>
      <c r="Y20" s="3503"/>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3"/>
      <c r="Q21" s="1334" t="str">
        <f t="shared" si="8"/>
        <v>环境状况</v>
      </c>
      <c r="R21" s="631" t="s">
        <v>25</v>
      </c>
      <c r="S21" s="632">
        <f>F21</f>
        <v>100</v>
      </c>
      <c r="T21" s="631" t="s">
        <v>25</v>
      </c>
      <c r="U21" s="632">
        <f>H21</f>
        <v>100</v>
      </c>
      <c r="V21" s="631" t="s">
        <v>25</v>
      </c>
      <c r="W21" s="632">
        <f>J21</f>
        <v>100</v>
      </c>
      <c r="X21" s="1335"/>
      <c r="Y21" s="350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3"/>
      <c r="Q22" s="1334"/>
      <c r="R22" s="631"/>
      <c r="S22" s="632"/>
      <c r="T22" s="631"/>
      <c r="U22" s="632"/>
      <c r="V22" s="631"/>
      <c r="W22" s="632"/>
      <c r="X22" s="1335"/>
      <c r="Y22" s="3503"/>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3"/>
      <c r="Q23" s="1327" t="str">
        <f t="shared" si="8"/>
        <v>公共配套设施</v>
      </c>
      <c r="R23" s="627" t="s">
        <v>25</v>
      </c>
      <c r="S23" s="628">
        <f>F23</f>
        <v>100</v>
      </c>
      <c r="T23" s="627" t="s">
        <v>25</v>
      </c>
      <c r="U23" s="628">
        <f>H23</f>
        <v>100</v>
      </c>
      <c r="V23" s="627" t="s">
        <v>25</v>
      </c>
      <c r="W23" s="628">
        <f>J23</f>
        <v>100</v>
      </c>
      <c r="X23" s="629"/>
      <c r="Y23" s="3503"/>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3"/>
      <c r="Q24" s="1327"/>
      <c r="R24" s="627"/>
      <c r="S24" s="628"/>
      <c r="T24" s="627"/>
      <c r="U24" s="628"/>
      <c r="V24" s="627"/>
      <c r="W24" s="628"/>
      <c r="X24" s="629"/>
      <c r="Y24" s="3503"/>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3"/>
      <c r="Q25" s="1327" t="str">
        <f t="shared" ref="Q25" si="9">B25</f>
        <v>基础设施水平</v>
      </c>
      <c r="R25" s="627" t="s">
        <v>25</v>
      </c>
      <c r="S25" s="628">
        <f>F25</f>
        <v>100</v>
      </c>
      <c r="T25" s="627" t="s">
        <v>25</v>
      </c>
      <c r="U25" s="628">
        <f>H25</f>
        <v>100</v>
      </c>
      <c r="V25" s="627" t="s">
        <v>25</v>
      </c>
      <c r="W25" s="628">
        <f>J25</f>
        <v>100</v>
      </c>
      <c r="X25" s="629"/>
      <c r="Y25" s="3503"/>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3"/>
      <c r="Q26" s="1327"/>
      <c r="R26" s="627"/>
      <c r="S26" s="628"/>
      <c r="T26" s="627"/>
      <c r="U26" s="628"/>
      <c r="V26" s="627"/>
      <c r="W26" s="628"/>
      <c r="X26" s="629"/>
      <c r="Y26" s="3503"/>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3"/>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3"/>
      <c r="Q28" s="1334" t="str">
        <f t="shared" si="8"/>
        <v>毗邻道路的类型与等级</v>
      </c>
      <c r="R28" s="631" t="s">
        <v>25</v>
      </c>
      <c r="S28" s="632">
        <f t="shared" si="10"/>
        <v>100</v>
      </c>
      <c r="T28" s="631" t="s">
        <v>25</v>
      </c>
      <c r="U28" s="632">
        <f t="shared" si="11"/>
        <v>100</v>
      </c>
      <c r="V28" s="631" t="s">
        <v>25</v>
      </c>
      <c r="W28" s="632">
        <f t="shared" si="12"/>
        <v>100</v>
      </c>
      <c r="X28" s="1335"/>
      <c r="Y28" s="350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3"/>
      <c r="Q29" s="1334"/>
      <c r="R29" s="631"/>
      <c r="S29" s="632"/>
      <c r="T29" s="631"/>
      <c r="U29" s="632"/>
      <c r="V29" s="631"/>
      <c r="W29" s="632"/>
      <c r="X29" s="1335"/>
      <c r="Y29" s="3503"/>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3"/>
      <c r="Q30" s="1334" t="str">
        <f t="shared" si="8"/>
        <v>土地级别</v>
      </c>
      <c r="R30" s="631" t="s">
        <v>25</v>
      </c>
      <c r="S30" s="632">
        <f t="shared" si="10"/>
        <v>100</v>
      </c>
      <c r="T30" s="631" t="s">
        <v>25</v>
      </c>
      <c r="U30" s="632">
        <f t="shared" si="11"/>
        <v>100</v>
      </c>
      <c r="V30" s="631" t="s">
        <v>25</v>
      </c>
      <c r="W30" s="632">
        <f t="shared" si="12"/>
        <v>100</v>
      </c>
      <c r="X30" s="1335"/>
      <c r="Y30" s="3503"/>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3"/>
      <c r="Q31" s="1334">
        <f t="shared" si="8"/>
        <v>111</v>
      </c>
      <c r="R31" s="631" t="s">
        <v>25</v>
      </c>
      <c r="S31" s="632">
        <f t="shared" si="10"/>
        <v>100</v>
      </c>
      <c r="T31" s="631" t="s">
        <v>25</v>
      </c>
      <c r="U31" s="632">
        <f t="shared" si="11"/>
        <v>100</v>
      </c>
      <c r="V31" s="631" t="s">
        <v>25</v>
      </c>
      <c r="W31" s="632">
        <f t="shared" si="12"/>
        <v>100</v>
      </c>
      <c r="X31" s="1335"/>
      <c r="Y31" s="3503"/>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5" t="s">
        <v>2276</v>
      </c>
      <c r="Q32" s="1334">
        <f t="shared" si="8"/>
        <v>111</v>
      </c>
      <c r="R32" s="631" t="s">
        <v>25</v>
      </c>
      <c r="S32" s="632">
        <f t="shared" si="10"/>
        <v>100</v>
      </c>
      <c r="T32" s="631" t="s">
        <v>25</v>
      </c>
      <c r="U32" s="632">
        <f t="shared" si="11"/>
        <v>100</v>
      </c>
      <c r="V32" s="631" t="s">
        <v>25</v>
      </c>
      <c r="W32" s="632">
        <f t="shared" si="12"/>
        <v>100</v>
      </c>
      <c r="X32" s="1335"/>
      <c r="Y32" s="3506"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6"/>
      <c r="Q33" s="1334">
        <f t="shared" si="8"/>
        <v>111</v>
      </c>
      <c r="R33" s="634" t="s">
        <v>25</v>
      </c>
      <c r="S33" s="635">
        <f t="shared" si="10"/>
        <v>100</v>
      </c>
      <c r="T33" s="634" t="s">
        <v>25</v>
      </c>
      <c r="U33" s="635">
        <f t="shared" si="11"/>
        <v>100</v>
      </c>
      <c r="V33" s="634" t="s">
        <v>25</v>
      </c>
      <c r="W33" s="635">
        <f t="shared" si="12"/>
        <v>100</v>
      </c>
      <c r="X33" s="636"/>
      <c r="Y33" s="3506"/>
      <c r="Z33" s="637">
        <f t="shared" si="13"/>
        <v>111</v>
      </c>
      <c r="AA33" s="1337">
        <f t="shared" si="3"/>
        <v>1</v>
      </c>
      <c r="AB33" s="1337">
        <f t="shared" si="4"/>
        <v>1</v>
      </c>
      <c r="AC33" s="1337">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6"/>
      <c r="Q34" s="1334" t="str">
        <f>B34</f>
        <v>宗地面积</v>
      </c>
      <c r="R34" s="631" t="s">
        <v>25</v>
      </c>
      <c r="S34" s="632" t="e">
        <f t="shared" si="10"/>
        <v>#N/A</v>
      </c>
      <c r="T34" s="631" t="s">
        <v>25</v>
      </c>
      <c r="U34" s="632" t="e">
        <f t="shared" si="11"/>
        <v>#N/A</v>
      </c>
      <c r="V34" s="631" t="s">
        <v>25</v>
      </c>
      <c r="W34" s="632" t="e">
        <f t="shared" si="12"/>
        <v>#N/A</v>
      </c>
      <c r="X34" s="1335"/>
      <c r="Y34" s="3506"/>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6"/>
      <c r="Q35" s="1334" t="str">
        <f t="shared" ref="Q35:Q40" si="14">B35</f>
        <v>宗地形状</v>
      </c>
      <c r="R35" s="631" t="s">
        <v>25</v>
      </c>
      <c r="S35" s="632">
        <f t="shared" si="10"/>
        <v>100</v>
      </c>
      <c r="T35" s="631" t="s">
        <v>25</v>
      </c>
      <c r="U35" s="632">
        <f t="shared" si="11"/>
        <v>100</v>
      </c>
      <c r="V35" s="631" t="s">
        <v>25</v>
      </c>
      <c r="W35" s="632">
        <f t="shared" si="12"/>
        <v>100</v>
      </c>
      <c r="X35" s="1335"/>
      <c r="Y35" s="3506"/>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6"/>
      <c r="Q36" s="1334" t="str">
        <f t="shared" si="14"/>
        <v>宗地开发程度</v>
      </c>
      <c r="R36" s="627" t="s">
        <v>25</v>
      </c>
      <c r="S36" s="628">
        <f t="shared" si="10"/>
        <v>100</v>
      </c>
      <c r="T36" s="627" t="s">
        <v>25</v>
      </c>
      <c r="U36" s="628">
        <f t="shared" si="11"/>
        <v>100</v>
      </c>
      <c r="V36" s="627" t="s">
        <v>25</v>
      </c>
      <c r="W36" s="628">
        <f t="shared" si="12"/>
        <v>100</v>
      </c>
      <c r="X36" s="629"/>
      <c r="Y36" s="3506"/>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6" t="s">
        <v>2276</v>
      </c>
      <c r="Q37" s="1334" t="str">
        <f t="shared" si="14"/>
        <v>工程地质条件</v>
      </c>
      <c r="R37" s="631" t="s">
        <v>25</v>
      </c>
      <c r="S37" s="632">
        <f t="shared" si="10"/>
        <v>100</v>
      </c>
      <c r="T37" s="631" t="s">
        <v>25</v>
      </c>
      <c r="U37" s="632">
        <f t="shared" si="11"/>
        <v>100</v>
      </c>
      <c r="V37" s="631" t="s">
        <v>25</v>
      </c>
      <c r="W37" s="632">
        <f t="shared" si="12"/>
        <v>100</v>
      </c>
      <c r="X37" s="1335"/>
      <c r="Y37" s="3506"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6"/>
      <c r="Q38" s="1334">
        <f t="shared" si="14"/>
        <v>111</v>
      </c>
      <c r="R38" s="631" t="s">
        <v>25</v>
      </c>
      <c r="S38" s="632">
        <f t="shared" si="10"/>
        <v>100</v>
      </c>
      <c r="T38" s="631" t="s">
        <v>25</v>
      </c>
      <c r="U38" s="632">
        <f t="shared" si="11"/>
        <v>100</v>
      </c>
      <c r="V38" s="631" t="s">
        <v>25</v>
      </c>
      <c r="W38" s="632">
        <f t="shared" si="12"/>
        <v>100</v>
      </c>
      <c r="X38" s="1335"/>
      <c r="Y38" s="3506"/>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6"/>
      <c r="Q39" s="1334">
        <f t="shared" si="14"/>
        <v>111</v>
      </c>
      <c r="R39" s="631" t="s">
        <v>25</v>
      </c>
      <c r="S39" s="632">
        <f t="shared" si="10"/>
        <v>100</v>
      </c>
      <c r="T39" s="631" t="s">
        <v>25</v>
      </c>
      <c r="U39" s="632">
        <f t="shared" si="11"/>
        <v>100</v>
      </c>
      <c r="V39" s="631" t="s">
        <v>25</v>
      </c>
      <c r="W39" s="632">
        <f t="shared" si="12"/>
        <v>100</v>
      </c>
      <c r="X39" s="1335"/>
      <c r="Y39" s="3506"/>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6"/>
      <c r="Q40" s="1334">
        <f t="shared" si="14"/>
        <v>111</v>
      </c>
      <c r="R40" s="634" t="s">
        <v>25</v>
      </c>
      <c r="S40" s="635">
        <f t="shared" si="10"/>
        <v>100</v>
      </c>
      <c r="T40" s="634" t="s">
        <v>25</v>
      </c>
      <c r="U40" s="635">
        <f t="shared" si="11"/>
        <v>100</v>
      </c>
      <c r="V40" s="634" t="s">
        <v>25</v>
      </c>
      <c r="W40" s="635">
        <f t="shared" si="12"/>
        <v>100</v>
      </c>
      <c r="X40" s="636"/>
      <c r="Y40" s="3506"/>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74" t="str">
        <f>A41</f>
        <v>成交单价</v>
      </c>
      <c r="Q41" s="3474"/>
      <c r="R41" s="3498">
        <f>E41</f>
        <v>0</v>
      </c>
      <c r="S41" s="3498"/>
      <c r="T41" s="3498">
        <f>G41</f>
        <v>0</v>
      </c>
      <c r="U41" s="3498"/>
      <c r="V41" s="3498">
        <f>I41</f>
        <v>0</v>
      </c>
      <c r="W41" s="3498"/>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74" t="str">
        <f>A42</f>
        <v>比较价值（元/平方米）</v>
      </c>
      <c r="Q42" s="3474"/>
      <c r="R42" s="3515" t="e">
        <f>ROUND(PRODUCT(R41,AA7:AA40),0)</f>
        <v>#DIV/0!</v>
      </c>
      <c r="S42" s="3515"/>
      <c r="T42" s="3515" t="e">
        <f>ROUND(PRODUCT(T41,AB7:AB40),0)</f>
        <v>#DIV/0!</v>
      </c>
      <c r="U42" s="3515"/>
      <c r="V42" s="3515" t="e">
        <f>ROUND(PRODUCT(V41,AC7:AC40),0)</f>
        <v>#DIV/0!</v>
      </c>
      <c r="W42" s="3515"/>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509" t="str">
        <f>A43</f>
        <v>估价对象XX用房的比较价值（楼面单价，元/平方米）</v>
      </c>
      <c r="Q43" s="3510"/>
      <c r="R43" s="3514" t="e">
        <f>ROUND(IF(D42="简单平均",AVERAGE(R42:W42),R42*F42+T42*H42+V42*J42),0)</f>
        <v>#DIV/0!</v>
      </c>
      <c r="S43" s="3514"/>
      <c r="T43" s="3514"/>
      <c r="U43" s="3514"/>
      <c r="V43" s="3514"/>
      <c r="W43" s="3514"/>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2005-12-1</v>
      </c>
      <c r="D63" s="1182">
        <f>EDATE(C63,-3)</f>
        <v>38596</v>
      </c>
      <c r="E63" s="1182">
        <f t="shared" ref="E63:O63" si="18">EDATE(D63,-3)</f>
        <v>38504</v>
      </c>
      <c r="F63" s="1182">
        <f t="shared" si="18"/>
        <v>38412</v>
      </c>
      <c r="G63" s="1182">
        <f t="shared" si="18"/>
        <v>38322</v>
      </c>
      <c r="H63" s="1182">
        <f t="shared" si="18"/>
        <v>38231</v>
      </c>
      <c r="I63" s="1182">
        <f t="shared" si="18"/>
        <v>38139</v>
      </c>
      <c r="J63" s="1182">
        <f t="shared" si="18"/>
        <v>38047</v>
      </c>
      <c r="K63" s="1182">
        <f t="shared" si="18"/>
        <v>37956</v>
      </c>
      <c r="L63" s="1182">
        <f t="shared" si="18"/>
        <v>37865</v>
      </c>
      <c r="M63" s="1182">
        <f t="shared" si="18"/>
        <v>37773</v>
      </c>
      <c r="N63" s="1182">
        <f t="shared" si="18"/>
        <v>37681</v>
      </c>
      <c r="O63" s="1182">
        <f t="shared" si="18"/>
        <v>37591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2005-4</v>
      </c>
      <c r="D65" s="1183" t="str">
        <f t="shared" ref="D65:O65" si="19">YEAR(D63)&amp;"-"&amp;ROUNDUP(MONTH(D63)/3,0)</f>
        <v>2005-3</v>
      </c>
      <c r="E65" s="1183" t="str">
        <f t="shared" si="19"/>
        <v>2005-2</v>
      </c>
      <c r="F65" s="1183" t="str">
        <f t="shared" si="19"/>
        <v>2005-1</v>
      </c>
      <c r="G65" s="1183" t="str">
        <f t="shared" si="19"/>
        <v>2004-4</v>
      </c>
      <c r="H65" s="1183" t="str">
        <f t="shared" si="19"/>
        <v>2004-3</v>
      </c>
      <c r="I65" s="1183" t="str">
        <f t="shared" si="19"/>
        <v>2004-2</v>
      </c>
      <c r="J65" s="1183" t="str">
        <f t="shared" si="19"/>
        <v>2004-1</v>
      </c>
      <c r="K65" s="1183" t="str">
        <f t="shared" si="19"/>
        <v>2003-4</v>
      </c>
      <c r="L65" s="1183" t="str">
        <f t="shared" si="19"/>
        <v>2003-3</v>
      </c>
      <c r="M65" s="1183" t="str">
        <f t="shared" si="19"/>
        <v>2003-2</v>
      </c>
      <c r="N65" s="1183" t="str">
        <f t="shared" si="19"/>
        <v>2003-1</v>
      </c>
      <c r="O65" s="1183" t="str">
        <f t="shared" si="19"/>
        <v>2002-4</v>
      </c>
      <c r="P65" s="393"/>
    </row>
    <row r="66" spans="1:17" s="25" customFormat="1" ht="33.75" customHeight="1">
      <c r="A66" s="1600"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估价对象为北京市房地产，为XX所有。根据《》[]，估价对象建筑面积为110.82平方米。根据《》[]，估价对象（分摊）出让国有建设用地使用权面积为平方米。估价对象用途为。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2005年12月19日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本次估价的“房地产价值”是指在正常市场情况下，在价值时点2005年12月19日，估价对象规划用途为，假定未设立法定优先受偿款下的房地产市场价值。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J7" activeCellId="2" sqref="F7:G34 H7:H34 J7:J3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110.82</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 ca="1">C26</f>
        <v>0</v>
      </c>
      <c r="C2" s="2108" t="s">
        <v>2505</v>
      </c>
      <c r="D2" s="1602" t="s">
        <v>2506</v>
      </c>
      <c r="E2" s="2109" t="s">
        <v>2889</v>
      </c>
      <c r="F2" s="1602" t="s">
        <v>2507</v>
      </c>
      <c r="G2" s="2110" t="str">
        <f>项目基本情况!F9</f>
        <v>六级</v>
      </c>
      <c r="H2" s="1603" t="s">
        <v>2508</v>
      </c>
      <c r="I2" s="2110">
        <f>项目基本情况!F10</f>
        <v>0</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 ca="1">ROUND($C$5*$C$18*$C$19*$C$20*S2*$C$24,0)</f>
        <v>#DIV/0!</v>
      </c>
      <c r="U2" s="2115"/>
      <c r="V2" s="2104" t="e">
        <f ca="1">ROUND(T2*U2/10000,0)</f>
        <v>#DIV/0!</v>
      </c>
      <c r="W2" s="2105"/>
      <c r="X2" s="2105"/>
      <c r="Y2" s="2105"/>
      <c r="Z2" s="2105"/>
      <c r="AA2" s="2105"/>
      <c r="AB2" s="2105"/>
      <c r="AC2" s="2105"/>
      <c r="AD2" s="2106"/>
      <c r="AE2" s="2106"/>
      <c r="AF2" s="2106"/>
      <c r="AG2" s="2106"/>
      <c r="AH2" s="2106"/>
      <c r="AI2" s="2106"/>
      <c r="AJ2" s="2107"/>
    </row>
    <row r="3" spans="1:36" ht="25.5">
      <c r="A3" s="1659" t="s">
        <v>2510</v>
      </c>
      <c r="B3" s="1659">
        <f ca="1">ROUND(B2/D1,0)</f>
        <v>0</v>
      </c>
      <c r="C3" s="2108" t="s">
        <v>2511</v>
      </c>
      <c r="D3" s="1602" t="s">
        <v>2512</v>
      </c>
      <c r="E3" s="2109" t="s">
        <v>2891</v>
      </c>
      <c r="F3" s="1604" t="s">
        <v>2513</v>
      </c>
      <c r="G3" s="2116">
        <f>项目基本情况!C15</f>
        <v>0</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ca="1" si="0">ROUND($C$5*$C$18*$C$19*$C$20*S3*$C$24,0)</f>
        <v>#DIV/0!</v>
      </c>
      <c r="U3" s="2115"/>
      <c r="V3" s="2104" t="e">
        <f t="shared" ref="V3:V16" ca="1" si="1">ROUND(T3*U3/10000,0)</f>
        <v>#DIV/0!</v>
      </c>
      <c r="W3" s="2105"/>
      <c r="X3" s="2105"/>
      <c r="Y3" s="2105"/>
      <c r="Z3" s="2105"/>
      <c r="AA3" s="2105"/>
      <c r="AB3" s="2105"/>
      <c r="AC3" s="2105"/>
      <c r="AD3" s="2106"/>
      <c r="AE3" s="2106"/>
      <c r="AF3" s="2106"/>
      <c r="AG3" s="2106"/>
      <c r="AH3" s="2106"/>
      <c r="AI3" s="2106"/>
      <c r="AJ3" s="2107"/>
    </row>
    <row r="4" spans="1:36" ht="15.75">
      <c r="A4" s="3533"/>
      <c r="B4" s="3534"/>
      <c r="C4" s="3534"/>
      <c r="D4" s="3535"/>
      <c r="E4" s="3535"/>
      <c r="F4" s="3535"/>
      <c r="G4" s="3535"/>
      <c r="H4" s="3535"/>
      <c r="I4" s="3535"/>
      <c r="J4" s="3536"/>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ca="1" si="0"/>
        <v>#DIV/0!</v>
      </c>
      <c r="U4" s="2115"/>
      <c r="V4" s="2104" t="e">
        <f t="shared" ca="1" si="1"/>
        <v>#DIV/0!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0</v>
      </c>
      <c r="D5" s="2119">
        <f>ROUND(C6+C16,0)</f>
        <v>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ca="1" si="0"/>
        <v>#DIV/0!</v>
      </c>
      <c r="U5" s="2115"/>
      <c r="V5" s="2104" t="e">
        <f t="shared" ca="1" si="1"/>
        <v>#DIV/0!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ca="1" si="0"/>
        <v>#DIV/0!</v>
      </c>
      <c r="U6" s="2115"/>
      <c r="V6" s="2104" t="e">
        <f t="shared" ca="1" si="1"/>
        <v>#DIV/0!</v>
      </c>
      <c r="W6" s="2105"/>
      <c r="X6" s="2105"/>
      <c r="Y6" s="2105"/>
      <c r="Z6" s="2105"/>
      <c r="AA6" s="2105"/>
      <c r="AB6" s="2105"/>
      <c r="AC6" s="2122"/>
      <c r="AD6" s="2123"/>
      <c r="AE6" s="2123"/>
      <c r="AF6" s="2123"/>
      <c r="AG6" s="2123"/>
      <c r="AH6" s="2123"/>
      <c r="AI6" s="2123"/>
      <c r="AJ6" s="2124"/>
    </row>
    <row r="7" spans="1:36" ht="24">
      <c r="A7" s="3537" t="str">
        <f>IF(E2="商业",IF(C8="不临58条商业街","",2),"")</f>
        <v/>
      </c>
      <c r="B7" s="1607" t="s">
        <v>2524</v>
      </c>
      <c r="C7" s="2131" t="e">
        <f>IF(C8="不临58条商业街",1,ROUND(1+(1.6*E8+1.2*E9+0.8*E10+0.4*E11)*C9,4))</f>
        <v>#DIV/0!</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ca="1" si="0"/>
        <v>#DIV/0!</v>
      </c>
      <c r="U7" s="2115"/>
      <c r="V7" s="2104" t="e">
        <f t="shared" ca="1" si="1"/>
        <v>#DIV/0!</v>
      </c>
      <c r="W7" s="2136" t="s">
        <v>2527</v>
      </c>
      <c r="X7" s="2137" t="str">
        <f>G2</f>
        <v>六级</v>
      </c>
      <c r="Y7" s="2137" t="s">
        <v>2528</v>
      </c>
      <c r="Z7" s="2138">
        <f>G3</f>
        <v>0</v>
      </c>
      <c r="AA7" s="2105"/>
      <c r="AB7" s="2105"/>
      <c r="AC7" s="2105"/>
      <c r="AD7" s="2106"/>
      <c r="AE7" s="2106"/>
      <c r="AF7" s="2106"/>
      <c r="AG7" s="2106"/>
      <c r="AH7" s="2106"/>
      <c r="AI7" s="2106"/>
      <c r="AJ7" s="2107"/>
    </row>
    <row r="8" spans="1:36" ht="15">
      <c r="A8" s="3538"/>
      <c r="B8" s="50" t="s">
        <v>2529</v>
      </c>
      <c r="C8" s="2139"/>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531" t="s">
        <v>2532</v>
      </c>
      <c r="X8" s="3532"/>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38"/>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532"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8"/>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532"/>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8"/>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532" t="s">
        <v>2556</v>
      </c>
      <c r="X11" s="2153" t="s">
        <v>2557</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37">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532"/>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9"/>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ca="1" si="0"/>
        <v>0</v>
      </c>
      <c r="U13" s="2115"/>
      <c r="V13" s="2104">
        <f t="shared" ca="1" si="1"/>
        <v>0</v>
      </c>
      <c r="W13" s="3532"/>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39"/>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0"/>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6">
        <f>IF(E2="办公",2,IF(E2="工业",2,IF(E2="住宅",3,IF(E2="商业",IF(C8="不临58条商业街",2,3)))))</f>
        <v>3</v>
      </c>
      <c r="B16" s="1631" t="s">
        <v>2578</v>
      </c>
      <c r="C16" s="1607">
        <f>ROUND(IF(F17="与级别开发程度一致",0,(G17-E17)/C17),0)</f>
        <v>0</v>
      </c>
      <c r="D16" s="3529" t="s">
        <v>2582</v>
      </c>
      <c r="E16" s="3530"/>
      <c r="F16" s="3529" t="s">
        <v>2579</v>
      </c>
      <c r="G16" s="3530"/>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7"/>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2892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ROUND(IF(H19="按公示增长率计算",SUMPRODUCT((地价!A3:A33=YEAR(G19)&amp;"-"&amp;ROUNDUP(MONTH(G19)/3,0))*(地价!X2:AB2=E2)*(地价!X3:AB33)),IF(H19="地价指数",M20/M19,(1+I19)^O19)),4)</f>
        <v>0</v>
      </c>
      <c r="D19" s="2190" t="s">
        <v>2588</v>
      </c>
      <c r="E19" s="2191">
        <v>41640</v>
      </c>
      <c r="F19" s="2190" t="s">
        <v>2589</v>
      </c>
      <c r="G19" s="2192">
        <f>'数据-取费表'!B2</f>
        <v>38705</v>
      </c>
      <c r="H19" s="2193" t="s">
        <v>2725</v>
      </c>
      <c r="I19" s="2194" t="str">
        <f>IF(H19="季度增幅（自定义）",SUMIF(N21:N24,E2,O21:O24),"")</f>
        <v/>
      </c>
      <c r="J19" s="2195"/>
      <c r="K19" s="3052"/>
      <c r="L19" s="2076" t="s">
        <v>2590</v>
      </c>
      <c r="M19" s="2196">
        <f>ROUND(SUMIF(地价!B2:F2,E2,地价!B33:F33),0)</f>
        <v>423</v>
      </c>
      <c r="N19" s="2197" t="s">
        <v>2591</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 ca="1">ROUND(POWER(1+G20,J20-I20)*(POWER(1+G20,I20)-1)/(POWER(1+G20,J20)-1),4)</f>
        <v>0.99629999999999996</v>
      </c>
      <c r="D20" s="2202" t="s">
        <v>2594</v>
      </c>
      <c r="E20" s="3155">
        <f ca="1">存贷款利率!D4/100</f>
        <v>5.5800000000000002E-2</v>
      </c>
      <c r="F20" s="2202" t="s">
        <v>2583</v>
      </c>
      <c r="G20" s="3156">
        <f ca="1">SUMIF(M26:P26,E2,M28:P28)</f>
        <v>6.4000000000000001E-2</v>
      </c>
      <c r="H20" s="2202" t="s">
        <v>2595</v>
      </c>
      <c r="I20" s="2203">
        <f>'数据-取费表'!B13</f>
        <v>66</v>
      </c>
      <c r="J20" s="2204">
        <f>IF(E2="住宅",70,IF(E2="商业",40,50))</f>
        <v>70</v>
      </c>
      <c r="K20" s="3052"/>
      <c r="L20" s="2205" t="s">
        <v>2596</v>
      </c>
      <c r="M20" s="2206">
        <f>ROUND(SUMPRODUCT((地价!A4:A33=YEAR(G19)&amp;"-"&amp;ROUNDUP(MONTH(G19)/3,0))*(地价!B2:F2=E2)*(地价!B4:F33)),0)</f>
        <v>0</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2600</v>
      </c>
      <c r="B21" s="1615" t="s">
        <v>2601</v>
      </c>
      <c r="C21" s="2211">
        <f>IF(B21="容积率修正",IF(G3&lt;=10,D22,J22),C23)</f>
        <v>0</v>
      </c>
      <c r="D21" s="2212"/>
      <c r="E21" s="2212"/>
      <c r="F21" s="2212"/>
      <c r="G21" s="2212"/>
      <c r="H21" s="2212"/>
      <c r="I21" s="2212"/>
      <c r="J21" s="2077"/>
      <c r="K21" s="3052"/>
      <c r="L21" s="3052"/>
      <c r="M21" s="3052"/>
      <c r="N21" s="2213" t="s">
        <v>2602</v>
      </c>
      <c r="O21" s="2214"/>
      <c r="P21" s="2215">
        <f>SUMPRODUCT((地价!A3:A33=YEAR(G19)&amp;"-"&amp;ROUNDUP(MONTH(G19)/3,0))*(地价!AD2:AH2=N21)*(地价!AD3:AH33))</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2605</v>
      </c>
      <c r="O22" s="2214"/>
      <c r="P22" s="2215">
        <f>SUMPRODUCT((地价!A3:A33=YEAR(G19)&amp;"-"&amp;ROUNDUP(MONTH(G19)/3,0))*(地价!AD2:AH2=N22)*(地价!AD3:AH33))</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2607</v>
      </c>
      <c r="O23" s="2214"/>
      <c r="P23" s="2215">
        <f>SUMPRODUCT((地价!A3:A33=YEAR(G19)&amp;"-"&amp;ROUNDUP(MONTH(G19)/3,0))*(地价!AD2:AH2=N23)*(地价!AD3:AH33))</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v>
      </c>
      <c r="D24" s="2222"/>
      <c r="E24" s="2223"/>
      <c r="F24" s="2223"/>
      <c r="G24" s="2223"/>
      <c r="H24" s="2223"/>
      <c r="I24" s="2223"/>
      <c r="J24" s="2224"/>
      <c r="K24" s="3052"/>
      <c r="L24" s="3052"/>
      <c r="M24" s="3052"/>
      <c r="N24" s="2225" t="s">
        <v>2610</v>
      </c>
      <c r="O24" s="2226"/>
      <c r="P24" s="2227">
        <f>SUMPRODUCT((地价!A3:A33=YEAR(G19)&amp;"-"&amp;ROUNDUP(MONTH(G19)/3,0))*(地价!AD2:AH2=N24)*(地价!AD3:AH33))</f>
        <v>0</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SUMPRODUCT((地价!A3:A33=YEAR(G19)&amp;"-"&amp;ROUNDUP(MONTH(G19)/3,0))*(地价!AD2:AH2=N25)*(地价!AD3:AH33))</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 ca="1">IF(B21="容积率修正",E29+SUM(E33:E39),SUM(V2:V16)+SUM(E33:E39))</f>
        <v>0</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 ca="1">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2583</v>
      </c>
      <c r="M28" s="2242">
        <f ca="1">ROUND($E$20*(1+M27),3)</f>
        <v>7.0000000000000007E-2</v>
      </c>
      <c r="N28" s="2242">
        <f ca="1">ROUND($E$20*(1+N27),3)</f>
        <v>6.7000000000000004E-2</v>
      </c>
      <c r="O28" s="2242">
        <f ca="1">ROUND($E$20*(1+O27),3)</f>
        <v>6.4000000000000001E-2</v>
      </c>
      <c r="P28" s="2160">
        <f ca="1">ROUND($E$20*(1+P27),3)</f>
        <v>6.0999999999999999E-2</v>
      </c>
      <c r="Q28" s="3050"/>
      <c r="R28" s="3050"/>
      <c r="S28" s="3050"/>
      <c r="T28" s="3050"/>
      <c r="U28" s="3050"/>
      <c r="V28" s="3050"/>
      <c r="W28" s="3050"/>
      <c r="X28" s="1623"/>
      <c r="Y28" s="1623"/>
      <c r="Z28" s="1623"/>
      <c r="AA28" s="1623"/>
      <c r="AB28" s="1623"/>
      <c r="AC28" s="1623"/>
      <c r="AD28" s="1623"/>
      <c r="AE28" s="1623"/>
      <c r="AF28" s="1623"/>
    </row>
    <row r="29" spans="1:35">
      <c r="A29" s="2243"/>
      <c r="B29" s="1620" t="s">
        <v>2620</v>
      </c>
      <c r="C29" s="54">
        <f ca="1">ROUND(C5*C18*C19*C20*C21*C24,0)</f>
        <v>0</v>
      </c>
      <c r="D29" s="2244">
        <f>项目基本情况!C12</f>
        <v>110.82</v>
      </c>
      <c r="E29" s="2031">
        <f ca="1">ROUND(C29*D29,0)</f>
        <v>0</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 ca="1">ROUND(IF(E2="工业",C29*M39,C29*M38),0)</f>
        <v>0</v>
      </c>
      <c r="D30" s="2249"/>
      <c r="E30" s="2031">
        <f ca="1">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26" t="s">
        <v>2628</v>
      </c>
      <c r="B33" s="2257" t="s">
        <v>2629</v>
      </c>
      <c r="C33" s="54">
        <f ca="1">ROUND(D5*C19*C20*C24*F33,0)</f>
        <v>0</v>
      </c>
      <c r="D33" s="2244"/>
      <c r="E33" s="50">
        <f t="shared" ref="E33:E39" ca="1" si="6">ROUND(C33*D33,0)</f>
        <v>0</v>
      </c>
      <c r="F33" s="50">
        <f>SUMIF(修正!A45:A56,G2,修正!B45:B56)</f>
        <v>0.7</v>
      </c>
      <c r="G33" s="50">
        <f t="shared" ref="G33" ca="1" si="7">ROUND(IF(E2="工业",C33*$M$39,C33*$M$38),0)</f>
        <v>0</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27"/>
      <c r="B34" s="2162" t="s">
        <v>2630</v>
      </c>
      <c r="C34" s="54">
        <f ca="1">ROUND(D5*C19*C20*C24*F34,0)</f>
        <v>0</v>
      </c>
      <c r="D34" s="2244"/>
      <c r="E34" s="50">
        <f t="shared" ca="1" si="6"/>
        <v>0</v>
      </c>
      <c r="F34" s="50">
        <f>SUMIF(修正!A45:A56,G2,修正!C45:C56)</f>
        <v>0.4</v>
      </c>
      <c r="G34" s="50">
        <f ca="1">ROUND(IF(E2="工业",C34*$M$39,C34*$M$38),0)</f>
        <v>0</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27"/>
      <c r="B35" s="2162" t="s">
        <v>2631</v>
      </c>
      <c r="C35" s="54">
        <f ca="1">ROUND(D5*C19*C20*C24*F35,0)</f>
        <v>0</v>
      </c>
      <c r="D35" s="2244"/>
      <c r="E35" s="50">
        <f t="shared" ca="1" si="6"/>
        <v>0</v>
      </c>
      <c r="F35" s="50">
        <f>SUMIF(修正!A45:A56,G2,修正!D45:D56)</f>
        <v>0.28000000000000003</v>
      </c>
      <c r="G35" s="50">
        <f ca="1">ROUND(IF(E2="工业",C35*$M$39,C35*$M$38),0)</f>
        <v>0</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28"/>
      <c r="B36" s="2162" t="s">
        <v>2632</v>
      </c>
      <c r="C36" s="54">
        <f ca="1">ROUND(D5*C19*C20*C24*F36,0)</f>
        <v>0</v>
      </c>
      <c r="D36" s="2244"/>
      <c r="E36" s="50">
        <f t="shared" ca="1" si="6"/>
        <v>0</v>
      </c>
      <c r="F36" s="50">
        <f>SUMIF(修正!A45:A56,G2,修正!E45:E56)</f>
        <v>0.25</v>
      </c>
      <c r="G36" s="50">
        <f ca="1">ROUND(IF(E2="工业",C36*$M$39,C36*$M$38),0)</f>
        <v>0</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 ca="1">ROUND(D5*C19*C20*C24*F37,0)</f>
        <v>0</v>
      </c>
      <c r="D37" s="2244"/>
      <c r="E37" s="50">
        <f t="shared" ca="1" si="6"/>
        <v>0</v>
      </c>
      <c r="F37" s="54">
        <f>SUMIF(修正!A45:A56,G2,修正!F45:F56)</f>
        <v>0.25</v>
      </c>
      <c r="G37" s="50">
        <f ca="1">ROUND(IF(E2="工业",C37*$M$39,C37*$M$38),0)</f>
        <v>0</v>
      </c>
      <c r="H37" s="50">
        <f t="shared" si="9"/>
        <v>0</v>
      </c>
      <c r="I37" s="50">
        <f t="shared" ca="1"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 ca="1">ROUND(D5*C19*C41*C24*F38,0)</f>
        <v>0</v>
      </c>
      <c r="D38" s="2244"/>
      <c r="E38" s="50">
        <f t="shared" ca="1" si="6"/>
        <v>0</v>
      </c>
      <c r="F38" s="54">
        <f>SUMIF(修正!A45:A56,G2,修正!G45:G56)</f>
        <v>0.25</v>
      </c>
      <c r="G38" s="50">
        <f ca="1">ROUND(IF(E2="工业",C38*$M$39,C38*$M$38),0)</f>
        <v>0</v>
      </c>
      <c r="H38" s="50">
        <f t="shared" si="9"/>
        <v>0</v>
      </c>
      <c r="I38" s="50">
        <f t="shared" ca="1"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 ca="1">ROUND(D5*C19*C41*C24*F39,0)</f>
        <v>0</v>
      </c>
      <c r="D39" s="2249"/>
      <c r="E39" s="2172">
        <f t="shared" ca="1" si="6"/>
        <v>0</v>
      </c>
      <c r="F39" s="56">
        <f>SUMIF(修正!A45:A56,G2,修正!H45:H56)</f>
        <v>0.2</v>
      </c>
      <c r="G39" s="2172">
        <f ca="1">ROUND(IF(E2="工业",C39*$M$39,C39*$M$38),0)</f>
        <v>0</v>
      </c>
      <c r="H39" s="2172">
        <f t="shared" si="9"/>
        <v>0</v>
      </c>
      <c r="I39" s="2172">
        <f t="shared" ca="1"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 ca="1">ROUND(POWER(1+E41,H41-G41)*(POWER(1+E41,G41)-1)/(POWER(1+E41,H41)-1),4)</f>
        <v>0</v>
      </c>
      <c r="D41" s="50" t="s">
        <v>2715</v>
      </c>
      <c r="E41" s="2267">
        <f ca="1">G20</f>
        <v>6.4000000000000001E-2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2657</v>
      </c>
      <c r="B62" s="2292" t="s">
        <v>2658</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2673</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18" t="s">
        <v>2677</v>
      </c>
      <c r="B90" s="3518"/>
      <c r="C90" s="3518"/>
      <c r="D90" s="3518"/>
      <c r="E90" s="3518"/>
      <c r="F90" s="3518"/>
      <c r="G90" s="3518"/>
      <c r="H90" s="3518"/>
      <c r="I90" s="3518"/>
      <c r="J90" s="3518"/>
      <c r="K90" s="2306"/>
      <c r="L90" s="2306"/>
      <c r="M90" s="2306"/>
      <c r="N90" s="2306"/>
      <c r="Q90" s="3058"/>
      <c r="R90" s="3058"/>
      <c r="S90" s="3058"/>
      <c r="T90" s="3058"/>
      <c r="U90" s="3058"/>
      <c r="V90" s="3058"/>
      <c r="W90" s="3058"/>
    </row>
    <row r="91" spans="1:33">
      <c r="A91" s="3520" t="s">
        <v>2678</v>
      </c>
      <c r="B91" s="3520"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520"/>
      <c r="B92" s="3520"/>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21"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2"/>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2"/>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2"/>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2"/>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2"/>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2"/>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23"/>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1" t="s">
        <v>2682</v>
      </c>
      <c r="B101" s="2313" t="s">
        <v>2683</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522"/>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22"/>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22"/>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22"/>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22"/>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22"/>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22"/>
      <c r="B108" s="3524"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23"/>
      <c r="B109" s="3525"/>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19" t="s">
        <v>2685</v>
      </c>
      <c r="B110" s="3519"/>
      <c r="C110" s="3519"/>
      <c r="D110" s="3519"/>
      <c r="E110" s="3519"/>
      <c r="F110" s="3519"/>
      <c r="G110" s="3519"/>
      <c r="H110" s="3519"/>
      <c r="I110" s="3519"/>
      <c r="J110" s="3519"/>
      <c r="K110" s="2080"/>
      <c r="L110" s="2080"/>
      <c r="M110" s="2080"/>
      <c r="N110" s="2080"/>
      <c r="Q110" s="3058"/>
      <c r="R110" s="3058"/>
      <c r="S110" s="3058"/>
      <c r="T110" s="3058"/>
      <c r="U110" s="3058"/>
      <c r="V110" s="3058"/>
      <c r="W110" s="3058"/>
    </row>
    <row r="112" spans="1:23" ht="13.5" thickBot="1"/>
    <row r="113" spans="1:13" ht="25.5" thickBot="1">
      <c r="A113" s="2315" t="s">
        <v>2686</v>
      </c>
      <c r="B113" s="2316">
        <f>G3</f>
        <v>0</v>
      </c>
      <c r="C113" s="2317" t="s">
        <v>2687</v>
      </c>
      <c r="D113" s="2318">
        <f>SUMPRODUCT((A115:A118=F113)*(B114:M114=H113)*B115:M118)</f>
        <v>0.87480000000000002</v>
      </c>
      <c r="E113" s="1602" t="s">
        <v>2573</v>
      </c>
      <c r="F113" s="2319" t="str">
        <f>E2</f>
        <v>住宅</v>
      </c>
      <c r="G113" s="1602" t="s">
        <v>2507</v>
      </c>
      <c r="H113" s="2319" t="str">
        <f>G2</f>
        <v>六级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2575</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2576</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2577</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1" t="s">
        <v>779</v>
      </c>
      <c r="B1" s="354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1" t="s">
        <v>105</v>
      </c>
      <c r="B1" s="3541"/>
      <c r="C1" s="3541"/>
      <c r="D1" s="3541"/>
      <c r="E1" s="3541"/>
      <c r="F1" s="354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2" t="s">
        <v>118</v>
      </c>
      <c r="B2" s="3542"/>
      <c r="C2" s="3542"/>
      <c r="D2" s="3542"/>
      <c r="E2" s="3542"/>
      <c r="F2" s="354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5" t="s">
        <v>132</v>
      </c>
      <c r="B18" s="768" t="s">
        <v>517</v>
      </c>
      <c r="C18" s="769" t="s">
        <v>518</v>
      </c>
      <c r="D18" s="770"/>
      <c r="E18" s="768">
        <v>1</v>
      </c>
      <c r="F18" s="771" t="s">
        <v>519</v>
      </c>
      <c r="G18" s="772"/>
      <c r="H18" s="764"/>
      <c r="I18" s="764"/>
    </row>
    <row r="19" spans="1:9" s="773" customFormat="1" ht="19.5" customHeight="1">
      <c r="A19" s="3545"/>
      <c r="B19" s="3545" t="s">
        <v>520</v>
      </c>
      <c r="C19" s="769" t="s">
        <v>521</v>
      </c>
      <c r="D19" s="770"/>
      <c r="E19" s="768">
        <v>0.9</v>
      </c>
      <c r="F19" s="771" t="s">
        <v>522</v>
      </c>
      <c r="G19" s="772"/>
      <c r="H19" s="764"/>
      <c r="I19" s="764"/>
    </row>
    <row r="20" spans="1:9" s="773" customFormat="1" ht="19.5" customHeight="1">
      <c r="A20" s="3545"/>
      <c r="B20" s="3545"/>
      <c r="C20" s="769" t="s">
        <v>523</v>
      </c>
      <c r="D20" s="770"/>
      <c r="E20" s="768">
        <v>1.1000000000000001</v>
      </c>
      <c r="F20" s="771" t="s">
        <v>524</v>
      </c>
      <c r="G20" s="772"/>
      <c r="H20" s="764"/>
      <c r="I20" s="764"/>
    </row>
    <row r="21" spans="1:9" s="773" customFormat="1" ht="19.5" customHeight="1">
      <c r="A21" s="3545"/>
      <c r="B21" s="3545"/>
      <c r="C21" s="769" t="s">
        <v>525</v>
      </c>
      <c r="D21" s="770"/>
      <c r="E21" s="768">
        <v>0.8</v>
      </c>
      <c r="F21" s="771" t="s">
        <v>526</v>
      </c>
      <c r="G21" s="772"/>
      <c r="H21" s="764"/>
      <c r="I21" s="764"/>
    </row>
    <row r="22" spans="1:9" s="773" customFormat="1" ht="19.5" customHeight="1">
      <c r="A22" s="3545"/>
      <c r="B22" s="3545"/>
      <c r="C22" s="769" t="s">
        <v>527</v>
      </c>
      <c r="D22" s="770"/>
      <c r="E22" s="768">
        <v>0.5</v>
      </c>
      <c r="F22" s="771"/>
      <c r="G22" s="772"/>
      <c r="H22" s="764"/>
      <c r="I22" s="764"/>
    </row>
    <row r="23" spans="1:9" s="773" customFormat="1" ht="19.5" customHeight="1">
      <c r="A23" s="3545" t="s">
        <v>133</v>
      </c>
      <c r="B23" s="768" t="s">
        <v>517</v>
      </c>
      <c r="C23" s="769" t="s">
        <v>528</v>
      </c>
      <c r="D23" s="770"/>
      <c r="E23" s="768">
        <v>1</v>
      </c>
      <c r="F23" s="771" t="s">
        <v>529</v>
      </c>
      <c r="G23" s="772"/>
      <c r="H23" s="764"/>
      <c r="I23" s="764"/>
    </row>
    <row r="24" spans="1:9" s="773" customFormat="1" ht="19.5" customHeight="1">
      <c r="A24" s="3545"/>
      <c r="B24" s="3545" t="s">
        <v>520</v>
      </c>
      <c r="C24" s="769" t="s">
        <v>530</v>
      </c>
      <c r="D24" s="770"/>
      <c r="E24" s="768">
        <v>0.5</v>
      </c>
      <c r="F24" s="771"/>
      <c r="G24" s="772"/>
      <c r="H24" s="764"/>
      <c r="I24" s="764"/>
    </row>
    <row r="25" spans="1:9" s="773" customFormat="1" ht="19.5" customHeight="1">
      <c r="A25" s="3545"/>
      <c r="B25" s="3545"/>
      <c r="C25" s="769" t="s">
        <v>531</v>
      </c>
      <c r="D25" s="770"/>
      <c r="E25" s="768">
        <v>1.1000000000000001</v>
      </c>
      <c r="F25" s="771"/>
      <c r="G25" s="772"/>
      <c r="H25" s="764"/>
      <c r="I25" s="764"/>
    </row>
    <row r="26" spans="1:9" s="773" customFormat="1" ht="19.5" customHeight="1">
      <c r="A26" s="3545"/>
      <c r="B26" s="3545"/>
      <c r="C26" s="769" t="s">
        <v>532</v>
      </c>
      <c r="D26" s="770"/>
      <c r="E26" s="768">
        <v>1.1000000000000001</v>
      </c>
      <c r="F26" s="771"/>
      <c r="G26" s="772"/>
      <c r="H26" s="764"/>
      <c r="I26" s="764"/>
    </row>
    <row r="27" spans="1:9" s="773" customFormat="1" ht="19.5" customHeight="1">
      <c r="A27" s="3545"/>
      <c r="B27" s="3545"/>
      <c r="C27" s="769" t="s">
        <v>533</v>
      </c>
      <c r="D27" s="770"/>
      <c r="E27" s="768">
        <v>0.9</v>
      </c>
      <c r="F27" s="771" t="s">
        <v>534</v>
      </c>
      <c r="G27" s="772"/>
      <c r="H27" s="764"/>
      <c r="I27" s="764"/>
    </row>
    <row r="28" spans="1:9" s="773" customFormat="1" ht="19.5" customHeight="1">
      <c r="A28" s="3545"/>
      <c r="B28" s="3545"/>
      <c r="C28" s="769" t="s">
        <v>535</v>
      </c>
      <c r="D28" s="770"/>
      <c r="E28" s="768">
        <v>0.9</v>
      </c>
      <c r="F28" s="771" t="s">
        <v>536</v>
      </c>
      <c r="G28" s="772"/>
      <c r="H28" s="764"/>
      <c r="I28" s="764"/>
    </row>
    <row r="29" spans="1:9" s="773" customFormat="1" ht="19.5" customHeight="1">
      <c r="A29" s="3545"/>
      <c r="B29" s="3545"/>
      <c r="C29" s="769" t="s">
        <v>537</v>
      </c>
      <c r="D29" s="770"/>
      <c r="E29" s="768">
        <v>0.9</v>
      </c>
      <c r="F29" s="771" t="s">
        <v>538</v>
      </c>
      <c r="G29" s="772"/>
      <c r="H29" s="764"/>
      <c r="I29" s="764"/>
    </row>
    <row r="30" spans="1:9" s="773" customFormat="1" ht="19.5" customHeight="1">
      <c r="A30" s="3545"/>
      <c r="B30" s="3545"/>
      <c r="C30" s="769" t="s">
        <v>539</v>
      </c>
      <c r="D30" s="770"/>
      <c r="E30" s="768">
        <v>0.9</v>
      </c>
      <c r="F30" s="771" t="s">
        <v>540</v>
      </c>
      <c r="G30" s="772"/>
      <c r="H30" s="764"/>
      <c r="I30" s="764"/>
    </row>
    <row r="31" spans="1:9" s="773" customFormat="1" ht="19.5" customHeight="1">
      <c r="A31" s="3545"/>
      <c r="B31" s="3545"/>
      <c r="C31" s="769" t="s">
        <v>541</v>
      </c>
      <c r="D31" s="770"/>
      <c r="E31" s="768">
        <v>0.8</v>
      </c>
      <c r="F31" s="771" t="s">
        <v>542</v>
      </c>
      <c r="G31" s="772"/>
      <c r="H31" s="764"/>
      <c r="I31" s="764"/>
    </row>
    <row r="32" spans="1:9" s="773" customFormat="1" ht="19.5" customHeight="1">
      <c r="A32" s="3545"/>
      <c r="B32" s="3545"/>
      <c r="C32" s="769" t="s">
        <v>543</v>
      </c>
      <c r="D32" s="770"/>
      <c r="E32" s="768">
        <v>0.8</v>
      </c>
      <c r="F32" s="771" t="s">
        <v>544</v>
      </c>
      <c r="G32" s="772"/>
      <c r="H32" s="764"/>
      <c r="I32" s="764"/>
    </row>
    <row r="33" spans="1:9" s="773" customFormat="1" ht="19.5" customHeight="1">
      <c r="A33" s="3545" t="s">
        <v>134</v>
      </c>
      <c r="B33" s="768" t="s">
        <v>517</v>
      </c>
      <c r="C33" s="769" t="s">
        <v>545</v>
      </c>
      <c r="D33" s="770"/>
      <c r="E33" s="768">
        <v>1</v>
      </c>
      <c r="F33" s="771" t="s">
        <v>546</v>
      </c>
      <c r="G33" s="772"/>
      <c r="H33" s="764"/>
      <c r="I33" s="764"/>
    </row>
    <row r="34" spans="1:9" s="773" customFormat="1" ht="19.5" customHeight="1">
      <c r="A34" s="3545"/>
      <c r="B34" s="768" t="s">
        <v>520</v>
      </c>
      <c r="C34" s="769" t="s">
        <v>547</v>
      </c>
      <c r="D34" s="770"/>
      <c r="E34" s="768">
        <v>1.5</v>
      </c>
      <c r="F34" s="771" t="s">
        <v>548</v>
      </c>
      <c r="G34" s="772"/>
      <c r="H34" s="764"/>
      <c r="I34" s="764"/>
    </row>
    <row r="35" spans="1:9" s="773" customFormat="1" ht="19.5" customHeight="1">
      <c r="A35" s="3545" t="s">
        <v>135</v>
      </c>
      <c r="B35" s="768" t="s">
        <v>517</v>
      </c>
      <c r="C35" s="769" t="s">
        <v>549</v>
      </c>
      <c r="D35" s="770"/>
      <c r="E35" s="768">
        <v>1</v>
      </c>
      <c r="F35" s="771" t="s">
        <v>550</v>
      </c>
      <c r="G35" s="772"/>
      <c r="H35" s="764"/>
      <c r="I35" s="764"/>
    </row>
    <row r="36" spans="1:9" s="773" customFormat="1" ht="19.5" customHeight="1">
      <c r="A36" s="3545"/>
      <c r="B36" s="3545" t="s">
        <v>520</v>
      </c>
      <c r="C36" s="769" t="s">
        <v>551</v>
      </c>
      <c r="D36" s="770"/>
      <c r="E36" s="768">
        <v>1</v>
      </c>
      <c r="F36" s="771" t="s">
        <v>552</v>
      </c>
      <c r="G36" s="772"/>
      <c r="H36" s="764"/>
      <c r="I36" s="764"/>
    </row>
    <row r="37" spans="1:9" s="773" customFormat="1" ht="19.5" customHeight="1">
      <c r="A37" s="3545"/>
      <c r="B37" s="3545"/>
      <c r="C37" s="769" t="s">
        <v>553</v>
      </c>
      <c r="D37" s="770"/>
      <c r="E37" s="768">
        <v>1.5</v>
      </c>
      <c r="F37" s="771" t="s">
        <v>554</v>
      </c>
      <c r="G37" s="772"/>
      <c r="H37" s="764"/>
      <c r="I37" s="764"/>
    </row>
    <row r="38" spans="1:9" s="773" customFormat="1" ht="19.5" customHeight="1">
      <c r="A38" s="3545"/>
      <c r="B38" s="3545"/>
      <c r="C38" s="769" t="s">
        <v>555</v>
      </c>
      <c r="D38" s="770"/>
      <c r="E38" s="768">
        <v>1</v>
      </c>
      <c r="F38" s="771" t="s">
        <v>556</v>
      </c>
      <c r="G38" s="772"/>
      <c r="H38" s="764"/>
      <c r="I38" s="764"/>
    </row>
    <row r="39" spans="1:9" s="773" customFormat="1" ht="19.5" customHeight="1">
      <c r="A39" s="3545"/>
      <c r="B39" s="354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5" t="s">
        <v>571</v>
      </c>
      <c r="C61" s="682" t="s">
        <v>572</v>
      </c>
      <c r="D61" s="682" t="s">
        <v>573</v>
      </c>
      <c r="E61" s="781">
        <v>0.5</v>
      </c>
      <c r="F61" s="768">
        <v>80</v>
      </c>
    </row>
    <row r="62" spans="1:8" s="764" customFormat="1" ht="24">
      <c r="A62" s="768">
        <v>2</v>
      </c>
      <c r="B62" s="3545"/>
      <c r="C62" s="682" t="s">
        <v>574</v>
      </c>
      <c r="D62" s="682" t="s">
        <v>575</v>
      </c>
      <c r="E62" s="781">
        <v>0.5</v>
      </c>
      <c r="F62" s="768">
        <v>80</v>
      </c>
    </row>
    <row r="63" spans="1:8" s="764" customFormat="1" ht="36">
      <c r="A63" s="768">
        <v>3</v>
      </c>
      <c r="B63" s="3545"/>
      <c r="C63" s="682" t="s">
        <v>576</v>
      </c>
      <c r="D63" s="682" t="s">
        <v>577</v>
      </c>
      <c r="E63" s="781">
        <v>0.5</v>
      </c>
      <c r="F63" s="768">
        <v>80</v>
      </c>
    </row>
    <row r="64" spans="1:8" s="764" customFormat="1" ht="36">
      <c r="A64" s="768">
        <v>4</v>
      </c>
      <c r="B64" s="3545"/>
      <c r="C64" s="682" t="s">
        <v>578</v>
      </c>
      <c r="D64" s="682" t="s">
        <v>579</v>
      </c>
      <c r="E64" s="781">
        <v>0.4</v>
      </c>
      <c r="F64" s="768">
        <v>60</v>
      </c>
    </row>
    <row r="65" spans="1:6" s="764" customFormat="1" ht="36">
      <c r="A65" s="768">
        <v>5</v>
      </c>
      <c r="B65" s="3545"/>
      <c r="C65" s="682" t="s">
        <v>580</v>
      </c>
      <c r="D65" s="682" t="s">
        <v>581</v>
      </c>
      <c r="E65" s="781">
        <v>0.2</v>
      </c>
      <c r="F65" s="768">
        <v>30</v>
      </c>
    </row>
    <row r="66" spans="1:6" s="764" customFormat="1" ht="36">
      <c r="A66" s="768">
        <v>6</v>
      </c>
      <c r="B66" s="3545"/>
      <c r="C66" s="682" t="s">
        <v>582</v>
      </c>
      <c r="D66" s="682" t="s">
        <v>583</v>
      </c>
      <c r="E66" s="781">
        <v>0.3</v>
      </c>
      <c r="F66" s="768">
        <v>50</v>
      </c>
    </row>
    <row r="67" spans="1:6" s="764" customFormat="1" ht="36">
      <c r="A67" s="768">
        <v>7</v>
      </c>
      <c r="B67" s="3545"/>
      <c r="C67" s="682" t="s">
        <v>584</v>
      </c>
      <c r="D67" s="682" t="s">
        <v>585</v>
      </c>
      <c r="E67" s="781">
        <v>0.2</v>
      </c>
      <c r="F67" s="768">
        <v>30</v>
      </c>
    </row>
    <row r="68" spans="1:6" s="764" customFormat="1" ht="36">
      <c r="A68" s="768">
        <v>8</v>
      </c>
      <c r="B68" s="3545"/>
      <c r="C68" s="682" t="s">
        <v>586</v>
      </c>
      <c r="D68" s="682" t="s">
        <v>587</v>
      </c>
      <c r="E68" s="781">
        <v>0.2</v>
      </c>
      <c r="F68" s="768">
        <v>30</v>
      </c>
    </row>
    <row r="69" spans="1:6" s="764" customFormat="1" ht="36">
      <c r="A69" s="768">
        <v>9</v>
      </c>
      <c r="B69" s="3545"/>
      <c r="C69" s="682" t="s">
        <v>588</v>
      </c>
      <c r="D69" s="682" t="s">
        <v>589</v>
      </c>
      <c r="E69" s="781">
        <v>0.2</v>
      </c>
      <c r="F69" s="768">
        <v>30</v>
      </c>
    </row>
    <row r="70" spans="1:6" s="764" customFormat="1" ht="48">
      <c r="A70" s="768">
        <v>10</v>
      </c>
      <c r="B70" s="3545"/>
      <c r="C70" s="682" t="s">
        <v>590</v>
      </c>
      <c r="D70" s="682" t="s">
        <v>591</v>
      </c>
      <c r="E70" s="781">
        <v>0.2</v>
      </c>
      <c r="F70" s="768">
        <v>30</v>
      </c>
    </row>
    <row r="71" spans="1:6" s="764" customFormat="1" ht="48">
      <c r="A71" s="768">
        <v>11</v>
      </c>
      <c r="B71" s="3545"/>
      <c r="C71" s="682" t="s">
        <v>592</v>
      </c>
      <c r="D71" s="682" t="s">
        <v>593</v>
      </c>
      <c r="E71" s="781">
        <v>0.2</v>
      </c>
      <c r="F71" s="768">
        <v>30</v>
      </c>
    </row>
    <row r="72" spans="1:6" s="764" customFormat="1" ht="36">
      <c r="A72" s="768">
        <v>12</v>
      </c>
      <c r="B72" s="3545"/>
      <c r="C72" s="682" t="s">
        <v>594</v>
      </c>
      <c r="D72" s="682" t="s">
        <v>595</v>
      </c>
      <c r="E72" s="781">
        <v>0.5</v>
      </c>
      <c r="F72" s="768">
        <v>80</v>
      </c>
    </row>
    <row r="73" spans="1:6" s="764" customFormat="1" ht="24">
      <c r="A73" s="768">
        <v>13</v>
      </c>
      <c r="B73" s="3545"/>
      <c r="C73" s="682" t="s">
        <v>596</v>
      </c>
      <c r="D73" s="682" t="s">
        <v>597</v>
      </c>
      <c r="E73" s="781">
        <v>0.4</v>
      </c>
      <c r="F73" s="768">
        <v>60</v>
      </c>
    </row>
    <row r="74" spans="1:6" s="764" customFormat="1" ht="24">
      <c r="A74" s="768">
        <v>14</v>
      </c>
      <c r="B74" s="3545"/>
      <c r="C74" s="682" t="s">
        <v>598</v>
      </c>
      <c r="D74" s="682" t="s">
        <v>599</v>
      </c>
      <c r="E74" s="781">
        <v>0.2</v>
      </c>
      <c r="F74" s="768">
        <v>30</v>
      </c>
    </row>
    <row r="75" spans="1:6" s="764" customFormat="1" ht="24">
      <c r="A75" s="768">
        <v>15</v>
      </c>
      <c r="B75" s="3545"/>
      <c r="C75" s="682" t="s">
        <v>600</v>
      </c>
      <c r="D75" s="682" t="s">
        <v>601</v>
      </c>
      <c r="E75" s="781">
        <v>0.2</v>
      </c>
      <c r="F75" s="768">
        <v>30</v>
      </c>
    </row>
    <row r="76" spans="1:6" s="764" customFormat="1" ht="24">
      <c r="A76" s="768">
        <v>16</v>
      </c>
      <c r="B76" s="3545" t="s">
        <v>602</v>
      </c>
      <c r="C76" s="682" t="s">
        <v>603</v>
      </c>
      <c r="D76" s="682" t="s">
        <v>604</v>
      </c>
      <c r="E76" s="781">
        <v>0.5</v>
      </c>
      <c r="F76" s="768">
        <v>80</v>
      </c>
    </row>
    <row r="77" spans="1:6" s="764" customFormat="1" ht="24">
      <c r="A77" s="768">
        <v>17</v>
      </c>
      <c r="B77" s="3545"/>
      <c r="C77" s="682" t="s">
        <v>605</v>
      </c>
      <c r="D77" s="682" t="s">
        <v>606</v>
      </c>
      <c r="E77" s="781">
        <v>0.5</v>
      </c>
      <c r="F77" s="768">
        <v>80</v>
      </c>
    </row>
    <row r="78" spans="1:6" s="764" customFormat="1" ht="24">
      <c r="A78" s="768">
        <v>18</v>
      </c>
      <c r="B78" s="3545"/>
      <c r="C78" s="682" t="s">
        <v>607</v>
      </c>
      <c r="D78" s="682" t="s">
        <v>608</v>
      </c>
      <c r="E78" s="781">
        <v>0.2</v>
      </c>
      <c r="F78" s="768">
        <v>30</v>
      </c>
    </row>
    <row r="79" spans="1:6" s="764" customFormat="1" ht="24">
      <c r="A79" s="768">
        <v>19</v>
      </c>
      <c r="B79" s="3545"/>
      <c r="C79" s="682" t="s">
        <v>609</v>
      </c>
      <c r="D79" s="682" t="s">
        <v>610</v>
      </c>
      <c r="E79" s="781">
        <v>0.5</v>
      </c>
      <c r="F79" s="768">
        <v>80</v>
      </c>
    </row>
    <row r="80" spans="1:6" s="764" customFormat="1" ht="36">
      <c r="A80" s="768">
        <v>20</v>
      </c>
      <c r="B80" s="3545"/>
      <c r="C80" s="682" t="s">
        <v>611</v>
      </c>
      <c r="D80" s="682" t="s">
        <v>612</v>
      </c>
      <c r="E80" s="781">
        <v>0.2</v>
      </c>
      <c r="F80" s="768">
        <v>30</v>
      </c>
    </row>
    <row r="81" spans="1:6" s="764" customFormat="1" ht="36">
      <c r="A81" s="768">
        <v>21</v>
      </c>
      <c r="B81" s="3545"/>
      <c r="C81" s="682" t="s">
        <v>613</v>
      </c>
      <c r="D81" s="682" t="s">
        <v>614</v>
      </c>
      <c r="E81" s="781">
        <v>0.2</v>
      </c>
      <c r="F81" s="768">
        <v>30</v>
      </c>
    </row>
    <row r="82" spans="1:6" s="764" customFormat="1" ht="48">
      <c r="A82" s="768">
        <v>22</v>
      </c>
      <c r="B82" s="3545"/>
      <c r="C82" s="682" t="s">
        <v>615</v>
      </c>
      <c r="D82" s="682" t="s">
        <v>616</v>
      </c>
      <c r="E82" s="781">
        <v>0.2</v>
      </c>
      <c r="F82" s="768">
        <v>30</v>
      </c>
    </row>
    <row r="83" spans="1:6" s="764" customFormat="1" ht="48">
      <c r="A83" s="768">
        <v>23</v>
      </c>
      <c r="B83" s="3545"/>
      <c r="C83" s="682" t="s">
        <v>617</v>
      </c>
      <c r="D83" s="682" t="s">
        <v>618</v>
      </c>
      <c r="E83" s="781">
        <v>0.2</v>
      </c>
      <c r="F83" s="768">
        <v>30</v>
      </c>
    </row>
    <row r="84" spans="1:6" s="764" customFormat="1" ht="36">
      <c r="A84" s="768">
        <v>24</v>
      </c>
      <c r="B84" s="3545"/>
      <c r="C84" s="682" t="s">
        <v>619</v>
      </c>
      <c r="D84" s="682" t="s">
        <v>620</v>
      </c>
      <c r="E84" s="781">
        <v>0.2</v>
      </c>
      <c r="F84" s="768">
        <v>30</v>
      </c>
    </row>
    <row r="85" spans="1:6" s="764" customFormat="1" ht="36">
      <c r="A85" s="768">
        <v>25</v>
      </c>
      <c r="B85" s="3545"/>
      <c r="C85" s="682" t="s">
        <v>621</v>
      </c>
      <c r="D85" s="682" t="s">
        <v>622</v>
      </c>
      <c r="E85" s="781">
        <v>0.5</v>
      </c>
      <c r="F85" s="768">
        <v>80</v>
      </c>
    </row>
    <row r="86" spans="1:6" s="764" customFormat="1" ht="36">
      <c r="A86" s="768">
        <v>26</v>
      </c>
      <c r="B86" s="3545"/>
      <c r="C86" s="682" t="s">
        <v>623</v>
      </c>
      <c r="D86" s="682" t="s">
        <v>624</v>
      </c>
      <c r="E86" s="781">
        <v>0.2</v>
      </c>
      <c r="F86" s="768">
        <v>30</v>
      </c>
    </row>
    <row r="87" spans="1:6" s="764" customFormat="1" ht="36">
      <c r="A87" s="768">
        <v>27</v>
      </c>
      <c r="B87" s="3545"/>
      <c r="C87" s="682" t="s">
        <v>625</v>
      </c>
      <c r="D87" s="682" t="s">
        <v>626</v>
      </c>
      <c r="E87" s="781">
        <v>0.2</v>
      </c>
      <c r="F87" s="768">
        <v>30</v>
      </c>
    </row>
    <row r="88" spans="1:6" s="764" customFormat="1" ht="36">
      <c r="A88" s="768">
        <v>28</v>
      </c>
      <c r="B88" s="3545"/>
      <c r="C88" s="682" t="s">
        <v>627</v>
      </c>
      <c r="D88" s="682" t="s">
        <v>628</v>
      </c>
      <c r="E88" s="781">
        <v>0.2</v>
      </c>
      <c r="F88" s="768">
        <v>30</v>
      </c>
    </row>
    <row r="89" spans="1:6" s="764" customFormat="1" ht="24">
      <c r="A89" s="768">
        <v>29</v>
      </c>
      <c r="B89" s="3545"/>
      <c r="C89" s="682" t="s">
        <v>629</v>
      </c>
      <c r="D89" s="682" t="s">
        <v>630</v>
      </c>
      <c r="E89" s="781">
        <v>0.2</v>
      </c>
      <c r="F89" s="768">
        <v>30</v>
      </c>
    </row>
    <row r="90" spans="1:6" s="764" customFormat="1" ht="24">
      <c r="A90" s="768">
        <v>30</v>
      </c>
      <c r="B90" s="3545"/>
      <c r="C90" s="682" t="s">
        <v>631</v>
      </c>
      <c r="D90" s="682" t="s">
        <v>632</v>
      </c>
      <c r="E90" s="781">
        <v>0.2</v>
      </c>
      <c r="F90" s="768">
        <v>30</v>
      </c>
    </row>
    <row r="91" spans="1:6" s="764" customFormat="1" ht="36">
      <c r="A91" s="768">
        <v>31</v>
      </c>
      <c r="B91" s="3545"/>
      <c r="C91" s="682" t="s">
        <v>633</v>
      </c>
      <c r="D91" s="682" t="s">
        <v>634</v>
      </c>
      <c r="E91" s="781">
        <v>0.2</v>
      </c>
      <c r="F91" s="768">
        <v>30</v>
      </c>
    </row>
    <row r="92" spans="1:6" s="764" customFormat="1" ht="24">
      <c r="A92" s="768">
        <v>32</v>
      </c>
      <c r="B92" s="3545" t="s">
        <v>635</v>
      </c>
      <c r="C92" s="768" t="s">
        <v>636</v>
      </c>
      <c r="D92" s="682" t="s">
        <v>637</v>
      </c>
      <c r="E92" s="781">
        <v>0.2</v>
      </c>
      <c r="F92" s="768">
        <v>30</v>
      </c>
    </row>
    <row r="93" spans="1:6" s="764" customFormat="1" ht="36">
      <c r="A93" s="768">
        <v>33</v>
      </c>
      <c r="B93" s="3545"/>
      <c r="C93" s="768" t="s">
        <v>638</v>
      </c>
      <c r="D93" s="682" t="s">
        <v>639</v>
      </c>
      <c r="E93" s="781">
        <v>0.2</v>
      </c>
      <c r="F93" s="768">
        <v>30</v>
      </c>
    </row>
    <row r="94" spans="1:6" s="764" customFormat="1" ht="48">
      <c r="A94" s="768">
        <v>34</v>
      </c>
      <c r="B94" s="3545"/>
      <c r="C94" s="768" t="s">
        <v>640</v>
      </c>
      <c r="D94" s="682" t="s">
        <v>641</v>
      </c>
      <c r="E94" s="781">
        <v>0.2</v>
      </c>
      <c r="F94" s="768">
        <v>30</v>
      </c>
    </row>
    <row r="95" spans="1:6" s="764" customFormat="1" ht="36">
      <c r="A95" s="768">
        <v>35</v>
      </c>
      <c r="B95" s="3545"/>
      <c r="C95" s="768" t="s">
        <v>642</v>
      </c>
      <c r="D95" s="682" t="s">
        <v>643</v>
      </c>
      <c r="E95" s="781">
        <v>0.2</v>
      </c>
      <c r="F95" s="768">
        <v>30</v>
      </c>
    </row>
    <row r="96" spans="1:6" s="764" customFormat="1" ht="48">
      <c r="A96" s="768">
        <v>36</v>
      </c>
      <c r="B96" s="3545"/>
      <c r="C96" s="682" t="s">
        <v>644</v>
      </c>
      <c r="D96" s="682" t="s">
        <v>645</v>
      </c>
      <c r="E96" s="781">
        <v>0.2</v>
      </c>
      <c r="F96" s="768">
        <v>30</v>
      </c>
    </row>
    <row r="97" spans="1:6" s="764" customFormat="1" ht="36">
      <c r="A97" s="768">
        <v>37</v>
      </c>
      <c r="B97" s="3545"/>
      <c r="C97" s="768" t="s">
        <v>646</v>
      </c>
      <c r="D97" s="682" t="s">
        <v>647</v>
      </c>
      <c r="E97" s="781">
        <v>0.2</v>
      </c>
      <c r="F97" s="768">
        <v>30</v>
      </c>
    </row>
    <row r="98" spans="1:6" s="764" customFormat="1" ht="36">
      <c r="A98" s="768">
        <v>38</v>
      </c>
      <c r="B98" s="3545"/>
      <c r="C98" s="768" t="s">
        <v>648</v>
      </c>
      <c r="D98" s="682" t="s">
        <v>649</v>
      </c>
      <c r="E98" s="781">
        <v>0.2</v>
      </c>
      <c r="F98" s="768">
        <v>30</v>
      </c>
    </row>
    <row r="99" spans="1:6" s="764" customFormat="1" ht="36">
      <c r="A99" s="768">
        <v>39</v>
      </c>
      <c r="B99" s="3545" t="s">
        <v>650</v>
      </c>
      <c r="C99" s="768" t="s">
        <v>651</v>
      </c>
      <c r="D99" s="682" t="s">
        <v>652</v>
      </c>
      <c r="E99" s="781">
        <v>0.3</v>
      </c>
      <c r="F99" s="768">
        <v>50</v>
      </c>
    </row>
    <row r="100" spans="1:6" s="764" customFormat="1" ht="24">
      <c r="A100" s="768">
        <v>40</v>
      </c>
      <c r="B100" s="3545"/>
      <c r="C100" s="768" t="s">
        <v>653</v>
      </c>
      <c r="D100" s="682" t="s">
        <v>654</v>
      </c>
      <c r="E100" s="781">
        <v>0.2</v>
      </c>
      <c r="F100" s="768">
        <v>30</v>
      </c>
    </row>
    <row r="101" spans="1:6" s="764" customFormat="1" ht="36">
      <c r="A101" s="768">
        <v>41</v>
      </c>
      <c r="B101" s="354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5" t="s">
        <v>665</v>
      </c>
      <c r="C105" s="768" t="s">
        <v>666</v>
      </c>
      <c r="D105" s="682" t="s">
        <v>667</v>
      </c>
      <c r="E105" s="781">
        <v>0.2</v>
      </c>
      <c r="F105" s="768">
        <v>30</v>
      </c>
    </row>
    <row r="106" spans="1:6" s="764" customFormat="1" ht="36">
      <c r="A106" s="768">
        <v>46</v>
      </c>
      <c r="B106" s="3545"/>
      <c r="C106" s="768" t="s">
        <v>668</v>
      </c>
      <c r="D106" s="682" t="s">
        <v>669</v>
      </c>
      <c r="E106" s="781">
        <v>0.2</v>
      </c>
      <c r="F106" s="768">
        <v>30</v>
      </c>
    </row>
    <row r="107" spans="1:6" s="764" customFormat="1" ht="36">
      <c r="A107" s="768">
        <v>47</v>
      </c>
      <c r="B107" s="3545" t="s">
        <v>670</v>
      </c>
      <c r="C107" s="768" t="s">
        <v>671</v>
      </c>
      <c r="D107" s="682" t="s">
        <v>672</v>
      </c>
      <c r="E107" s="781">
        <v>0.3</v>
      </c>
      <c r="F107" s="768">
        <v>50</v>
      </c>
    </row>
    <row r="108" spans="1:6" s="764" customFormat="1" ht="36">
      <c r="A108" s="768">
        <v>48</v>
      </c>
      <c r="B108" s="354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5" t="s">
        <v>681</v>
      </c>
      <c r="C111" s="768" t="s">
        <v>682</v>
      </c>
      <c r="D111" s="682" t="s">
        <v>683</v>
      </c>
      <c r="E111" s="781">
        <v>0.2</v>
      </c>
      <c r="F111" s="768">
        <v>30</v>
      </c>
    </row>
    <row r="112" spans="1:6" s="764" customFormat="1" ht="24">
      <c r="A112" s="768">
        <v>52</v>
      </c>
      <c r="B112" s="3545"/>
      <c r="C112" s="768" t="s">
        <v>684</v>
      </c>
      <c r="D112" s="682" t="s">
        <v>685</v>
      </c>
      <c r="E112" s="781">
        <v>0.2</v>
      </c>
      <c r="F112" s="768">
        <v>30</v>
      </c>
    </row>
    <row r="113" spans="1:6" s="764" customFormat="1" ht="24">
      <c r="A113" s="768">
        <v>53</v>
      </c>
      <c r="B113" s="354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5" t="s">
        <v>694</v>
      </c>
      <c r="C116" s="768" t="s">
        <v>695</v>
      </c>
      <c r="D116" s="682" t="s">
        <v>696</v>
      </c>
      <c r="E116" s="781">
        <v>0.2</v>
      </c>
      <c r="F116" s="768">
        <v>30</v>
      </c>
    </row>
    <row r="117" spans="1:6" ht="36">
      <c r="A117" s="768">
        <v>57</v>
      </c>
      <c r="B117" s="354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1" t="s">
        <v>1020</v>
      </c>
      <c r="C1" s="3551"/>
      <c r="D1" s="3551"/>
      <c r="E1" s="3551"/>
      <c r="F1" s="3551"/>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2704</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5" customHeight="1">
      <c r="A6" s="2369" t="s">
        <v>2887</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50">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5" customHeight="1">
      <c r="A7" s="2369" t="s">
        <v>2885</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2737</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2734</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2732</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2729</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2723</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2724</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2718</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47">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2713</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47"/>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2712</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47"/>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2709</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56"/>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2706</v>
      </c>
      <c r="B18" s="2379">
        <v>439</v>
      </c>
      <c r="C18" s="2379">
        <v>327</v>
      </c>
      <c r="D18" s="2379">
        <f t="shared" si="125"/>
        <v>327</v>
      </c>
      <c r="E18" s="2379">
        <v>627</v>
      </c>
      <c r="F18" s="2380">
        <v>283</v>
      </c>
      <c r="G18" s="3552">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2703</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47"/>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1245</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47"/>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56"/>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52">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47"/>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47"/>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48"/>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546">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47"/>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47"/>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48"/>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546">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47"/>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47"/>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48"/>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553">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4"/>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4"/>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5"/>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546">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47"/>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47"/>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548"/>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546">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47">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47">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48">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546">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47">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47">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48">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546">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47">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47">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48">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546">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47">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47">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48">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546">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47">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47">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48">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546">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47">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47">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48">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546">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47">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47">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48">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546">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47">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47">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48">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546">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47">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47">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548">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546">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47">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47">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548">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38705</v>
      </c>
      <c r="D1" s="1293" t="s">
        <v>1173</v>
      </c>
      <c r="E1" s="1299">
        <f>'数据-取费表'!B24</f>
        <v>2</v>
      </c>
      <c r="F1" s="1293" t="s">
        <v>1174</v>
      </c>
      <c r="G1" s="1300">
        <f ca="1">INDIRECT("d"&amp;$K$1)/100</f>
        <v>5.7599999999999998E-2</v>
      </c>
      <c r="H1" s="1293" t="s">
        <v>1204</v>
      </c>
      <c r="I1" s="1300">
        <f ca="1">F4/100</f>
        <v>2.2499999999999999E-2</v>
      </c>
      <c r="J1" s="1294">
        <f>IF(C1&gt;C13,0,MATCH(C1,C$13:C$105,-1))+IF(SUMIF(C13:C105,C1,D13:D105)=0,13,12)</f>
        <v>45</v>
      </c>
      <c r="K1" s="1294">
        <f>MATCH(E1,C3:C7,1)+IF(SUMIF(C3:C7,E1,D3:D7)=0,2,1)</f>
        <v>5</v>
      </c>
      <c r="L1" s="1294">
        <f>IF(C1&gt;M13,0,MATCH(C1,M$13:M$101,-1))+IF(SUMIF(M13:M101,C1,N13:N101)=0,13,12)</f>
        <v>39</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5.22</v>
      </c>
      <c r="E3" s="1241">
        <v>0.5</v>
      </c>
      <c r="F3" s="1242">
        <f ca="1">INDIRECT("p"&amp;$L$1)</f>
        <v>2.0699999999999998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5.58</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5.76</v>
      </c>
      <c r="E5" s="1247">
        <v>2</v>
      </c>
      <c r="F5" s="1248">
        <f ca="1">INDIRECT("r"&amp;$L$1)</f>
        <v>2.7</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5.85</v>
      </c>
      <c r="E6" s="1247">
        <v>3</v>
      </c>
      <c r="F6" s="1248">
        <f ca="1">INDIRECT("s"&amp;$L$1)</f>
        <v>3.24</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6.12</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27"/>
  <sheetViews>
    <sheetView topLeftCell="L16" workbookViewId="0">
      <selection activeCell="W26" sqref="W26"/>
    </sheetView>
  </sheetViews>
  <sheetFormatPr defaultRowHeight="13.5"/>
  <cols>
    <col min="1" max="1" width="17" customWidth="1"/>
    <col min="2" max="2" width="7.25" customWidth="1"/>
    <col min="3" max="4" width="9.5" customWidth="1"/>
    <col min="6" max="7" width="0" hidden="1" customWidth="1"/>
    <col min="9" max="9" width="17.5" customWidth="1"/>
    <col min="10" max="10" width="0" hidden="1" customWidth="1"/>
    <col min="14" max="14" width="0" hidden="1" customWidth="1"/>
    <col min="17" max="17" width="15" bestFit="1" customWidth="1"/>
    <col min="18" max="18" width="0" hidden="1" customWidth="1"/>
    <col min="19" max="19" width="22.25" bestFit="1" customWidth="1"/>
    <col min="21" max="21" width="12.25" bestFit="1" customWidth="1"/>
    <col min="23" max="23" width="15" bestFit="1" customWidth="1"/>
    <col min="24" max="24" width="18.75" customWidth="1"/>
    <col min="27" max="27" width="15" bestFit="1" customWidth="1"/>
    <col min="28" max="31" width="0" hidden="1" customWidth="1"/>
    <col min="32" max="32" width="29.375" hidden="1" customWidth="1"/>
    <col min="33" max="33" width="0" hidden="1" customWidth="1"/>
    <col min="36" max="36" width="13.125" hidden="1" customWidth="1"/>
    <col min="37" max="37" width="31.25" bestFit="1" customWidth="1"/>
    <col min="38" max="61" width="0" hidden="1" customWidth="1"/>
    <col min="62" max="62" width="13.75" bestFit="1" customWidth="1"/>
    <col min="65" max="65" width="13.75" bestFit="1" customWidth="1"/>
  </cols>
  <sheetData>
    <row r="1" spans="1:77" s="3575" customFormat="1" ht="12">
      <c r="A1" s="3557" t="s">
        <v>2894</v>
      </c>
      <c r="B1" s="3557"/>
      <c r="C1" s="3557"/>
      <c r="D1" s="3557"/>
      <c r="E1" s="3558"/>
      <c r="F1" s="3559"/>
      <c r="G1" s="3559"/>
      <c r="H1" s="3559"/>
      <c r="I1" s="3559"/>
      <c r="J1" s="3559"/>
      <c r="K1" s="3559"/>
      <c r="L1" s="3559"/>
      <c r="M1" s="3559"/>
      <c r="N1" s="3560"/>
      <c r="O1" s="3561"/>
      <c r="P1" s="3562"/>
      <c r="Q1" s="3561"/>
      <c r="R1" s="3562"/>
      <c r="S1" s="3561"/>
      <c r="T1" s="3562"/>
      <c r="U1" s="3562"/>
      <c r="V1" s="3561"/>
      <c r="W1" s="3563"/>
      <c r="X1" s="3561"/>
      <c r="Y1" s="3560" t="s">
        <v>2895</v>
      </c>
      <c r="Z1" s="3560"/>
      <c r="AA1" s="3564"/>
      <c r="AB1" s="3561"/>
      <c r="AC1" s="3562" t="s">
        <v>2896</v>
      </c>
      <c r="AD1" s="3561"/>
      <c r="AE1" s="3561"/>
      <c r="AF1" s="3561"/>
      <c r="AG1" s="3561"/>
      <c r="AH1" s="3561"/>
      <c r="AI1" s="3558"/>
      <c r="AJ1" s="3558"/>
      <c r="AK1" s="3560"/>
      <c r="AL1" s="3558"/>
      <c r="AM1" s="3565"/>
      <c r="AN1" s="3558"/>
      <c r="AO1" s="3566" t="s">
        <v>2897</v>
      </c>
      <c r="AP1" s="3566"/>
      <c r="AQ1" s="3567" t="s">
        <v>2898</v>
      </c>
      <c r="AR1" s="3567" t="s">
        <v>2899</v>
      </c>
      <c r="AS1" s="3567"/>
      <c r="AT1" s="3567"/>
      <c r="AU1" s="3568"/>
      <c r="AV1" s="3568" t="s">
        <v>2900</v>
      </c>
      <c r="AW1" s="3568"/>
      <c r="AX1" s="3568"/>
      <c r="AY1" s="3567"/>
      <c r="AZ1" s="3560"/>
      <c r="BA1" s="3560"/>
      <c r="BB1" s="3569"/>
      <c r="BC1" s="3560"/>
      <c r="BD1" s="3560"/>
      <c r="BE1" s="3569"/>
      <c r="BF1" s="3560"/>
      <c r="BG1" s="3570"/>
      <c r="BH1" s="3560"/>
      <c r="BI1" s="3571"/>
      <c r="BJ1" s="3572"/>
      <c r="BK1" s="3560"/>
      <c r="BL1" s="3560"/>
      <c r="BM1" s="3573" t="s">
        <v>2901</v>
      </c>
      <c r="BN1" s="3574" t="s">
        <v>2902</v>
      </c>
      <c r="BO1" s="3560"/>
      <c r="BP1" s="3567"/>
      <c r="BQ1" s="3567"/>
      <c r="BR1" s="3567"/>
      <c r="BS1" s="3567"/>
      <c r="BT1" s="3568"/>
      <c r="BU1" s="3568"/>
    </row>
    <row r="2" spans="1:77" s="3583" customFormat="1" ht="15.75">
      <c r="A2" s="3576" t="s">
        <v>2903</v>
      </c>
      <c r="B2" s="3576"/>
      <c r="C2" s="3576"/>
      <c r="D2" s="3576"/>
      <c r="E2" s="3567" t="s">
        <v>2904</v>
      </c>
      <c r="F2" s="3576" t="s">
        <v>2905</v>
      </c>
      <c r="G2" s="3576" t="s">
        <v>2906</v>
      </c>
      <c r="H2" s="3576" t="s">
        <v>2907</v>
      </c>
      <c r="I2" s="3576" t="s">
        <v>2908</v>
      </c>
      <c r="J2" s="3576" t="s">
        <v>2909</v>
      </c>
      <c r="K2" s="3576" t="s">
        <v>2910</v>
      </c>
      <c r="L2" s="3576" t="s">
        <v>2911</v>
      </c>
      <c r="M2" s="3576" t="s">
        <v>2912</v>
      </c>
      <c r="N2" s="3567" t="s">
        <v>2913</v>
      </c>
      <c r="O2" s="3567" t="s">
        <v>2914</v>
      </c>
      <c r="P2" s="3567" t="s">
        <v>2915</v>
      </c>
      <c r="Q2" s="3567" t="s">
        <v>2916</v>
      </c>
      <c r="R2" s="3567" t="s">
        <v>2917</v>
      </c>
      <c r="S2" s="3567" t="s">
        <v>2918</v>
      </c>
      <c r="T2" s="3567" t="s">
        <v>2919</v>
      </c>
      <c r="U2" s="3567" t="s">
        <v>2920</v>
      </c>
      <c r="V2" s="3567" t="s">
        <v>2921</v>
      </c>
      <c r="W2" s="3577" t="s">
        <v>2922</v>
      </c>
      <c r="X2" s="3567" t="s">
        <v>2923</v>
      </c>
      <c r="Y2" s="3567" t="s">
        <v>2924</v>
      </c>
      <c r="Z2" s="3567" t="s">
        <v>2925</v>
      </c>
      <c r="AA2" s="3577" t="s">
        <v>2762</v>
      </c>
      <c r="AB2" s="3567" t="s">
        <v>2926</v>
      </c>
      <c r="AC2" s="3567" t="s">
        <v>2927</v>
      </c>
      <c r="AD2" s="3567" t="s">
        <v>2928</v>
      </c>
      <c r="AE2" s="3567" t="s">
        <v>2929</v>
      </c>
      <c r="AF2" s="3567" t="s">
        <v>2930</v>
      </c>
      <c r="AG2" s="3567" t="s">
        <v>2931</v>
      </c>
      <c r="AH2" s="3567" t="s">
        <v>2932</v>
      </c>
      <c r="AI2" s="3567" t="s">
        <v>2933</v>
      </c>
      <c r="AJ2" s="3567" t="s">
        <v>2934</v>
      </c>
      <c r="AK2" s="3567" t="s">
        <v>2935</v>
      </c>
      <c r="AL2" s="3567" t="s">
        <v>2936</v>
      </c>
      <c r="AM2" s="3573" t="s">
        <v>2937</v>
      </c>
      <c r="AN2" s="3567" t="s">
        <v>2938</v>
      </c>
      <c r="AO2" s="3567" t="s">
        <v>2939</v>
      </c>
      <c r="AP2" s="3567" t="s">
        <v>2940</v>
      </c>
      <c r="AQ2" s="3567" t="s">
        <v>2941</v>
      </c>
      <c r="AR2" s="3567" t="s">
        <v>2942</v>
      </c>
      <c r="AS2" s="3567" t="s">
        <v>2943</v>
      </c>
      <c r="AT2" s="3567" t="s">
        <v>2944</v>
      </c>
      <c r="AU2" s="3568" t="s">
        <v>2945</v>
      </c>
      <c r="AV2" s="3568" t="s">
        <v>2927</v>
      </c>
      <c r="AW2" s="3568" t="s">
        <v>2928</v>
      </c>
      <c r="AX2" s="3568" t="s">
        <v>2946</v>
      </c>
      <c r="AY2" s="3578" t="s">
        <v>2947</v>
      </c>
      <c r="AZ2" s="3567" t="s">
        <v>2948</v>
      </c>
      <c r="BA2" s="3579" t="s">
        <v>2949</v>
      </c>
      <c r="BB2" s="3576" t="s">
        <v>2950</v>
      </c>
      <c r="BC2" s="3567" t="s">
        <v>2951</v>
      </c>
      <c r="BD2" s="3567" t="s">
        <v>2952</v>
      </c>
      <c r="BE2" s="3576" t="s">
        <v>2953</v>
      </c>
      <c r="BF2" s="3567" t="s">
        <v>2954</v>
      </c>
      <c r="BG2" s="3580" t="s">
        <v>2955</v>
      </c>
      <c r="BH2" s="3567" t="s">
        <v>2956</v>
      </c>
      <c r="BI2" s="3581" t="s">
        <v>2957</v>
      </c>
      <c r="BJ2" s="3582" t="s">
        <v>2958</v>
      </c>
      <c r="BK2" s="3582" t="s">
        <v>2959</v>
      </c>
      <c r="BL2" s="3582" t="s">
        <v>2960</v>
      </c>
      <c r="BM2" s="3573" t="s">
        <v>2961</v>
      </c>
      <c r="BN2" s="3574" t="s">
        <v>2962</v>
      </c>
      <c r="BO2" s="3568" t="s">
        <v>2963</v>
      </c>
      <c r="BP2" s="3567" t="s">
        <v>2964</v>
      </c>
      <c r="BQ2" s="3567" t="s">
        <v>2965</v>
      </c>
      <c r="BR2" s="3567" t="s">
        <v>2966</v>
      </c>
      <c r="BS2" s="3567"/>
      <c r="BT2" s="3568" t="s">
        <v>2967</v>
      </c>
      <c r="BU2" s="3568" t="s">
        <v>2968</v>
      </c>
    </row>
    <row r="3" spans="1:77" s="3575" customFormat="1" ht="12">
      <c r="A3" s="3159" t="s">
        <v>2969</v>
      </c>
      <c r="B3" s="3159"/>
      <c r="C3" s="3159"/>
      <c r="D3" s="3159"/>
      <c r="E3" s="3159" t="s">
        <v>2970</v>
      </c>
      <c r="F3" s="3584" t="s">
        <v>2971</v>
      </c>
      <c r="G3" s="3584" t="s">
        <v>2972</v>
      </c>
      <c r="H3" s="3159" t="s">
        <v>2973</v>
      </c>
      <c r="I3" s="3585" t="s">
        <v>2974</v>
      </c>
      <c r="J3" s="3159"/>
      <c r="K3" s="3159" t="s">
        <v>2975</v>
      </c>
      <c r="L3" s="3159" t="s">
        <v>2976</v>
      </c>
      <c r="M3" s="3584" t="s">
        <v>2977</v>
      </c>
      <c r="N3" s="3159" t="s">
        <v>2970</v>
      </c>
      <c r="O3" s="3159">
        <v>110.82</v>
      </c>
      <c r="P3" s="3159">
        <v>4</v>
      </c>
      <c r="Q3" s="3159" t="s">
        <v>2978</v>
      </c>
      <c r="R3" s="3159"/>
      <c r="S3" s="3159" t="s">
        <v>2979</v>
      </c>
      <c r="T3" s="3586">
        <v>435000</v>
      </c>
      <c r="U3" s="3159">
        <f t="shared" ref="U3" si="0">ROUND(T3/O3,0)</f>
        <v>3925</v>
      </c>
      <c r="V3" s="3587">
        <f t="shared" ref="V3" si="1">ROUNDDOWN(X3*O3/10000,2)</f>
        <v>33.57</v>
      </c>
      <c r="W3" s="3588">
        <f t="shared" ref="W3" si="2">V3*10000</f>
        <v>335700</v>
      </c>
      <c r="X3" s="3159">
        <v>3030</v>
      </c>
      <c r="Y3" s="1089">
        <v>0.2</v>
      </c>
      <c r="Z3" s="3587">
        <f t="shared" ref="Z3" si="3">ROUNDDOWN(V3*(1-Y3),2)</f>
        <v>26.85</v>
      </c>
      <c r="AA3" s="3589">
        <f t="shared" ref="AA3" si="4">Z3*10000</f>
        <v>268500</v>
      </c>
      <c r="AB3" s="3590">
        <v>2006</v>
      </c>
      <c r="AC3" s="3590">
        <v>5</v>
      </c>
      <c r="AD3" s="3590">
        <v>26</v>
      </c>
      <c r="AE3" s="3159">
        <f t="shared" ref="AE3" si="5">IF(V3&gt;=10,IF(V3&lt;50,AVERAGE(ROUNDDOWN($V3*30,-1),ROUND($V3*30,-1)),1500),IF(V3&gt;0,300,0))</f>
        <v>1005</v>
      </c>
      <c r="AF3" s="3159" t="s">
        <v>2980</v>
      </c>
      <c r="AG3" s="3159"/>
      <c r="AH3" s="3590" t="s">
        <v>2981</v>
      </c>
      <c r="AI3" s="3159" t="s">
        <v>2982</v>
      </c>
      <c r="AJ3" s="3159" t="s">
        <v>2983</v>
      </c>
      <c r="AK3" s="3159" t="s">
        <v>2984</v>
      </c>
      <c r="AL3" s="3159" t="s">
        <v>2985</v>
      </c>
      <c r="AM3" s="3591"/>
      <c r="AN3" s="3592" t="s">
        <v>2986</v>
      </c>
      <c r="AO3" s="3159">
        <v>82253558</v>
      </c>
      <c r="AP3" s="3590"/>
      <c r="AQ3" s="3590" t="s">
        <v>2987</v>
      </c>
      <c r="AR3" s="3590"/>
      <c r="AS3" s="3590" t="s">
        <v>2988</v>
      </c>
      <c r="AT3" s="3159" t="s">
        <v>2989</v>
      </c>
      <c r="AU3" s="3590"/>
      <c r="AV3" s="3590"/>
      <c r="AW3" s="3590"/>
      <c r="AX3" s="3590"/>
      <c r="AY3" s="3590"/>
      <c r="AZ3" s="3590" t="s">
        <v>2990</v>
      </c>
      <c r="BA3" s="3590"/>
      <c r="BB3" s="3593"/>
      <c r="BC3" s="3590" t="s">
        <v>2991</v>
      </c>
      <c r="BD3" s="3590"/>
      <c r="BE3" s="3593"/>
      <c r="BF3" s="3590"/>
      <c r="BG3" s="3594"/>
      <c r="BH3" s="3590"/>
      <c r="BI3" s="3595"/>
      <c r="BJ3" s="3596">
        <v>38852</v>
      </c>
      <c r="BK3" s="3590"/>
      <c r="BL3" s="3590" t="s">
        <v>2981</v>
      </c>
      <c r="BM3" s="3597">
        <v>38861</v>
      </c>
      <c r="BN3" s="3597"/>
      <c r="BO3" s="3159" t="s">
        <v>2992</v>
      </c>
      <c r="BP3" s="3590" t="s">
        <v>2993</v>
      </c>
      <c r="BQ3" s="3590" t="s">
        <v>2994</v>
      </c>
      <c r="BR3" s="3159" t="s">
        <v>2995</v>
      </c>
      <c r="BS3" s="3590"/>
      <c r="BT3" s="3590" t="e">
        <f t="shared" ref="BT3" si="6">ROUND(V3*10000/R3,0)</f>
        <v>#DIV/0!</v>
      </c>
      <c r="BU3" s="3590" t="e">
        <f t="shared" ref="BU3" si="7">ROUND(T3/R3,0)</f>
        <v>#DIV/0!</v>
      </c>
      <c r="BV3" s="3598"/>
      <c r="BW3" s="3598"/>
      <c r="BX3" s="3598"/>
    </row>
    <row r="4" spans="1:77">
      <c r="A4">
        <v>2005</v>
      </c>
    </row>
    <row r="5" spans="1:77" s="3575" customFormat="1" ht="12">
      <c r="A5" s="3557"/>
      <c r="B5" s="3557"/>
      <c r="C5" s="3557"/>
      <c r="D5" s="3557"/>
      <c r="E5" s="3558"/>
      <c r="F5" s="3559"/>
      <c r="G5" s="3559"/>
      <c r="H5" s="3559"/>
      <c r="I5" s="3559"/>
      <c r="J5" s="3559"/>
      <c r="K5" s="3559"/>
      <c r="L5" s="3559"/>
      <c r="M5" s="3559"/>
      <c r="N5" s="3560"/>
      <c r="O5" s="3561"/>
      <c r="P5" s="3562"/>
      <c r="Q5" s="3561"/>
      <c r="R5" s="3562"/>
      <c r="S5" s="3561"/>
      <c r="T5" s="3562"/>
      <c r="U5" s="3562"/>
      <c r="V5" s="3561"/>
      <c r="W5" s="3563"/>
      <c r="X5" s="3561"/>
      <c r="Y5" s="3560" t="s">
        <v>2895</v>
      </c>
      <c r="Z5" s="3560"/>
      <c r="AA5" s="3564"/>
      <c r="AB5" s="3561"/>
      <c r="AC5" s="3562" t="s">
        <v>2896</v>
      </c>
      <c r="AD5" s="3561"/>
      <c r="AE5" s="3561"/>
      <c r="AF5" s="3561"/>
      <c r="AG5" s="3561"/>
      <c r="AH5" s="3561"/>
      <c r="AI5" s="3558"/>
      <c r="AJ5" s="3558"/>
      <c r="AK5" s="3560"/>
      <c r="AL5" s="3558"/>
      <c r="AM5" s="3572"/>
      <c r="AN5" s="3558"/>
      <c r="AO5" s="3566" t="s">
        <v>2897</v>
      </c>
      <c r="AP5" s="3566"/>
      <c r="AQ5" s="3567" t="s">
        <v>2898</v>
      </c>
      <c r="AR5" s="3567" t="s">
        <v>2899</v>
      </c>
      <c r="AS5" s="3567"/>
      <c r="AT5" s="3567"/>
      <c r="AU5" s="3568"/>
      <c r="AV5" s="3568" t="s">
        <v>2900</v>
      </c>
      <c r="AW5" s="3568"/>
      <c r="AX5" s="3568"/>
      <c r="AY5" s="3567"/>
      <c r="AZ5" s="3599"/>
      <c r="BA5" s="3599"/>
      <c r="BB5" s="3600"/>
      <c r="BC5" s="3599"/>
      <c r="BD5" s="3599"/>
      <c r="BE5" s="3600"/>
      <c r="BF5" s="3599"/>
      <c r="BG5" s="3601"/>
      <c r="BH5" s="3599"/>
      <c r="BI5" s="3602"/>
      <c r="BJ5" s="3603"/>
      <c r="BK5" s="3599"/>
      <c r="BL5" s="3599"/>
      <c r="BM5" s="3573" t="s">
        <v>2901</v>
      </c>
      <c r="BN5" s="3574" t="s">
        <v>2902</v>
      </c>
      <c r="BO5" s="3560"/>
      <c r="BP5" s="3604"/>
      <c r="BQ5" s="3604"/>
      <c r="BR5" s="3604"/>
      <c r="BS5" s="3604"/>
      <c r="BT5" s="3568"/>
      <c r="BU5" s="3568"/>
    </row>
    <row r="6" spans="1:77" s="3583" customFormat="1" ht="15.75">
      <c r="A6" s="3576" t="s">
        <v>2903</v>
      </c>
      <c r="B6" s="3576" t="s">
        <v>3163</v>
      </c>
      <c r="C6" s="3576" t="s">
        <v>3164</v>
      </c>
      <c r="D6" s="3576" t="s">
        <v>3165</v>
      </c>
      <c r="E6" s="3567" t="s">
        <v>2904</v>
      </c>
      <c r="F6" s="3576" t="s">
        <v>2905</v>
      </c>
      <c r="G6" s="3576" t="s">
        <v>2906</v>
      </c>
      <c r="H6" s="3576" t="s">
        <v>2907</v>
      </c>
      <c r="I6" s="3576" t="s">
        <v>2908</v>
      </c>
      <c r="J6" s="3576" t="s">
        <v>2996</v>
      </c>
      <c r="K6" s="3576" t="s">
        <v>2910</v>
      </c>
      <c r="L6" s="3576" t="s">
        <v>2911</v>
      </c>
      <c r="M6" s="3576" t="s">
        <v>2912</v>
      </c>
      <c r="N6" s="3567" t="s">
        <v>2913</v>
      </c>
      <c r="O6" s="3567" t="s">
        <v>2914</v>
      </c>
      <c r="P6" s="3567" t="s">
        <v>2915</v>
      </c>
      <c r="Q6" s="3567" t="s">
        <v>2916</v>
      </c>
      <c r="R6" s="3567" t="s">
        <v>2917</v>
      </c>
      <c r="S6" s="3567" t="s">
        <v>2918</v>
      </c>
      <c r="T6" s="3567" t="s">
        <v>2919</v>
      </c>
      <c r="U6" s="3567" t="s">
        <v>2920</v>
      </c>
      <c r="V6" s="3567" t="s">
        <v>2921</v>
      </c>
      <c r="W6" s="3577" t="s">
        <v>2922</v>
      </c>
      <c r="X6" s="3567" t="s">
        <v>2923</v>
      </c>
      <c r="Y6" s="3567" t="s">
        <v>2924</v>
      </c>
      <c r="Z6" s="3567" t="s">
        <v>2925</v>
      </c>
      <c r="AA6" s="3577" t="s">
        <v>2762</v>
      </c>
      <c r="AB6" s="3567" t="s">
        <v>2926</v>
      </c>
      <c r="AC6" s="3567" t="s">
        <v>2927</v>
      </c>
      <c r="AD6" s="3567" t="s">
        <v>2928</v>
      </c>
      <c r="AE6" s="3567" t="s">
        <v>2929</v>
      </c>
      <c r="AF6" s="3567" t="s">
        <v>2930</v>
      </c>
      <c r="AG6" s="3567" t="s">
        <v>2931</v>
      </c>
      <c r="AH6" s="3567" t="s">
        <v>2932</v>
      </c>
      <c r="AI6" s="3567" t="s">
        <v>2933</v>
      </c>
      <c r="AJ6" s="3567" t="s">
        <v>2934</v>
      </c>
      <c r="AK6" s="3567" t="s">
        <v>2935</v>
      </c>
      <c r="AL6" s="3567" t="s">
        <v>2936</v>
      </c>
      <c r="AM6" s="3582" t="s">
        <v>2937</v>
      </c>
      <c r="AN6" s="3567" t="s">
        <v>2938</v>
      </c>
      <c r="AO6" s="3567" t="s">
        <v>2939</v>
      </c>
      <c r="AP6" s="3567" t="s">
        <v>2940</v>
      </c>
      <c r="AQ6" s="3567" t="s">
        <v>2941</v>
      </c>
      <c r="AR6" s="3567" t="s">
        <v>2942</v>
      </c>
      <c r="AS6" s="3567" t="s">
        <v>2943</v>
      </c>
      <c r="AT6" s="3567" t="s">
        <v>2944</v>
      </c>
      <c r="AU6" s="3568" t="s">
        <v>2945</v>
      </c>
      <c r="AV6" s="3568" t="s">
        <v>2927</v>
      </c>
      <c r="AW6" s="3568" t="s">
        <v>2928</v>
      </c>
      <c r="AX6" s="3568" t="s">
        <v>2946</v>
      </c>
      <c r="AY6" s="3578" t="s">
        <v>2947</v>
      </c>
      <c r="AZ6" s="3605" t="s">
        <v>2948</v>
      </c>
      <c r="BA6" s="3606" t="s">
        <v>2949</v>
      </c>
      <c r="BB6" s="3607" t="s">
        <v>2950</v>
      </c>
      <c r="BC6" s="3605" t="s">
        <v>2951</v>
      </c>
      <c r="BD6" s="3605" t="s">
        <v>2952</v>
      </c>
      <c r="BE6" s="3607" t="s">
        <v>2953</v>
      </c>
      <c r="BF6" s="3605" t="s">
        <v>2954</v>
      </c>
      <c r="BG6" s="3608" t="s">
        <v>2955</v>
      </c>
      <c r="BH6" s="3605" t="s">
        <v>2956</v>
      </c>
      <c r="BI6" s="3609" t="s">
        <v>2957</v>
      </c>
      <c r="BJ6" s="3610" t="s">
        <v>2958</v>
      </c>
      <c r="BK6" s="3610" t="s">
        <v>2959</v>
      </c>
      <c r="BL6" s="3610" t="s">
        <v>2960</v>
      </c>
      <c r="BM6" s="3573" t="s">
        <v>2961</v>
      </c>
      <c r="BN6" s="3574" t="s">
        <v>2962</v>
      </c>
      <c r="BO6" s="3568" t="s">
        <v>2963</v>
      </c>
      <c r="BP6" s="3604" t="s">
        <v>2997</v>
      </c>
      <c r="BQ6" s="3604" t="s">
        <v>2998</v>
      </c>
      <c r="BR6" s="3604" t="s">
        <v>2999</v>
      </c>
      <c r="BS6" s="3604"/>
      <c r="BT6" s="3568" t="s">
        <v>3000</v>
      </c>
      <c r="BU6" s="3568" t="s">
        <v>3001</v>
      </c>
    </row>
    <row r="7" spans="1:77" s="3655" customFormat="1" ht="12">
      <c r="A7" s="3638" t="s">
        <v>3002</v>
      </c>
      <c r="B7" s="3638" t="s">
        <v>3156</v>
      </c>
      <c r="C7" s="3638" t="s">
        <v>3155</v>
      </c>
      <c r="D7" s="3638">
        <v>6</v>
      </c>
      <c r="E7" s="3638" t="s">
        <v>3003</v>
      </c>
      <c r="F7" s="3639" t="s">
        <v>3004</v>
      </c>
      <c r="G7" s="3639" t="s">
        <v>3005</v>
      </c>
      <c r="H7" s="3638" t="s">
        <v>3006</v>
      </c>
      <c r="I7" s="3640" t="s">
        <v>3007</v>
      </c>
      <c r="J7" s="3638"/>
      <c r="K7" s="3638" t="s">
        <v>3008</v>
      </c>
      <c r="L7" s="3638" t="s">
        <v>3009</v>
      </c>
      <c r="M7" s="3639" t="s">
        <v>3010</v>
      </c>
      <c r="N7" s="3638" t="s">
        <v>3003</v>
      </c>
      <c r="O7" s="3638">
        <v>60.19</v>
      </c>
      <c r="P7" s="3638">
        <v>4</v>
      </c>
      <c r="Q7" s="3638" t="s">
        <v>3011</v>
      </c>
      <c r="R7" s="3638"/>
      <c r="S7" s="3638" t="s">
        <v>3012</v>
      </c>
      <c r="T7" s="3641">
        <v>176000</v>
      </c>
      <c r="U7" s="3638">
        <v>2924</v>
      </c>
      <c r="V7" s="3642">
        <v>16.96</v>
      </c>
      <c r="W7" s="3643">
        <v>169600</v>
      </c>
      <c r="X7" s="3638">
        <v>2819</v>
      </c>
      <c r="Y7" s="3644">
        <v>0.05</v>
      </c>
      <c r="Z7" s="3642">
        <v>16.11</v>
      </c>
      <c r="AA7" s="3645">
        <v>161100</v>
      </c>
      <c r="AB7" s="3646">
        <v>2005</v>
      </c>
      <c r="AC7" s="3646">
        <v>3</v>
      </c>
      <c r="AD7" s="3646">
        <v>9</v>
      </c>
      <c r="AE7" s="3638">
        <v>505</v>
      </c>
      <c r="AF7" s="3638" t="s">
        <v>2980</v>
      </c>
      <c r="AG7" s="3638"/>
      <c r="AH7" s="3646" t="s">
        <v>2985</v>
      </c>
      <c r="AI7" s="3638" t="s">
        <v>2982</v>
      </c>
      <c r="AJ7" s="3638" t="s">
        <v>2983</v>
      </c>
      <c r="AK7" s="3638"/>
      <c r="AL7" s="3638"/>
      <c r="AM7" s="3647"/>
      <c r="AN7" s="3648" t="s">
        <v>3013</v>
      </c>
      <c r="AO7" s="3646">
        <v>82253558</v>
      </c>
      <c r="AP7" s="3646"/>
      <c r="AQ7" s="3646" t="s">
        <v>3014</v>
      </c>
      <c r="AR7" s="3646"/>
      <c r="AS7" s="3638" t="s">
        <v>2988</v>
      </c>
      <c r="AT7" s="3638" t="s">
        <v>2989</v>
      </c>
      <c r="AU7" s="3646"/>
      <c r="AV7" s="3646"/>
      <c r="AW7" s="3646"/>
      <c r="AX7" s="3646"/>
      <c r="AY7" s="3646"/>
      <c r="AZ7" s="3646" t="s">
        <v>2990</v>
      </c>
      <c r="BA7" s="3646"/>
      <c r="BB7" s="3649"/>
      <c r="BC7" s="3646" t="s">
        <v>3015</v>
      </c>
      <c r="BD7" s="3646"/>
      <c r="BE7" s="3649"/>
      <c r="BF7" s="3646"/>
      <c r="BG7" s="3650"/>
      <c r="BH7" s="3646"/>
      <c r="BI7" s="3651"/>
      <c r="BJ7" s="3652">
        <v>38418</v>
      </c>
      <c r="BK7" s="3646"/>
      <c r="BL7" s="3646" t="s">
        <v>2981</v>
      </c>
      <c r="BM7" s="3653">
        <v>38420</v>
      </c>
      <c r="BN7" s="3653"/>
      <c r="BO7" s="3638" t="s">
        <v>3016</v>
      </c>
      <c r="BP7" s="3646" t="s">
        <v>2993</v>
      </c>
      <c r="BQ7" s="3646" t="s">
        <v>2994</v>
      </c>
      <c r="BR7" s="3646" t="s">
        <v>3017</v>
      </c>
      <c r="BS7" s="3646"/>
      <c r="BT7" s="3646" t="e">
        <v>#DIV/0!</v>
      </c>
      <c r="BU7" s="3646" t="e">
        <v>#DIV/0!</v>
      </c>
      <c r="BV7" s="3654"/>
      <c r="BW7" s="3654"/>
      <c r="BX7" s="3654"/>
    </row>
    <row r="8" spans="1:77" s="3611" customFormat="1" ht="12">
      <c r="A8" s="3159" t="s">
        <v>3018</v>
      </c>
      <c r="B8" s="3159"/>
      <c r="C8" s="3159"/>
      <c r="D8" s="3159"/>
      <c r="E8" s="3159" t="s">
        <v>3019</v>
      </c>
      <c r="F8" s="3584" t="s">
        <v>3020</v>
      </c>
      <c r="G8" s="3584" t="s">
        <v>3021</v>
      </c>
      <c r="H8" s="3159" t="s">
        <v>3006</v>
      </c>
      <c r="I8" s="3159" t="s">
        <v>3007</v>
      </c>
      <c r="J8" s="3159"/>
      <c r="K8" s="3159" t="s">
        <v>3022</v>
      </c>
      <c r="L8" s="3159" t="s">
        <v>3023</v>
      </c>
      <c r="M8" s="3584" t="s">
        <v>3024</v>
      </c>
      <c r="N8" s="3159" t="s">
        <v>3019</v>
      </c>
      <c r="O8" s="3159">
        <v>63.14</v>
      </c>
      <c r="P8" s="3159">
        <v>2</v>
      </c>
      <c r="Q8" s="3159" t="s">
        <v>3025</v>
      </c>
      <c r="R8" s="3159"/>
      <c r="S8" s="3159" t="s">
        <v>3012</v>
      </c>
      <c r="T8" s="3586">
        <v>188000</v>
      </c>
      <c r="U8" s="3159">
        <v>2978</v>
      </c>
      <c r="V8" s="3587">
        <v>16.71</v>
      </c>
      <c r="W8" s="3588">
        <v>167100</v>
      </c>
      <c r="X8" s="3159">
        <v>2648</v>
      </c>
      <c r="Y8" s="1089">
        <v>0.05</v>
      </c>
      <c r="Z8" s="3587">
        <v>15.87</v>
      </c>
      <c r="AA8" s="3589">
        <v>158700</v>
      </c>
      <c r="AB8" s="3590">
        <v>2005</v>
      </c>
      <c r="AC8" s="3590">
        <v>4</v>
      </c>
      <c r="AD8" s="3590">
        <v>12</v>
      </c>
      <c r="AE8" s="3159">
        <v>500</v>
      </c>
      <c r="AF8" s="3159" t="s">
        <v>2980</v>
      </c>
      <c r="AG8" s="3159"/>
      <c r="AH8" s="3159" t="s">
        <v>2985</v>
      </c>
      <c r="AI8" s="3159" t="s">
        <v>2982</v>
      </c>
      <c r="AJ8" s="3159" t="s">
        <v>2983</v>
      </c>
      <c r="AK8" s="3159"/>
      <c r="AL8" s="3159"/>
      <c r="AM8" s="3591"/>
      <c r="AN8" s="3592" t="s">
        <v>2987</v>
      </c>
      <c r="AO8" s="3590">
        <v>82253558</v>
      </c>
      <c r="AP8" s="3590"/>
      <c r="AQ8" s="3590" t="s">
        <v>3013</v>
      </c>
      <c r="AR8" s="3590"/>
      <c r="AS8" s="3159" t="s">
        <v>2988</v>
      </c>
      <c r="AT8" s="3159" t="s">
        <v>2989</v>
      </c>
      <c r="AU8" s="3590"/>
      <c r="AV8" s="3590"/>
      <c r="AW8" s="3590"/>
      <c r="AX8" s="3590"/>
      <c r="AY8" s="3590"/>
      <c r="AZ8" s="3590" t="s">
        <v>3026</v>
      </c>
      <c r="BA8" s="3590"/>
      <c r="BB8" s="3593"/>
      <c r="BC8" s="3590" t="s">
        <v>3027</v>
      </c>
      <c r="BD8" s="3590"/>
      <c r="BE8" s="3593"/>
      <c r="BF8" s="3590"/>
      <c r="BG8" s="3594"/>
      <c r="BH8" s="3590"/>
      <c r="BI8" s="3595"/>
      <c r="BJ8" s="3596">
        <v>38447</v>
      </c>
      <c r="BK8" s="3590"/>
      <c r="BL8" s="3590" t="s">
        <v>2981</v>
      </c>
      <c r="BM8" s="3597">
        <v>38453</v>
      </c>
      <c r="BN8" s="3597"/>
      <c r="BO8" s="3159" t="s">
        <v>2992</v>
      </c>
      <c r="BP8" s="3590" t="s">
        <v>2993</v>
      </c>
      <c r="BQ8" s="3590" t="s">
        <v>2994</v>
      </c>
      <c r="BR8" s="3590" t="s">
        <v>3028</v>
      </c>
      <c r="BS8" s="3590"/>
      <c r="BT8" s="3590" t="e">
        <v>#DIV/0!</v>
      </c>
      <c r="BU8" s="3590" t="e">
        <v>#DIV/0!</v>
      </c>
    </row>
    <row r="9" spans="1:77" s="3673" customFormat="1" ht="12">
      <c r="A9" s="3656" t="s">
        <v>3029</v>
      </c>
      <c r="B9" s="3656"/>
      <c r="C9" s="3656"/>
      <c r="D9" s="3656"/>
      <c r="E9" s="3656" t="s">
        <v>3030</v>
      </c>
      <c r="F9" s="3657" t="s">
        <v>3031</v>
      </c>
      <c r="G9" s="3657" t="s">
        <v>3032</v>
      </c>
      <c r="H9" s="3656" t="s">
        <v>3006</v>
      </c>
      <c r="I9" s="3658" t="s">
        <v>3007</v>
      </c>
      <c r="J9" s="3656"/>
      <c r="K9" s="3656" t="s">
        <v>3033</v>
      </c>
      <c r="L9" s="3656" t="s">
        <v>3034</v>
      </c>
      <c r="M9" s="3657" t="s">
        <v>3035</v>
      </c>
      <c r="N9" s="3656" t="s">
        <v>3030</v>
      </c>
      <c r="O9" s="3656">
        <v>57.36</v>
      </c>
      <c r="P9" s="3656">
        <v>6</v>
      </c>
      <c r="Q9" s="3656" t="s">
        <v>3036</v>
      </c>
      <c r="R9" s="3656"/>
      <c r="S9" s="3656" t="s">
        <v>3012</v>
      </c>
      <c r="T9" s="3659">
        <v>180000</v>
      </c>
      <c r="U9" s="3656">
        <v>3138</v>
      </c>
      <c r="V9" s="3660">
        <v>16.329999999999998</v>
      </c>
      <c r="W9" s="3661">
        <v>163299.99999999997</v>
      </c>
      <c r="X9" s="3656">
        <v>2848</v>
      </c>
      <c r="Y9" s="3662">
        <v>0.05</v>
      </c>
      <c r="Z9" s="3660">
        <v>15.51</v>
      </c>
      <c r="AA9" s="3663">
        <v>155100</v>
      </c>
      <c r="AB9" s="3664">
        <v>2005</v>
      </c>
      <c r="AC9" s="3664">
        <v>5</v>
      </c>
      <c r="AD9" s="3664">
        <v>16</v>
      </c>
      <c r="AE9" s="3656">
        <v>485</v>
      </c>
      <c r="AF9" s="3656" t="s">
        <v>2980</v>
      </c>
      <c r="AG9" s="3656"/>
      <c r="AH9" s="3664" t="s">
        <v>2981</v>
      </c>
      <c r="AI9" s="3656" t="s">
        <v>2982</v>
      </c>
      <c r="AJ9" s="3656" t="s">
        <v>2983</v>
      </c>
      <c r="AK9" s="3656"/>
      <c r="AL9" s="3656"/>
      <c r="AM9" s="3665"/>
      <c r="AN9" s="3666" t="s">
        <v>2986</v>
      </c>
      <c r="AO9" s="3664">
        <v>82253558</v>
      </c>
      <c r="AP9" s="3664"/>
      <c r="AQ9" s="3664" t="s">
        <v>3013</v>
      </c>
      <c r="AR9" s="3664"/>
      <c r="AS9" s="3656" t="s">
        <v>2988</v>
      </c>
      <c r="AT9" s="3664" t="s">
        <v>3037</v>
      </c>
      <c r="AU9" s="3664"/>
      <c r="AV9" s="3664"/>
      <c r="AW9" s="3664"/>
      <c r="AX9" s="3664"/>
      <c r="AY9" s="3664"/>
      <c r="AZ9" s="3664" t="s">
        <v>2990</v>
      </c>
      <c r="BA9" s="3664"/>
      <c r="BB9" s="3667"/>
      <c r="BC9" s="3664"/>
      <c r="BD9" s="3664"/>
      <c r="BE9" s="3667"/>
      <c r="BF9" s="3664"/>
      <c r="BG9" s="3668"/>
      <c r="BH9" s="3664"/>
      <c r="BI9" s="3669"/>
      <c r="BJ9" s="3670">
        <v>38468</v>
      </c>
      <c r="BK9" s="3664"/>
      <c r="BL9" s="3664" t="s">
        <v>2981</v>
      </c>
      <c r="BM9" s="3671">
        <v>38483</v>
      </c>
      <c r="BN9" s="3671"/>
      <c r="BO9" s="3656" t="s">
        <v>2992</v>
      </c>
      <c r="BP9" s="3664" t="s">
        <v>2993</v>
      </c>
      <c r="BQ9" s="3664" t="s">
        <v>3038</v>
      </c>
      <c r="BR9" s="3664" t="s">
        <v>3028</v>
      </c>
      <c r="BS9" s="3664"/>
      <c r="BT9" s="3664" t="e">
        <v>#DIV/0!</v>
      </c>
      <c r="BU9" s="3664" t="e">
        <v>#DIV/0!</v>
      </c>
      <c r="BV9" s="3672"/>
      <c r="BW9" s="3672"/>
      <c r="BX9" s="3672"/>
    </row>
    <row r="10" spans="1:77" s="3655" customFormat="1" ht="12.75">
      <c r="A10" s="3638" t="s">
        <v>3039</v>
      </c>
      <c r="B10" s="3638" t="s">
        <v>3151</v>
      </c>
      <c r="C10" s="3638" t="s">
        <v>3155</v>
      </c>
      <c r="D10" s="3638">
        <v>6</v>
      </c>
      <c r="E10" s="3638" t="s">
        <v>3040</v>
      </c>
      <c r="F10" s="3639" t="s">
        <v>3041</v>
      </c>
      <c r="G10" s="3639" t="s">
        <v>3042</v>
      </c>
      <c r="H10" s="3638" t="s">
        <v>3043</v>
      </c>
      <c r="I10" s="3638" t="s">
        <v>3044</v>
      </c>
      <c r="J10" s="3638"/>
      <c r="K10" s="3638" t="s">
        <v>3045</v>
      </c>
      <c r="L10" s="3638" t="s">
        <v>3009</v>
      </c>
      <c r="M10" s="3639" t="s">
        <v>3046</v>
      </c>
      <c r="N10" s="3638" t="s">
        <v>3040</v>
      </c>
      <c r="O10" s="3638">
        <v>62.62</v>
      </c>
      <c r="P10" s="3638">
        <v>5</v>
      </c>
      <c r="Q10" s="3638" t="s">
        <v>3025</v>
      </c>
      <c r="R10" s="3638"/>
      <c r="S10" s="3638" t="s">
        <v>3047</v>
      </c>
      <c r="T10" s="3641">
        <v>200000</v>
      </c>
      <c r="U10" s="3638">
        <v>3194</v>
      </c>
      <c r="V10" s="3642">
        <v>17.68</v>
      </c>
      <c r="W10" s="3643">
        <v>176800</v>
      </c>
      <c r="X10" s="3638">
        <v>2824</v>
      </c>
      <c r="Y10" s="3644">
        <v>0.05</v>
      </c>
      <c r="Z10" s="3642">
        <v>16.79</v>
      </c>
      <c r="AA10" s="3645">
        <v>167900</v>
      </c>
      <c r="AB10" s="3646">
        <v>2005</v>
      </c>
      <c r="AC10" s="3646">
        <v>5</v>
      </c>
      <c r="AD10" s="3646">
        <v>20</v>
      </c>
      <c r="AE10" s="3638">
        <v>530</v>
      </c>
      <c r="AF10" s="3638" t="s">
        <v>2980</v>
      </c>
      <c r="AG10" s="3638"/>
      <c r="AH10" s="3646" t="s">
        <v>2981</v>
      </c>
      <c r="AI10" s="3638" t="s">
        <v>3048</v>
      </c>
      <c r="AJ10" s="3638" t="s">
        <v>2983</v>
      </c>
      <c r="AK10" s="3638" t="s">
        <v>3049</v>
      </c>
      <c r="AL10" s="3638"/>
      <c r="AM10" s="3647"/>
      <c r="AN10" s="3648" t="s">
        <v>2986</v>
      </c>
      <c r="AO10" s="3638">
        <v>82253558</v>
      </c>
      <c r="AP10" s="3646"/>
      <c r="AQ10" s="3646" t="s">
        <v>3013</v>
      </c>
      <c r="AR10" s="3646"/>
      <c r="AS10" s="3638" t="s">
        <v>2988</v>
      </c>
      <c r="AT10" s="3638" t="s">
        <v>2989</v>
      </c>
      <c r="AU10" s="3646"/>
      <c r="AV10" s="3646"/>
      <c r="AW10" s="3646"/>
      <c r="AX10" s="3646"/>
      <c r="AY10" s="3646"/>
      <c r="AZ10" s="3646" t="s">
        <v>2990</v>
      </c>
      <c r="BA10" s="3646"/>
      <c r="BB10" s="3649"/>
      <c r="BC10" s="3646" t="s">
        <v>3050</v>
      </c>
      <c r="BD10" s="3646"/>
      <c r="BE10" s="3649"/>
      <c r="BF10" s="3646"/>
      <c r="BG10" s="3650"/>
      <c r="BH10" s="3646"/>
      <c r="BI10" s="3651"/>
      <c r="BJ10" s="3652">
        <v>38470</v>
      </c>
      <c r="BK10" s="3646"/>
      <c r="BL10" s="3646" t="s">
        <v>2981</v>
      </c>
      <c r="BM10" s="3653">
        <v>38488</v>
      </c>
      <c r="BN10" s="3653"/>
      <c r="BO10" s="3638" t="s">
        <v>2992</v>
      </c>
      <c r="BP10" s="3646" t="s">
        <v>2993</v>
      </c>
      <c r="BQ10" s="3646" t="s">
        <v>3051</v>
      </c>
      <c r="BR10" s="3646" t="s">
        <v>3028</v>
      </c>
      <c r="BS10" s="3646"/>
      <c r="BT10" s="3646" t="e">
        <v>#DIV/0!</v>
      </c>
      <c r="BU10" s="3646" t="e">
        <v>#DIV/0!</v>
      </c>
      <c r="BV10" s="3654"/>
      <c r="BW10" s="3654"/>
      <c r="BX10" s="3654"/>
    </row>
    <row r="11" spans="1:77" s="3575" customFormat="1" ht="12" hidden="1">
      <c r="A11" s="3159" t="s">
        <v>3052</v>
      </c>
      <c r="B11" s="3159"/>
      <c r="C11" s="3159"/>
      <c r="D11" s="3159"/>
      <c r="E11" s="3159" t="s">
        <v>3053</v>
      </c>
      <c r="F11" s="3584" t="s">
        <v>3054</v>
      </c>
      <c r="G11" s="3584" t="s">
        <v>3055</v>
      </c>
      <c r="H11" s="3159" t="s">
        <v>3006</v>
      </c>
      <c r="I11" s="3585" t="s">
        <v>3056</v>
      </c>
      <c r="J11" s="3159"/>
      <c r="K11" s="3159" t="s">
        <v>3008</v>
      </c>
      <c r="L11" s="3159" t="s">
        <v>3034</v>
      </c>
      <c r="M11" s="3584" t="s">
        <v>3057</v>
      </c>
      <c r="N11" s="3159" t="s">
        <v>3053</v>
      </c>
      <c r="O11" s="3677">
        <v>76.44</v>
      </c>
      <c r="P11" s="3159">
        <v>6</v>
      </c>
      <c r="Q11" s="3159" t="s">
        <v>3058</v>
      </c>
      <c r="R11" s="3159"/>
      <c r="S11" s="3159" t="s">
        <v>3012</v>
      </c>
      <c r="T11" s="3586">
        <v>198000</v>
      </c>
      <c r="U11" s="3159">
        <v>2590</v>
      </c>
      <c r="V11" s="3587">
        <v>16.3</v>
      </c>
      <c r="W11" s="3588">
        <v>163000</v>
      </c>
      <c r="X11" s="3159">
        <v>2133</v>
      </c>
      <c r="Y11" s="1089">
        <v>0.05</v>
      </c>
      <c r="Z11" s="3587">
        <v>15.48</v>
      </c>
      <c r="AA11" s="3589">
        <v>154800</v>
      </c>
      <c r="AB11" s="3590">
        <v>2005</v>
      </c>
      <c r="AC11" s="3590">
        <v>8</v>
      </c>
      <c r="AD11" s="3590">
        <v>22</v>
      </c>
      <c r="AE11" s="3159">
        <v>485</v>
      </c>
      <c r="AF11" s="3159" t="s">
        <v>2980</v>
      </c>
      <c r="AG11" s="3159"/>
      <c r="AH11" s="3590" t="s">
        <v>2985</v>
      </c>
      <c r="AI11" s="3159" t="s">
        <v>2982</v>
      </c>
      <c r="AJ11" s="3159" t="s">
        <v>2983</v>
      </c>
      <c r="AK11" s="3159" t="s">
        <v>3059</v>
      </c>
      <c r="AL11" s="3159" t="s">
        <v>3060</v>
      </c>
      <c r="AM11" s="3591"/>
      <c r="AN11" s="3592" t="s">
        <v>3061</v>
      </c>
      <c r="AO11" s="3590">
        <v>82253558</v>
      </c>
      <c r="AP11" s="3590"/>
      <c r="AQ11" s="3590" t="s">
        <v>3013</v>
      </c>
      <c r="AR11" s="3590"/>
      <c r="AS11" s="3159" t="s">
        <v>2988</v>
      </c>
      <c r="AT11" s="3159" t="s">
        <v>2989</v>
      </c>
      <c r="AU11" s="3590"/>
      <c r="AV11" s="3590"/>
      <c r="AW11" s="3590"/>
      <c r="AX11" s="3590"/>
      <c r="AY11" s="3590"/>
      <c r="AZ11" s="3590" t="s">
        <v>2990</v>
      </c>
      <c r="BA11" s="3590"/>
      <c r="BB11" s="3593"/>
      <c r="BC11" s="3590" t="s">
        <v>3062</v>
      </c>
      <c r="BD11" s="3590"/>
      <c r="BE11" s="3593"/>
      <c r="BF11" s="3590"/>
      <c r="BG11" s="3594"/>
      <c r="BH11" s="3590"/>
      <c r="BI11" s="3595"/>
      <c r="BJ11" s="3596">
        <v>38559</v>
      </c>
      <c r="BK11" s="3590"/>
      <c r="BL11" s="3590" t="s">
        <v>2981</v>
      </c>
      <c r="BM11" s="3597">
        <v>38579</v>
      </c>
      <c r="BN11" s="3597"/>
      <c r="BO11" s="3159" t="s">
        <v>2992</v>
      </c>
      <c r="BP11" s="3590" t="s">
        <v>2993</v>
      </c>
      <c r="BQ11" s="3590" t="s">
        <v>2994</v>
      </c>
      <c r="BR11" s="3590" t="s">
        <v>3028</v>
      </c>
      <c r="BS11" s="3590"/>
      <c r="BT11" s="3590" t="e">
        <v>#DIV/0!</v>
      </c>
      <c r="BU11" s="3590" t="e">
        <v>#DIV/0!</v>
      </c>
      <c r="BV11" s="3611"/>
      <c r="BW11" s="3611"/>
      <c r="BX11" s="3611"/>
    </row>
    <row r="12" spans="1:77" s="3575" customFormat="1" ht="12">
      <c r="A12" s="3590" t="s">
        <v>3063</v>
      </c>
      <c r="B12" s="3590"/>
      <c r="C12" s="3590"/>
      <c r="D12" s="3590"/>
      <c r="E12" s="3159" t="s">
        <v>3064</v>
      </c>
      <c r="F12" s="3584" t="s">
        <v>3065</v>
      </c>
      <c r="G12" s="3584" t="s">
        <v>3066</v>
      </c>
      <c r="H12" s="3159" t="s">
        <v>3006</v>
      </c>
      <c r="I12" s="3585" t="s">
        <v>3007</v>
      </c>
      <c r="J12" s="3159"/>
      <c r="K12" s="3159" t="s">
        <v>3067</v>
      </c>
      <c r="L12" s="3159" t="s">
        <v>3009</v>
      </c>
      <c r="M12" s="3584" t="s">
        <v>3068</v>
      </c>
      <c r="N12" s="3159" t="s">
        <v>3064</v>
      </c>
      <c r="O12" s="3159">
        <v>80.319999999999993</v>
      </c>
      <c r="P12" s="3159">
        <v>4</v>
      </c>
      <c r="Q12" s="3159" t="s">
        <v>3069</v>
      </c>
      <c r="R12" s="3159"/>
      <c r="S12" s="3159" t="s">
        <v>3012</v>
      </c>
      <c r="T12" s="3586">
        <v>230000</v>
      </c>
      <c r="U12" s="3159">
        <v>2864</v>
      </c>
      <c r="V12" s="3587">
        <v>21.11</v>
      </c>
      <c r="W12" s="3588">
        <v>211100</v>
      </c>
      <c r="X12" s="3159">
        <v>2629</v>
      </c>
      <c r="Y12" s="1089">
        <v>0.05</v>
      </c>
      <c r="Z12" s="3587">
        <v>20.05</v>
      </c>
      <c r="AA12" s="3589">
        <v>200500</v>
      </c>
      <c r="AB12" s="3590">
        <v>2005</v>
      </c>
      <c r="AC12" s="3590">
        <v>9</v>
      </c>
      <c r="AD12" s="3590">
        <v>13</v>
      </c>
      <c r="AE12" s="3159">
        <v>630</v>
      </c>
      <c r="AF12" s="3159" t="s">
        <v>2980</v>
      </c>
      <c r="AG12" s="3159"/>
      <c r="AH12" s="3590" t="s">
        <v>2981</v>
      </c>
      <c r="AI12" s="3159" t="s">
        <v>2982</v>
      </c>
      <c r="AJ12" s="3159" t="s">
        <v>2983</v>
      </c>
      <c r="AK12" s="3159"/>
      <c r="AL12" s="3159" t="s">
        <v>3060</v>
      </c>
      <c r="AM12" s="3591"/>
      <c r="AN12" s="3592" t="s">
        <v>3070</v>
      </c>
      <c r="AO12" s="3590">
        <v>82253558</v>
      </c>
      <c r="AP12" s="3590"/>
      <c r="AQ12" s="3590" t="s">
        <v>3013</v>
      </c>
      <c r="AR12" s="3590"/>
      <c r="AS12" s="3159" t="s">
        <v>2988</v>
      </c>
      <c r="AT12" s="3159" t="s">
        <v>2989</v>
      </c>
      <c r="AU12" s="3590"/>
      <c r="AV12" s="3590"/>
      <c r="AW12" s="3590"/>
      <c r="AX12" s="3590"/>
      <c r="AY12" s="3590"/>
      <c r="AZ12" s="3590" t="s">
        <v>2990</v>
      </c>
      <c r="BA12" s="3590"/>
      <c r="BB12" s="3593"/>
      <c r="BC12" s="3590" t="s">
        <v>3071</v>
      </c>
      <c r="BD12" s="3590"/>
      <c r="BE12" s="3593"/>
      <c r="BF12" s="3590"/>
      <c r="BG12" s="3594"/>
      <c r="BH12" s="3590"/>
      <c r="BI12" s="3595"/>
      <c r="BJ12" s="3596">
        <v>38594</v>
      </c>
      <c r="BK12" s="3590"/>
      <c r="BL12" s="3590" t="s">
        <v>2981</v>
      </c>
      <c r="BM12" s="3597">
        <v>38603</v>
      </c>
      <c r="BN12" s="3597"/>
      <c r="BO12" s="3159" t="s">
        <v>2992</v>
      </c>
      <c r="BP12" s="3590" t="s">
        <v>2993</v>
      </c>
      <c r="BQ12" s="3590" t="s">
        <v>2994</v>
      </c>
      <c r="BR12" s="3590" t="s">
        <v>3028</v>
      </c>
      <c r="BS12" s="3590"/>
      <c r="BT12" s="3590" t="e">
        <v>#DIV/0!</v>
      </c>
      <c r="BU12" s="3590" t="e">
        <v>#DIV/0!</v>
      </c>
      <c r="BV12" s="3611"/>
      <c r="BW12" s="3611"/>
      <c r="BX12" s="3611"/>
    </row>
    <row r="13" spans="1:77" s="3673" customFormat="1" ht="12">
      <c r="A13" s="3656" t="s">
        <v>3072</v>
      </c>
      <c r="B13" s="3656"/>
      <c r="C13" s="3656"/>
      <c r="D13" s="3656"/>
      <c r="E13" s="3656" t="s">
        <v>3073</v>
      </c>
      <c r="F13" s="3657" t="s">
        <v>3074</v>
      </c>
      <c r="G13" s="3657" t="s">
        <v>3075</v>
      </c>
      <c r="H13" s="3656" t="s">
        <v>3006</v>
      </c>
      <c r="I13" s="3658" t="s">
        <v>3007</v>
      </c>
      <c r="J13" s="3656"/>
      <c r="K13" s="3656" t="s">
        <v>3033</v>
      </c>
      <c r="L13" s="3656" t="s">
        <v>3034</v>
      </c>
      <c r="M13" s="3657" t="s">
        <v>3076</v>
      </c>
      <c r="N13" s="3656" t="s">
        <v>3073</v>
      </c>
      <c r="O13" s="3656">
        <v>75.209999999999994</v>
      </c>
      <c r="P13" s="3656">
        <v>2</v>
      </c>
      <c r="Q13" s="3656" t="s">
        <v>3025</v>
      </c>
      <c r="R13" s="3656"/>
      <c r="S13" s="3656" t="s">
        <v>3012</v>
      </c>
      <c r="T13" s="3659">
        <v>250000</v>
      </c>
      <c r="U13" s="3656">
        <v>3324</v>
      </c>
      <c r="V13" s="3660">
        <v>20.149999999999999</v>
      </c>
      <c r="W13" s="3661">
        <v>201500</v>
      </c>
      <c r="X13" s="3656">
        <v>2680</v>
      </c>
      <c r="Y13" s="3662">
        <v>0.05</v>
      </c>
      <c r="Z13" s="3660">
        <v>19.14</v>
      </c>
      <c r="AA13" s="3663">
        <v>191400</v>
      </c>
      <c r="AB13" s="3664">
        <v>2005</v>
      </c>
      <c r="AC13" s="3664">
        <v>11</v>
      </c>
      <c r="AD13" s="3664">
        <v>16</v>
      </c>
      <c r="AE13" s="3656">
        <v>600</v>
      </c>
      <c r="AF13" s="3656" t="s">
        <v>2980</v>
      </c>
      <c r="AG13" s="3656"/>
      <c r="AH13" s="3656" t="s">
        <v>3077</v>
      </c>
      <c r="AI13" s="3656" t="s">
        <v>2982</v>
      </c>
      <c r="AJ13" s="3656" t="s">
        <v>2983</v>
      </c>
      <c r="AK13" s="3656"/>
      <c r="AL13" s="3656" t="s">
        <v>3060</v>
      </c>
      <c r="AM13" s="3665"/>
      <c r="AN13" s="3666" t="s">
        <v>3078</v>
      </c>
      <c r="AO13" s="3664">
        <v>82253558</v>
      </c>
      <c r="AP13" s="3664"/>
      <c r="AQ13" s="3664" t="s">
        <v>3013</v>
      </c>
      <c r="AR13" s="3664"/>
      <c r="AS13" s="3656" t="s">
        <v>3077</v>
      </c>
      <c r="AT13" s="3656" t="s">
        <v>2989</v>
      </c>
      <c r="AU13" s="3664"/>
      <c r="AV13" s="3664"/>
      <c r="AW13" s="3664"/>
      <c r="AX13" s="3664"/>
      <c r="AY13" s="3664"/>
      <c r="AZ13" s="3664" t="s">
        <v>2990</v>
      </c>
      <c r="BA13" s="3664"/>
      <c r="BB13" s="3667"/>
      <c r="BC13" s="3664" t="s">
        <v>3079</v>
      </c>
      <c r="BD13" s="3664"/>
      <c r="BE13" s="3667"/>
      <c r="BF13" s="3664"/>
      <c r="BG13" s="3668"/>
      <c r="BH13" s="3664"/>
      <c r="BI13" s="3669"/>
      <c r="BJ13" s="3670">
        <v>38651</v>
      </c>
      <c r="BK13" s="3664"/>
      <c r="BL13" s="3656" t="s">
        <v>2981</v>
      </c>
      <c r="BM13" s="3671">
        <v>38670</v>
      </c>
      <c r="BN13" s="3671"/>
      <c r="BO13" s="3656" t="s">
        <v>2992</v>
      </c>
      <c r="BP13" s="3664" t="s">
        <v>2994</v>
      </c>
      <c r="BQ13" s="3664" t="s">
        <v>3038</v>
      </c>
      <c r="BR13" s="3664" t="s">
        <v>3080</v>
      </c>
      <c r="BS13" s="3664"/>
      <c r="BT13" s="3664" t="e">
        <v>#DIV/0!</v>
      </c>
      <c r="BU13" s="3664" t="e">
        <v>#DIV/0!</v>
      </c>
      <c r="BV13" s="3672"/>
      <c r="BW13" s="3672"/>
      <c r="BX13" s="3672"/>
    </row>
    <row r="14" spans="1:77" s="3672" customFormat="1" ht="12">
      <c r="A14" s="3656" t="s">
        <v>3081</v>
      </c>
      <c r="B14" s="3656" t="s">
        <v>3152</v>
      </c>
      <c r="C14" s="3656"/>
      <c r="D14" s="3656"/>
      <c r="E14" s="3656" t="s">
        <v>3082</v>
      </c>
      <c r="F14" s="3657" t="s">
        <v>3083</v>
      </c>
      <c r="G14" s="3657" t="s">
        <v>3084</v>
      </c>
      <c r="H14" s="3656" t="s">
        <v>3006</v>
      </c>
      <c r="I14" s="3656" t="s">
        <v>3056</v>
      </c>
      <c r="J14" s="3656"/>
      <c r="K14" s="3656" t="s">
        <v>3085</v>
      </c>
      <c r="L14" s="3656" t="s">
        <v>3086</v>
      </c>
      <c r="M14" s="3657" t="s">
        <v>3087</v>
      </c>
      <c r="N14" s="3656" t="s">
        <v>3082</v>
      </c>
      <c r="O14" s="3656">
        <v>81.48</v>
      </c>
      <c r="P14" s="3657" t="s">
        <v>3088</v>
      </c>
      <c r="Q14" s="3676" t="s">
        <v>3089</v>
      </c>
      <c r="R14" s="3656"/>
      <c r="S14" s="3656" t="s">
        <v>3047</v>
      </c>
      <c r="T14" s="3659">
        <v>255000</v>
      </c>
      <c r="U14" s="3656">
        <v>3130</v>
      </c>
      <c r="V14" s="3660">
        <v>21.18</v>
      </c>
      <c r="W14" s="3661">
        <v>211800</v>
      </c>
      <c r="X14" s="3656">
        <v>2600</v>
      </c>
      <c r="Y14" s="3662">
        <v>0.05</v>
      </c>
      <c r="Z14" s="3660">
        <v>20.12</v>
      </c>
      <c r="AA14" s="3663">
        <v>201200</v>
      </c>
      <c r="AB14" s="3664">
        <v>2005</v>
      </c>
      <c r="AC14" s="3664">
        <v>11</v>
      </c>
      <c r="AD14" s="3664">
        <v>25</v>
      </c>
      <c r="AE14" s="3656">
        <v>635</v>
      </c>
      <c r="AF14" s="3656" t="s">
        <v>3090</v>
      </c>
      <c r="AG14" s="3656"/>
      <c r="AH14" s="3656" t="s">
        <v>3091</v>
      </c>
      <c r="AI14" s="3656" t="s">
        <v>3092</v>
      </c>
      <c r="AJ14" s="3676" t="s">
        <v>2983</v>
      </c>
      <c r="AK14" s="3656"/>
      <c r="AL14" s="3656" t="s">
        <v>3060</v>
      </c>
      <c r="AM14" s="3665"/>
      <c r="AN14" s="3666" t="s">
        <v>3093</v>
      </c>
      <c r="AO14" s="3664"/>
      <c r="AP14" s="3664"/>
      <c r="AQ14" s="3664" t="s">
        <v>3094</v>
      </c>
      <c r="AR14" s="3664"/>
      <c r="AS14" s="3664" t="s">
        <v>3095</v>
      </c>
      <c r="AT14" s="3656" t="s">
        <v>2989</v>
      </c>
      <c r="AU14" s="3664"/>
      <c r="AV14" s="3664"/>
      <c r="AW14" s="3664"/>
      <c r="AX14" s="3664"/>
      <c r="AY14" s="3664"/>
      <c r="AZ14" s="3656" t="s">
        <v>3096</v>
      </c>
      <c r="BA14" s="3664"/>
      <c r="BB14" s="3667"/>
      <c r="BC14" s="3664" t="s">
        <v>3097</v>
      </c>
      <c r="BD14" s="3664"/>
      <c r="BE14" s="3667"/>
      <c r="BF14" s="3664"/>
      <c r="BG14" s="3668"/>
      <c r="BH14" s="3664"/>
      <c r="BI14" s="3669"/>
      <c r="BJ14" s="3670">
        <v>38649</v>
      </c>
      <c r="BK14" s="3664"/>
      <c r="BL14" s="3664" t="s">
        <v>3091</v>
      </c>
      <c r="BM14" s="3671">
        <v>38680</v>
      </c>
      <c r="BN14" s="3671"/>
      <c r="BO14" s="3656" t="s">
        <v>3098</v>
      </c>
      <c r="BP14" s="3664" t="s">
        <v>3099</v>
      </c>
      <c r="BQ14" s="3664" t="s">
        <v>3100</v>
      </c>
      <c r="BR14" s="3664" t="s">
        <v>3101</v>
      </c>
      <c r="BS14" s="3664"/>
      <c r="BT14" s="3664" t="e">
        <v>#DIV/0!</v>
      </c>
      <c r="BU14" s="3664" t="e">
        <v>#DIV/0!</v>
      </c>
      <c r="BY14" s="3673"/>
    </row>
    <row r="15" spans="1:77" s="3654" customFormat="1" ht="12">
      <c r="A15" s="3638" t="s">
        <v>3102</v>
      </c>
      <c r="B15" s="3638" t="s">
        <v>3153</v>
      </c>
      <c r="C15" s="3638" t="s">
        <v>3155</v>
      </c>
      <c r="D15" s="3638">
        <v>6</v>
      </c>
      <c r="E15" s="3638" t="s">
        <v>3103</v>
      </c>
      <c r="F15" s="3639" t="s">
        <v>3104</v>
      </c>
      <c r="G15" s="3639" t="s">
        <v>3105</v>
      </c>
      <c r="H15" s="3638" t="s">
        <v>3106</v>
      </c>
      <c r="I15" s="3640" t="s">
        <v>3107</v>
      </c>
      <c r="J15" s="3638"/>
      <c r="K15" s="3638" t="s">
        <v>3108</v>
      </c>
      <c r="L15" s="3638" t="s">
        <v>3109</v>
      </c>
      <c r="M15" s="3639" t="s">
        <v>3110</v>
      </c>
      <c r="N15" s="3638" t="s">
        <v>3103</v>
      </c>
      <c r="O15" s="3638">
        <v>109.48</v>
      </c>
      <c r="P15" s="3638">
        <v>4</v>
      </c>
      <c r="Q15" s="3638" t="s">
        <v>3111</v>
      </c>
      <c r="R15" s="3638"/>
      <c r="S15" s="3638" t="s">
        <v>3112</v>
      </c>
      <c r="T15" s="3641">
        <v>335000</v>
      </c>
      <c r="U15" s="3638">
        <v>3060</v>
      </c>
      <c r="V15" s="3642">
        <v>28.46</v>
      </c>
      <c r="W15" s="3643">
        <v>284600</v>
      </c>
      <c r="X15" s="3638">
        <v>2600</v>
      </c>
      <c r="Y15" s="3644">
        <v>0.05</v>
      </c>
      <c r="Z15" s="3642">
        <v>27.03</v>
      </c>
      <c r="AA15" s="3645">
        <v>270300</v>
      </c>
      <c r="AB15" s="3646">
        <v>2005</v>
      </c>
      <c r="AC15" s="3646">
        <v>12</v>
      </c>
      <c r="AD15" s="3646">
        <v>16</v>
      </c>
      <c r="AE15" s="3638">
        <v>850</v>
      </c>
      <c r="AF15" s="3638" t="s">
        <v>3090</v>
      </c>
      <c r="AG15" s="3638"/>
      <c r="AH15" s="3646" t="s">
        <v>3091</v>
      </c>
      <c r="AI15" s="3638" t="s">
        <v>3092</v>
      </c>
      <c r="AJ15" s="3638" t="s">
        <v>2983</v>
      </c>
      <c r="AK15" s="3638"/>
      <c r="AL15" s="3638" t="s">
        <v>3113</v>
      </c>
      <c r="AM15" s="3647"/>
      <c r="AN15" s="3648" t="s">
        <v>3114</v>
      </c>
      <c r="AO15" s="3646">
        <v>82253558</v>
      </c>
      <c r="AP15" s="3646"/>
      <c r="AQ15" s="3646" t="s">
        <v>3115</v>
      </c>
      <c r="AR15" s="3646"/>
      <c r="AS15" s="3638" t="s">
        <v>3095</v>
      </c>
      <c r="AT15" s="3638" t="s">
        <v>2989</v>
      </c>
      <c r="AU15" s="3646"/>
      <c r="AV15" s="3646"/>
      <c r="AW15" s="3646"/>
      <c r="AX15" s="3646"/>
      <c r="AY15" s="3646"/>
      <c r="AZ15" s="3646" t="s">
        <v>3096</v>
      </c>
      <c r="BA15" s="3646"/>
      <c r="BB15" s="3649"/>
      <c r="BC15" s="3646" t="s">
        <v>3116</v>
      </c>
      <c r="BD15" s="3646"/>
      <c r="BE15" s="3649"/>
      <c r="BF15" s="3646"/>
      <c r="BG15" s="3650"/>
      <c r="BH15" s="3646"/>
      <c r="BI15" s="3651"/>
      <c r="BJ15" s="3652">
        <v>38685</v>
      </c>
      <c r="BK15" s="3646"/>
      <c r="BL15" s="3646" t="s">
        <v>3117</v>
      </c>
      <c r="BM15" s="3653">
        <v>38698</v>
      </c>
      <c r="BN15" s="3653"/>
      <c r="BO15" s="3638" t="s">
        <v>3118</v>
      </c>
      <c r="BP15" s="3646" t="s">
        <v>3099</v>
      </c>
      <c r="BQ15" s="3646" t="s">
        <v>3100</v>
      </c>
      <c r="BR15" s="3638" t="s">
        <v>3119</v>
      </c>
      <c r="BS15" s="3646"/>
      <c r="BT15" s="3646" t="e">
        <v>#DIV/0!</v>
      </c>
      <c r="BU15" s="3646" t="e">
        <v>#DIV/0!</v>
      </c>
    </row>
    <row r="26" spans="5:8" ht="14.25" thickBot="1"/>
    <row r="27" spans="5:8" ht="29.25" thickBot="1">
      <c r="E27" s="3674" t="s">
        <v>3150</v>
      </c>
      <c r="F27" s="3675" t="s">
        <v>3150</v>
      </c>
      <c r="H27" s="3674" t="s">
        <v>3149</v>
      </c>
    </row>
  </sheetData>
  <mergeCells count="2">
    <mergeCell ref="AO1:AP1"/>
    <mergeCell ref="AO5:AP5"/>
  </mergeCells>
  <phoneticPr fontId="146"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2"/>
      <c r="C2" s="3162"/>
      <c r="D2" s="3162"/>
      <c r="E2" s="3162"/>
    </row>
    <row r="3" spans="1:5" ht="13.5" customHeight="1">
      <c r="A3" s="1362"/>
      <c r="B3" s="1362"/>
      <c r="C3" s="1362"/>
      <c r="D3" s="1362"/>
      <c r="E3" s="1362"/>
    </row>
    <row r="4" spans="1:5" ht="19.5" thickBot="1">
      <c r="A4" s="3163" t="str">
        <f>IF(项目基本情况!D5="房地产市场价值","估价结果一览表（市场价值不需本页表格)","估价结果一览表")</f>
        <v>估价结果一览表（市场价值不需本页表格)</v>
      </c>
      <c r="B4" s="3163"/>
      <c r="C4" s="3163"/>
      <c r="D4" s="3163"/>
      <c r="E4" s="3163"/>
    </row>
    <row r="5" spans="1:5" ht="14.25" customHeight="1" thickTop="1">
      <c r="A5" s="1359"/>
      <c r="B5" s="1363" t="s">
        <v>742</v>
      </c>
      <c r="C5" s="3164" t="s">
        <v>775</v>
      </c>
      <c r="D5" s="3165"/>
      <c r="E5" s="1359"/>
    </row>
    <row r="6" spans="1:5" ht="14.25">
      <c r="A6" s="1359"/>
      <c r="B6" s="1364" t="str">
        <f>项目基本情况!I1</f>
        <v>北京市房地产</v>
      </c>
      <c r="C6" s="3166">
        <f>项目基本情况!C12</f>
        <v>110.82</v>
      </c>
      <c r="D6" s="3166"/>
      <c r="E6" s="1359"/>
    </row>
    <row r="7" spans="1:5" ht="14.25">
      <c r="A7" s="1359"/>
      <c r="B7" s="3160" t="s">
        <v>776</v>
      </c>
      <c r="C7" s="1365" t="str">
        <f>IF('数据-取费表'!B3="万元","总价（万元）","总价（元）")</f>
        <v>总价（元）</v>
      </c>
      <c r="D7" s="1366">
        <f>IF('数据-取费表'!E3="否",结果表!I102,'结果表 (1修多)'!I104)</f>
        <v>0</v>
      </c>
      <c r="E7" s="1359"/>
    </row>
    <row r="8" spans="1:5" ht="14.25">
      <c r="A8" s="1359"/>
      <c r="B8" s="3160"/>
      <c r="C8" s="1367" t="s">
        <v>1162</v>
      </c>
      <c r="D8" s="1368" t="str">
        <f>IF('数据-取费表'!B3="万元",NUMBERSTRING(INT(D7*10000),2)&amp;"元整",NUMBERSTRING(INT(D7),2)&amp;"元整")</f>
        <v>零元整</v>
      </c>
      <c r="E8" s="1359"/>
    </row>
    <row r="9" spans="1:5" ht="14.25">
      <c r="A9" s="1359"/>
      <c r="B9" s="3160"/>
      <c r="C9" s="1369" t="s">
        <v>1259</v>
      </c>
      <c r="D9" s="1366" t="e">
        <f>IF('数据-取费表'!E3="否",结果表!I103,'结果表 (1修多)'!I105)</f>
        <v>#DIV/0!</v>
      </c>
      <c r="E9" s="1359"/>
    </row>
    <row r="10" spans="1:5" ht="14.25">
      <c r="A10" s="1359"/>
      <c r="B10" s="316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7" t="str">
        <f>IF('数据-取费表'!E3="否",结果表!F110,'结果表 (1修多)'!F112)</f>
        <v>3.房地产抵押价值</v>
      </c>
      <c r="C15" s="1360" t="str">
        <f>C7</f>
        <v>总价（元）</v>
      </c>
      <c r="D15" s="1366">
        <f>IF('数据-取费表'!E3="否",结果表!I110,'结果表 (1修多)'!I112)</f>
        <v>0</v>
      </c>
      <c r="E15" s="1359"/>
    </row>
    <row r="16" spans="1:5" ht="14.25">
      <c r="A16" s="1359"/>
      <c r="B16" s="3167"/>
      <c r="C16" s="1367" t="s">
        <v>1162</v>
      </c>
      <c r="D16" s="1366" t="str">
        <f>IF('数据-取费表'!B3="万元",NUMBERSTRING(INT(D15*10000),2)&amp;"元整",NUMBERSTRING(INT(D15),2)&amp;"元整")</f>
        <v>零元整</v>
      </c>
      <c r="E16" s="1359"/>
    </row>
    <row r="17" spans="1:5" ht="14.25">
      <c r="A17" s="1359"/>
      <c r="B17" s="3167"/>
      <c r="C17" s="1369" t="s">
        <v>1259</v>
      </c>
      <c r="D17" s="1366" t="e">
        <f>IF('数据-取费表'!E3="否",结果表!I111,'结果表 (1修多)'!I113)</f>
        <v>#DIV/0!</v>
      </c>
      <c r="E17" s="1359"/>
    </row>
    <row r="18" spans="1:5" ht="14.25">
      <c r="A18" s="1359"/>
      <c r="B18" s="3167" t="str">
        <f>IF('数据-取费表'!E3="否",结果表!F112,'结果表 (1修多)'!F114)</f>
        <v>——</v>
      </c>
      <c r="C18" s="1360" t="str">
        <f>C7</f>
        <v>总价（元）</v>
      </c>
      <c r="D18" s="1366" t="str">
        <f>IF('数据-取费表'!E3="否",结果表!I112,'结果表 (1修多)'!I114)</f>
        <v>——</v>
      </c>
      <c r="E18" s="1359"/>
    </row>
    <row r="19" spans="1:5" ht="14.25">
      <c r="A19" s="1359"/>
      <c r="B19" s="3167"/>
      <c r="C19" s="1367" t="s">
        <v>1162</v>
      </c>
      <c r="D19" s="1366" t="e">
        <f>IF('数据-取费表'!B3="万元",NUMBERSTRING(INT(D18*10000),2)&amp;"元整",NUMBERSTRING(INT(D18),2)&amp;"元整")</f>
        <v>#VALUE!</v>
      </c>
      <c r="E19" s="1359"/>
    </row>
    <row r="20" spans="1:5" ht="14.25">
      <c r="A20" s="1359"/>
      <c r="B20" s="3167"/>
      <c r="C20" s="1369" t="s">
        <v>1259</v>
      </c>
      <c r="D20" s="1366" t="str">
        <f>IF('数据-取费表'!E3="否",结果表!I113,'结果表 (1修多)'!I115)</f>
        <v>——</v>
      </c>
      <c r="E20" s="1359"/>
    </row>
    <row r="21" spans="1:5" ht="14.25">
      <c r="A21" s="1359"/>
      <c r="B21" s="3160" t="str">
        <f>IF('数据-取费表'!E3="否",结果表!F114,'结果表 (1修多)'!F116)</f>
        <v>——</v>
      </c>
      <c r="C21" s="1365" t="str">
        <f>C7</f>
        <v>总价（元）</v>
      </c>
      <c r="D21" s="1366" t="str">
        <f>IF('数据-取费表'!E3="否",结果表!I114,'结果表 (1修多)'!I116)</f>
        <v>——</v>
      </c>
      <c r="E21" s="1359"/>
    </row>
    <row r="22" spans="1:5" ht="14.25">
      <c r="A22" s="1359"/>
      <c r="B22" s="3160"/>
      <c r="C22" s="1367" t="s">
        <v>1162</v>
      </c>
      <c r="D22" s="1368" t="e">
        <f>IF('数据-取费表'!B3="万元",NUMBERSTRING(INT(D21*10000),2)&amp;"元整",NUMBERSTRING(INT(D21),2)&amp;"元整")</f>
        <v>#VALUE!</v>
      </c>
      <c r="E22" s="1359"/>
    </row>
    <row r="23" spans="1:5" ht="15" thickBot="1">
      <c r="A23" s="1359"/>
      <c r="B23" s="3161"/>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5" t="s">
        <v>1260</v>
      </c>
      <c r="C25" s="3175"/>
      <c r="D25" s="3175"/>
      <c r="E25" s="1359"/>
    </row>
    <row r="26" spans="1:5" ht="18.75" customHeight="1" thickTop="1">
      <c r="A26" s="1359"/>
      <c r="B26" s="3178" t="s">
        <v>1161</v>
      </c>
      <c r="C26" s="3179"/>
      <c r="D26" s="3176" t="s">
        <v>1160</v>
      </c>
      <c r="E26" s="1359"/>
    </row>
    <row r="27" spans="1:5" ht="18.75" customHeight="1">
      <c r="A27" s="1359"/>
      <c r="B27" s="3180"/>
      <c r="C27" s="3181"/>
      <c r="D27" s="3177"/>
      <c r="E27" s="1359"/>
    </row>
    <row r="28" spans="1:5" ht="14.25">
      <c r="A28" s="1359"/>
      <c r="B28" s="3168" t="s">
        <v>776</v>
      </c>
      <c r="C28" s="1376" t="s">
        <v>1163</v>
      </c>
      <c r="D28" s="1377">
        <f>IF('数据-取费表'!E3="否",结果表!I102,'结果表 (1修多)'!I104)</f>
        <v>0</v>
      </c>
      <c r="E28" s="1359"/>
    </row>
    <row r="29" spans="1:5" ht="14.25">
      <c r="A29" s="1359"/>
      <c r="B29" s="3169"/>
      <c r="C29" s="1378" t="s">
        <v>1162</v>
      </c>
      <c r="D29" s="1379" t="str">
        <f>IF('数据-取费表'!B3="万元",NUMBERSTRING(INT(D28*10000),2)&amp;"元整",NUMBERSTRING(INT(D28),2)&amp;"元整")</f>
        <v>零元整</v>
      </c>
      <c r="E29" s="1359"/>
    </row>
    <row r="30" spans="1:5" ht="14.25">
      <c r="A30" s="1359"/>
      <c r="B30" s="3170"/>
      <c r="C30" s="1369" t="s">
        <v>1165</v>
      </c>
      <c r="D30" s="1380" t="e">
        <f>IF('数据-取费表'!E3="否",结果表!I103,'结果表 (1修多)'!I105)</f>
        <v>#DIV/0!</v>
      </c>
      <c r="E30" s="1359"/>
    </row>
    <row r="31" spans="1:5" ht="14.25">
      <c r="A31" s="1359"/>
      <c r="B31" s="3173" t="str">
        <f>B10</f>
        <v>2.估价师所知悉的法定优先受偿款</v>
      </c>
      <c r="C31" s="1381" t="s">
        <v>1164</v>
      </c>
      <c r="D31" s="1382">
        <f>IF('数据-取费表'!E3="否",结果表!I105,'结果表 (1修多)'!I107)</f>
        <v>0</v>
      </c>
      <c r="E31" s="1359"/>
    </row>
    <row r="32" spans="1:5" ht="14.25">
      <c r="A32" s="1359"/>
      <c r="B32" s="31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1" t="str">
        <f>B15</f>
        <v>3.房地产抵押价值</v>
      </c>
      <c r="C36" s="1381" t="str">
        <f>C28</f>
        <v>总价</v>
      </c>
      <c r="D36" s="1382">
        <f>IF('数据-取费表'!E3="否",结果表!I110,'结果表 (1修多)'!I112)</f>
        <v>0</v>
      </c>
      <c r="E36" s="1359"/>
    </row>
    <row r="37" spans="1:5" ht="14.25">
      <c r="A37" s="1359"/>
      <c r="B37" s="3171"/>
      <c r="C37" s="1378" t="s">
        <v>1162</v>
      </c>
      <c r="D37" s="1383" t="str">
        <f>IF('数据-取费表'!B3="万元",NUMBERSTRING(INT(D36*10000),2)&amp;"元整",NUMBERSTRING(INT(D36),2)&amp;"元整")</f>
        <v>零元整</v>
      </c>
      <c r="E37" s="1359"/>
    </row>
    <row r="38" spans="1:5" ht="14.25">
      <c r="A38" s="1359"/>
      <c r="B38" s="3171"/>
      <c r="C38" s="1369" t="s">
        <v>1166</v>
      </c>
      <c r="D38" s="1380" t="e">
        <f>IF('数据-取费表'!E3="否",结果表!D113,'结果表 (1修多)'!D117)</f>
        <v>#DIV/0!</v>
      </c>
      <c r="E38" s="1359"/>
    </row>
    <row r="39" spans="1:5" ht="14.25">
      <c r="A39" s="1359"/>
      <c r="B39" s="3172" t="str">
        <f>B18</f>
        <v>——</v>
      </c>
      <c r="C39" s="1381" t="str">
        <f>C28</f>
        <v>总价</v>
      </c>
      <c r="D39" s="1382" t="str">
        <f>IF('数据-取费表'!E3="否",结果表!I112,'结果表 (1修多)'!I114)</f>
        <v>——</v>
      </c>
      <c r="E39" s="1359"/>
    </row>
    <row r="40" spans="1:5" ht="14.25">
      <c r="A40" s="1359"/>
      <c r="B40" s="3172"/>
      <c r="C40" s="1378" t="s">
        <v>1162</v>
      </c>
      <c r="D40" s="1383" t="e">
        <f>IF('数据-取费表'!B3="万元",NUMBERSTRING(INT(D39*10000),2)&amp;"元整",NUMBERSTRING(INT(D39),2)&amp;"元整")</f>
        <v>#VALUE!</v>
      </c>
      <c r="E40" s="1359"/>
    </row>
    <row r="41" spans="1:5" ht="14.25">
      <c r="A41" s="1359"/>
      <c r="B41" s="3172"/>
      <c r="C41" s="1369" t="s">
        <v>1166</v>
      </c>
      <c r="D41" s="1380" t="str">
        <f>IF('数据-取费表'!E3="否",结果表!D115,'结果表 (1修多)'!D119)</f>
        <v>——</v>
      </c>
      <c r="E41" s="1359"/>
    </row>
    <row r="42" spans="1:5" ht="14.25">
      <c r="A42" s="1359"/>
      <c r="B42" s="3171" t="str">
        <f>B21</f>
        <v>——</v>
      </c>
      <c r="C42" s="1381" t="str">
        <f>C28</f>
        <v>总价</v>
      </c>
      <c r="D42" s="1382" t="str">
        <f>IF('数据-取费表'!E3="否",结果表!I114,'结果表 (1修多)'!I116)</f>
        <v>——</v>
      </c>
      <c r="E42" s="1359"/>
    </row>
    <row r="43" spans="1:5" ht="14.25">
      <c r="A43" s="1359"/>
      <c r="B43" s="3173"/>
      <c r="C43" s="1378" t="s">
        <v>1162</v>
      </c>
      <c r="D43" s="1384" t="e">
        <f>IF('数据-取费表'!B3="万元",NUMBERSTRING(INT(D42*10000),2)&amp;"元整",NUMBERSTRING(INT(D42),2)&amp;"元整")</f>
        <v>#VALUE!</v>
      </c>
      <c r="E43" s="1359"/>
    </row>
    <row r="44" spans="1:5" ht="15" thickBot="1">
      <c r="A44" s="1359"/>
      <c r="B44" s="317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9" t="str">
        <f>IF(项目基本情况!D5="房地产市场价值","估价结果一览表","结果表-2")</f>
        <v>估价结果一览表</v>
      </c>
      <c r="B1" s="3189"/>
      <c r="C1" s="3189"/>
      <c r="D1" s="3189"/>
      <c r="E1" s="3189"/>
      <c r="F1" s="3189"/>
      <c r="G1" s="3189"/>
      <c r="H1" s="3189"/>
      <c r="I1" s="3189"/>
    </row>
    <row r="2" spans="1:9" ht="30" customHeight="1" thickTop="1">
      <c r="A2" s="3190" t="s">
        <v>1261</v>
      </c>
      <c r="B2" s="3190" t="s">
        <v>1262</v>
      </c>
      <c r="C2" s="3190" t="s">
        <v>1263</v>
      </c>
      <c r="D2" s="3190" t="str">
        <f>IF('数据-取费表'!E3="否",结果表!D119,'结果表 (1修多)'!D123)</f>
        <v>出让国有建设用地使用权价值</v>
      </c>
      <c r="E2" s="3190"/>
      <c r="F2" s="3190" t="s">
        <v>1264</v>
      </c>
      <c r="G2" s="3190"/>
      <c r="H2" s="3190" t="s">
        <v>1265</v>
      </c>
      <c r="I2" s="3190"/>
    </row>
    <row r="3" spans="1:9" ht="15">
      <c r="A3" s="3185"/>
      <c r="B3" s="3185"/>
      <c r="C3" s="3185"/>
      <c r="D3" s="818" t="s">
        <v>1266</v>
      </c>
      <c r="E3" s="818" t="s">
        <v>1267</v>
      </c>
      <c r="F3" s="818" t="s">
        <v>1266</v>
      </c>
      <c r="G3" s="818" t="s">
        <v>1268</v>
      </c>
      <c r="H3" s="818" t="s">
        <v>1266</v>
      </c>
      <c r="I3" s="818" t="s">
        <v>1268</v>
      </c>
    </row>
    <row r="4" spans="1:9" ht="46.5" customHeight="1">
      <c r="A4" s="818" t="str">
        <f>项目基本情况!I1</f>
        <v>北京市房地产</v>
      </c>
      <c r="B4" s="818">
        <f>结果表!B121</f>
        <v>110.82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5" t="s">
        <v>1269</v>
      </c>
      <c r="B5" s="3185"/>
      <c r="C5" s="3185"/>
      <c r="D5" s="3183" t="str">
        <f>IF('数据-取费表'!E3="否",结果表!D122,'结果表 (1修多)'!D126)</f>
        <v>零元整</v>
      </c>
      <c r="E5" s="3183"/>
      <c r="F5" s="3183" t="str">
        <f>IF('数据-取费表'!E3="否",结果表!F122,'结果表 (1修多)'!F126)</f>
        <v>零元整</v>
      </c>
      <c r="G5" s="3183"/>
      <c r="H5" s="3183" t="str">
        <f>IF('数据-取费表'!E3="否",结果表!H122,'结果表 (1修多)'!H126)</f>
        <v>零元整</v>
      </c>
      <c r="I5" s="3183"/>
    </row>
    <row r="6" spans="1:9" ht="15.75">
      <c r="A6" s="3184" t="str">
        <f>IF('数据-取费表'!E3="否",结果表!A123,'结果表 (1修多)'!A127)</f>
        <v>——</v>
      </c>
      <c r="B6" s="3184"/>
      <c r="C6" s="3184"/>
      <c r="D6" s="3184">
        <f>IF('数据-取费表'!E3="否",结果表!D123,'结果表 (1修多)'!D127)</f>
        <v>0</v>
      </c>
      <c r="E6" s="3184"/>
      <c r="F6" s="3184"/>
      <c r="G6" s="3184"/>
      <c r="H6" s="3184"/>
      <c r="I6" s="3184"/>
    </row>
    <row r="7" spans="1:9" ht="15">
      <c r="A7" s="3185" t="s">
        <v>1269</v>
      </c>
      <c r="B7" s="3185"/>
      <c r="C7" s="3185"/>
      <c r="D7" s="3186">
        <f>IF('数据-取费表'!E3="否",结果表!D124,'结果表 (1修多)'!D128)</f>
        <v>0</v>
      </c>
      <c r="E7" s="3187"/>
      <c r="F7" s="3187"/>
      <c r="G7" s="3187"/>
      <c r="H7" s="3187"/>
      <c r="I7" s="3188"/>
    </row>
    <row r="8" spans="1:9" ht="15.75">
      <c r="A8" s="3184" t="str">
        <f>IF('数据-取费表'!E3="否",结果表!A125,'结果表 (1修多)'!A129)</f>
        <v>——</v>
      </c>
      <c r="B8" s="3184"/>
      <c r="C8" s="3184"/>
      <c r="D8" s="3184">
        <f>IF('数据-取费表'!E3="否",结果表!D125,'结果表 (1修多)'!D129)</f>
        <v>0</v>
      </c>
      <c r="E8" s="3184"/>
      <c r="F8" s="3184"/>
      <c r="G8" s="3184"/>
      <c r="H8" s="3184"/>
      <c r="I8" s="3184"/>
    </row>
    <row r="9" spans="1:9" ht="15">
      <c r="A9" s="3185" t="s">
        <v>1269</v>
      </c>
      <c r="B9" s="3185"/>
      <c r="C9" s="3185"/>
      <c r="D9" s="3183" t="e">
        <f>IF('数据-取费表'!E3="否",结果表!D126,'结果表 (1修多)'!D130)</f>
        <v>#DIV/0!</v>
      </c>
      <c r="E9" s="3183"/>
      <c r="F9" s="3183"/>
      <c r="G9" s="3183"/>
      <c r="H9" s="3183"/>
      <c r="I9" s="3183"/>
    </row>
    <row r="10" spans="1:9" ht="15.75">
      <c r="A10" s="3184" t="str">
        <f>IF('数据-取费表'!E3="否",结果表!A127,'结果表 (1修多)'!A131)</f>
        <v>——</v>
      </c>
      <c r="B10" s="3184"/>
      <c r="C10" s="3184"/>
      <c r="D10" s="3184" t="e">
        <f>IF('数据-取费表'!E3="否",结果表!D127,'结果表 (1修多)'!D130)</f>
        <v>#DIV/0!</v>
      </c>
      <c r="E10" s="3184"/>
      <c r="F10" s="3184"/>
      <c r="G10" s="3184"/>
      <c r="H10" s="3184"/>
      <c r="I10" s="3184"/>
    </row>
    <row r="11" spans="1:9" ht="15">
      <c r="A11" s="3185" t="s">
        <v>1269</v>
      </c>
      <c r="B11" s="3185"/>
      <c r="C11" s="3185"/>
      <c r="D11" s="3183" t="str">
        <f>IF('数据-取费表'!E3="否",结果表!D128,'结果表 (1修多)'!D132)</f>
        <v>——</v>
      </c>
      <c r="E11" s="3183"/>
      <c r="F11" s="3183"/>
      <c r="G11" s="3183"/>
      <c r="H11" s="3183"/>
      <c r="I11" s="3183"/>
    </row>
    <row r="12" spans="1:9" ht="15.75">
      <c r="A12" s="3184" t="str">
        <f>IF('数据-取费表'!E3="否",结果表!A129,'结果表 (1修多)'!A133)</f>
        <v>——</v>
      </c>
      <c r="B12" s="3184"/>
      <c r="C12" s="3184"/>
      <c r="D12" s="3184" t="str">
        <f>IF('数据-取费表'!E3="否",结果表!D129,'结果表 (1修多)'!D133)</f>
        <v>——</v>
      </c>
      <c r="E12" s="3184"/>
      <c r="F12" s="3184"/>
      <c r="G12" s="3184"/>
      <c r="H12" s="3184"/>
      <c r="I12" s="3184"/>
    </row>
    <row r="13" spans="1:9" ht="15.75" thickBot="1">
      <c r="A13" s="3191" t="s">
        <v>1269</v>
      </c>
      <c r="B13" s="3191"/>
      <c r="C13" s="3191"/>
      <c r="D13" s="3192">
        <f>IF('数据-取费表'!E3="否",结果表!D130,'结果表 (1修多)'!D134)</f>
        <v>0</v>
      </c>
      <c r="E13" s="3192"/>
      <c r="F13" s="3192"/>
      <c r="G13" s="3192"/>
      <c r="H13" s="3192"/>
      <c r="I13" s="3192"/>
    </row>
    <row r="14" spans="1:9" ht="15" thickTop="1">
      <c r="A14" s="3193" t="str">
        <f>IF('数据-取费表'!E3="否",结果表!A131,'结果表 (1修多)'!A135)</f>
        <v>单位：平方米、元、元/平方米（币种：人民币）</v>
      </c>
      <c r="B14" s="3193"/>
      <c r="C14" s="3193"/>
      <c r="D14" s="3193"/>
      <c r="E14" s="3193"/>
      <c r="F14" s="3193"/>
      <c r="G14" s="3193"/>
      <c r="H14" s="3193"/>
      <c r="I14" s="319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1282</v>
      </c>
      <c r="B1" s="3198"/>
      <c r="C1" s="3198"/>
      <c r="D1" s="3198"/>
    </row>
    <row r="2" spans="1:4" ht="18">
      <c r="A2" s="3197" t="s">
        <v>1271</v>
      </c>
      <c r="B2" s="3197"/>
      <c r="C2" s="3197"/>
      <c r="D2" s="3197"/>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97" t="s">
        <v>1276</v>
      </c>
      <c r="B7" s="3197"/>
      <c r="C7" s="3197"/>
      <c r="D7" s="319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4" t="s">
        <v>2738</v>
      </c>
      <c r="B12" s="3196"/>
      <c r="C12" s="3196"/>
      <c r="D12" s="3196"/>
    </row>
    <row r="13" spans="1:4" ht="15.75">
      <c r="A13" s="31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6"/>
      <c r="C13" s="3196"/>
      <c r="D13" s="3196"/>
    </row>
    <row r="14" spans="1:4" ht="30" customHeight="1">
      <c r="A14" s="3194" t="str">
        <f>IF(项目基本情况!D4="抵押","3.抵押双方在办理抵押登记手续时，应使用本公司出具的正式《不动产估价报告书》，特提醒报告使用者注意。","——")</f>
        <v>——</v>
      </c>
      <c r="B14" s="3196"/>
      <c r="C14" s="3196"/>
      <c r="D14" s="3196"/>
    </row>
    <row r="15" spans="1:4" ht="15.75" customHeight="1">
      <c r="A15" s="3194" t="str">
        <f>IF(项目基本情况!D4="抵押","4.本次评估估价师所知悉的法定优先受偿款情况说明如下：","——")</f>
        <v>——</v>
      </c>
      <c r="B15" s="3196"/>
      <c r="C15" s="3196"/>
      <c r="D15" s="3196"/>
    </row>
    <row r="16" spans="1:4" ht="75" customHeight="1">
      <c r="A16" s="3194" t="str">
        <f>IF(项目基本情况!D4="抵押",CONCATENATE(项目基本情况!J13,项目基本情况!J14,项目基本情况!J15),"——")</f>
        <v>——</v>
      </c>
      <c r="B16" s="3194"/>
      <c r="C16" s="3194"/>
      <c r="D16" s="3194"/>
    </row>
    <row r="17" spans="1:4" ht="63.75" customHeight="1">
      <c r="A17" s="3195" t="s">
        <v>1284</v>
      </c>
      <c r="B17" s="3195"/>
      <c r="C17" s="3195"/>
      <c r="D17" s="3195"/>
    </row>
    <row r="18" spans="1:4" ht="15.75" customHeight="1">
      <c r="A18" s="3194" t="str">
        <f>IF(项目基本情况!D4="抵押",结果表!L106,"——")</f>
        <v>——</v>
      </c>
      <c r="B18" s="3194"/>
      <c r="C18" s="3194"/>
      <c r="D18" s="3194"/>
    </row>
    <row r="19" spans="1:4" ht="46.5" customHeight="1">
      <c r="A19" s="31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15">
      <c r="A20" s="3195" t="s">
        <v>2739</v>
      </c>
      <c r="B20" s="3195"/>
      <c r="C20" s="3195"/>
      <c r="D20" s="319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4" t="s">
        <v>1363</v>
      </c>
      <c r="B15" s="3199" t="s">
        <v>1364</v>
      </c>
      <c r="C15" s="3200"/>
    </row>
    <row r="16" spans="1:7" ht="14.25">
      <c r="A16" s="3205"/>
      <c r="B16" s="3199" t="s">
        <v>1365</v>
      </c>
      <c r="C16" s="3200"/>
    </row>
    <row r="17" spans="1:3" ht="14.25">
      <c r="A17" s="3205"/>
      <c r="B17" s="3199" t="s">
        <v>1366</v>
      </c>
      <c r="C17" s="3200"/>
    </row>
    <row r="18" spans="1:3" ht="14.25">
      <c r="A18" s="3206"/>
      <c r="B18" s="3201" t="s">
        <v>1367</v>
      </c>
      <c r="C18" s="3200"/>
    </row>
    <row r="19" spans="1:3" ht="14.25">
      <c r="A19" s="1412" t="s">
        <v>1368</v>
      </c>
      <c r="B19" s="1413"/>
      <c r="C19" s="1414"/>
    </row>
    <row r="20" spans="1:3" ht="14.25">
      <c r="A20" s="3202" t="s">
        <v>1369</v>
      </c>
      <c r="B20" s="3201" t="s">
        <v>1370</v>
      </c>
      <c r="C20" s="3200"/>
    </row>
    <row r="21" spans="1:3" ht="14.25">
      <c r="A21" s="3202"/>
      <c r="B21" s="3201" t="s">
        <v>1371</v>
      </c>
      <c r="C21" s="3200"/>
    </row>
    <row r="22" spans="1:3" ht="14.25">
      <c r="A22" s="3202"/>
      <c r="B22" s="3201" t="s">
        <v>1372</v>
      </c>
      <c r="C22" s="3200"/>
    </row>
    <row r="23" spans="1:3" ht="14.25">
      <c r="A23" s="3202"/>
      <c r="B23" s="3203" t="s">
        <v>1373</v>
      </c>
      <c r="C23" s="1415" t="s">
        <v>1374</v>
      </c>
    </row>
    <row r="24" spans="1:3" ht="14.25">
      <c r="A24" s="3202"/>
      <c r="B24" s="3203"/>
      <c r="C24" s="1415" t="s">
        <v>1375</v>
      </c>
    </row>
    <row r="25" spans="1:3" ht="14.25">
      <c r="A25" s="3202"/>
      <c r="B25" s="3203"/>
      <c r="C25" s="1415" t="s">
        <v>1376</v>
      </c>
    </row>
    <row r="26" spans="1:3" ht="14.25">
      <c r="A26" s="3202"/>
      <c r="B26" s="3203"/>
      <c r="C26" s="1415" t="s">
        <v>1377</v>
      </c>
    </row>
    <row r="27" spans="1:3" ht="14.25">
      <c r="A27" s="3202"/>
      <c r="B27" s="3203"/>
      <c r="C27" s="1415" t="s">
        <v>1378</v>
      </c>
    </row>
    <row r="28" spans="1:3" ht="14.25">
      <c r="A28" s="3202"/>
      <c r="B28" s="3203"/>
      <c r="C28" s="1415" t="s">
        <v>1379</v>
      </c>
    </row>
    <row r="29" spans="1:3" ht="14.25">
      <c r="A29" s="3202"/>
      <c r="B29" s="3203"/>
      <c r="C29" s="1415" t="s">
        <v>1380</v>
      </c>
    </row>
    <row r="30" spans="1:3" ht="14.25">
      <c r="A30" s="3202"/>
      <c r="B30" s="3203"/>
      <c r="C30" s="1415" t="s">
        <v>1381</v>
      </c>
    </row>
    <row r="31" spans="1:3" ht="14.25">
      <c r="A31" s="3202"/>
      <c r="B31" s="320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44284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07" t="s">
        <v>762</v>
      </c>
      <c r="B17" s="3207"/>
      <c r="C17" s="3207"/>
      <c r="D17" s="3207"/>
      <c r="E17" s="3207"/>
      <c r="F17" s="3207"/>
      <c r="G17" s="3207"/>
      <c r="H17" s="3207"/>
    </row>
    <row r="18" spans="1:8" ht="24" customHeight="1">
      <c r="A18" s="3208" t="s">
        <v>763</v>
      </c>
      <c r="B18" s="3208"/>
      <c r="C18" s="3208"/>
      <c r="D18" s="3069"/>
      <c r="E18" s="3209" t="s">
        <v>764</v>
      </c>
      <c r="F18" s="3208"/>
      <c r="G18" s="3208"/>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本次估价的“房地产价值”是指在正常市场情况下，在价值时点2005年12月19日，估价对象规划用途为，假定未设立法定优先受偿款下的房地产市场价值。</v>
      </c>
    </row>
    <row r="54" spans="1:4">
      <c r="A54" s="3210"/>
      <c r="B54" s="9" t="s">
        <v>1519</v>
      </c>
      <c r="C54" s="9" t="s">
        <v>1520</v>
      </c>
    </row>
    <row r="55" spans="1:4">
      <c r="A55" s="3210"/>
      <c r="B55" s="9" t="s">
        <v>1521</v>
      </c>
      <c r="C55" s="9" t="s">
        <v>1522</v>
      </c>
    </row>
    <row r="56" spans="1:4">
      <c r="A56" s="3210"/>
      <c r="B56" s="9" t="s">
        <v>1523</v>
      </c>
      <c r="C56" s="9" t="s">
        <v>1524</v>
      </c>
    </row>
    <row r="57" spans="1:4">
      <c r="A57" s="321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2021-03-29T06:59:21Z</dcterms:modified>
</cp:coreProperties>
</file>