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测算\天竺\"/>
    </mc:Choice>
  </mc:AlternateContent>
  <bookViews>
    <workbookView xWindow="8430" yWindow="0" windowWidth="14340" windowHeight="10785" tabRatio="875" firstSheet="12"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新增项目" sheetId="73" state="hidden" r:id="rId11"/>
    <sheet name="在施项目" sheetId="72" state="hidden" r:id="rId12"/>
    <sheet name="项目基本情况" sheetId="4" r:id="rId13"/>
    <sheet name="数据-基础表" sheetId="3" r:id="rId14"/>
    <sheet name="数据-汇总表" sheetId="6" state="hidden" r:id="rId15"/>
    <sheet name="数据-取费表" sheetId="1" state="hidden"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66" l="1"/>
  <c r="D15" i="66"/>
  <c r="D16" i="66"/>
  <c r="D17" i="66"/>
  <c r="D14" i="66"/>
  <c r="A3" i="3" l="1"/>
  <c r="F19" i="6" l="1"/>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F50" i="75" s="1"/>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H58" i="75" l="1"/>
  <c r="G58" i="75" s="1"/>
  <c r="H54" i="75"/>
  <c r="G54" i="75" s="1"/>
  <c r="H57" i="75"/>
  <c r="G57" i="75" s="1"/>
  <c r="H50" i="75"/>
  <c r="G50" i="75" s="1"/>
  <c r="H53" i="75"/>
  <c r="G53" i="75" s="1"/>
  <c r="H51" i="75"/>
  <c r="G51" i="75" s="1"/>
  <c r="H55" i="75"/>
  <c r="G55" i="75" s="1"/>
  <c r="H52" i="75"/>
  <c r="G52" i="75" s="1"/>
  <c r="H56" i="75"/>
  <c r="G56"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K52" i="75" l="1"/>
  <c r="M52" i="75"/>
  <c r="N52" i="75" s="1"/>
  <c r="M51" i="75"/>
  <c r="N51" i="75" s="1"/>
  <c r="K51" i="75"/>
  <c r="K50" i="75"/>
  <c r="M50" i="75"/>
  <c r="N50" i="75" s="1"/>
  <c r="K54" i="75"/>
  <c r="M54" i="75"/>
  <c r="N54" i="75" s="1"/>
  <c r="K56" i="75"/>
  <c r="M56" i="75"/>
  <c r="N56" i="75" s="1"/>
  <c r="M55" i="75"/>
  <c r="N55" i="75" s="1"/>
  <c r="K55" i="75"/>
  <c r="M53" i="75"/>
  <c r="N53" i="75" s="1"/>
  <c r="K53" i="75"/>
  <c r="M57" i="75"/>
  <c r="N57" i="75" s="1"/>
  <c r="K57" i="75"/>
  <c r="K58" i="75"/>
  <c r="M58" i="75"/>
  <c r="N58" i="75" s="1"/>
  <c r="C5" i="75"/>
  <c r="P28" i="70"/>
  <c r="P26" i="70"/>
  <c r="J57" i="75" l="1"/>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12" i="67"/>
  <c r="N3" i="65"/>
  <c r="M24" i="15"/>
  <c r="F11" i="44"/>
  <c r="F40" i="44"/>
  <c r="E8" i="67"/>
  <c r="J36" i="15"/>
  <c r="F26" i="15"/>
  <c r="F13" i="15"/>
  <c r="J3" i="65"/>
  <c r="M24" i="44"/>
  <c r="F36" i="15"/>
  <c r="M31" i="44"/>
  <c r="F10" i="44"/>
  <c r="F9" i="44"/>
  <c r="M23" i="15"/>
  <c r="M22" i="15"/>
  <c r="F40" i="15"/>
  <c r="E10" i="67"/>
  <c r="M10" i="44"/>
  <c r="F14" i="67"/>
  <c r="F37" i="15"/>
  <c r="F38" i="44"/>
  <c r="F16" i="15"/>
  <c r="F28" i="44"/>
  <c r="E11" i="67"/>
  <c r="F8" i="15"/>
  <c r="B9" i="67"/>
  <c r="F6" i="15"/>
  <c r="N4" i="65"/>
  <c r="F13" i="67"/>
  <c r="B10" i="67"/>
  <c r="F10" i="67"/>
  <c r="F39" i="44"/>
  <c r="E13" i="67"/>
  <c r="N5" i="65"/>
  <c r="M8" i="44"/>
  <c r="M9" i="15"/>
  <c r="L49" i="44"/>
  <c r="M28" i="44"/>
  <c r="B13" i="67"/>
  <c r="F38" i="15"/>
  <c r="M6" i="15"/>
  <c r="F15" i="44"/>
  <c r="F8" i="44"/>
  <c r="N7" i="65"/>
  <c r="N6" i="65"/>
  <c r="F43" i="44"/>
  <c r="B8" i="67"/>
  <c r="E14" i="67"/>
  <c r="F43" i="15"/>
  <c r="L48" i="15"/>
  <c r="F9" i="15"/>
  <c r="M30" i="44"/>
  <c r="L48" i="44"/>
  <c r="E12" i="67"/>
  <c r="F42" i="15"/>
  <c r="M26" i="15"/>
  <c r="I6" i="65"/>
  <c r="I4" i="65"/>
  <c r="F45" i="44"/>
  <c r="B14" i="67"/>
  <c r="I3" i="65"/>
  <c r="M25" i="44"/>
  <c r="M28" i="15"/>
  <c r="E9" i="67"/>
  <c r="I7" i="65"/>
  <c r="F7" i="15"/>
  <c r="M26" i="44"/>
  <c r="J15" i="15"/>
  <c r="F18" i="44"/>
  <c r="B11" i="67"/>
  <c r="J17" i="44"/>
  <c r="F9" i="67"/>
  <c r="F11" i="67"/>
  <c r="M29" i="15"/>
  <c r="F12" i="67"/>
  <c r="M8" i="15"/>
  <c r="L47" i="15"/>
  <c r="M11" i="44"/>
  <c r="F8" i="67"/>
  <c r="D18" i="9" l="1"/>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E8" i="6" s="1"/>
  <c r="E53" i="40" s="1"/>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D21" i="12"/>
  <c r="J5" i="65"/>
  <c r="C16" i="15"/>
  <c r="J7" i="65"/>
  <c r="J6" i="65"/>
  <c r="C18" i="44"/>
  <c r="J4" i="65"/>
  <c r="I5" i="65"/>
  <c r="AZ561" i="3" l="1"/>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C15" i="12"/>
  <c r="F41" i="15"/>
  <c r="F33" i="12"/>
  <c r="D21" i="74"/>
  <c r="F46" i="44"/>
  <c r="F33" i="74"/>
  <c r="C15" i="74"/>
  <c r="E2" i="65"/>
  <c r="E3" i="65"/>
  <c r="E63" i="39" l="1"/>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D16" i="74"/>
  <c r="C17" i="15"/>
  <c r="D22" i="74"/>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D16" i="12"/>
  <c r="D22" i="12"/>
  <c r="E7" i="67"/>
  <c r="B7" i="67"/>
  <c r="C19" i="44"/>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M21" i="15"/>
  <c r="C13" i="12"/>
  <c r="M23" i="44"/>
  <c r="C13" i="74"/>
  <c r="C16" i="44"/>
  <c r="C14" i="15"/>
  <c r="F37" i="44"/>
  <c r="F35" i="15"/>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46" l="1"/>
  <c r="C25" i="46" s="1"/>
  <c r="C33" i="46" s="1"/>
  <c r="D26" i="75"/>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4" i="74"/>
  <c r="B3"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D20" i="9"/>
  <c r="B5" i="12"/>
  <c r="B4"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<sst xmlns="http://schemas.openxmlformats.org/spreadsheetml/2006/main" count="8080" uniqueCount="3392">
  <si>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</si>
  <si>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</si>
  <si>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</si>
  <si>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</si>
  <si>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</si>
  <si>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</si>
  <si>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</si>
  <si>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</si>
  <si>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</si>
  <si>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</si>
  <si>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</si>
  <si>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</si>
  <si>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</si>
  <si>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</si>
  <si>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</si>
  <si>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</si>
  <si>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</si>
  <si>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</si>
  <si>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</si>
  <si>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</si>
  <si>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</si>
  <si>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</si>
  <si>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</si>
  <si>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</si>
  <si>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</si>
  <si>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</si>
  <si>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</si>
  <si>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</si>
  <si>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</si>
  <si>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</si>
  <si>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</si>
  <si>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</si>
  <si>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</si>
  <si>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</si>
  <si>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</si>
  <si>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</si>
  <si>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</si>
  <si>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</si>
  <si>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</si>
  <si>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</si>
  <si>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</si>
  <si>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</si>
  <si>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</si>
  <si>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</si>
  <si>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</si>
  <si>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</si>
  <si>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</si>
  <si>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</si>
  <si>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</si>
  <si>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</si>
  <si>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</si>
  <si>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</si>
  <si>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</si>
  <si>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</si>
  <si>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</si>
  <si>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</si>
  <si>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</si>
  <si>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</si>
  <si>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</si>
  <si>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</si>
  <si>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</si>
  <si>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</si>
  <si>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</si>
  <si>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</si>
  <si>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</si>
  <si>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</si>
  <si>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</si>
  <si>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</si>
  <si>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</si>
  <si>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</si>
  <si>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</si>
  <si>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</si>
  <si>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</si>
  <si>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</si>
  <si>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</si>
  <si>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</si>
  <si>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</si>
  <si>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</si>
  <si>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</si>
  <si>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</si>
  <si>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</si>
  <si>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</si>
  <si>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</si>
  <si>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</si>
  <si>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</si>
  <si>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</si>
  <si>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</si>
  <si>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</si>
  <si>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</si>
  <si>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</si>
  <si>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</si>
  <si>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</si>
  <si>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</si>
  <si>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</si>
  <si>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</si>
  <si>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</si>
  <si>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</si>
  <si>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</si>
  <si>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</si>
  <si>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</si>
  <si>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</si>
  <si>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</si>
  <si>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</si>
  <si>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</si>
  <si>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</si>
  <si>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</si>
  <si>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</si>
  <si>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</si>
  <si>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</si>
  <si>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</si>
  <si>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</si>
  <si>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</si>
  <si>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</si>
  <si>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</si>
  <si>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</si>
  <si>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</si>
  <si>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</si>
  <si>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</si>
  <si>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</si>
  <si>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</si>
  <si>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</si>
  <si>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</si>
  <si>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</si>
  <si>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</si>
  <si>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</si>
  <si>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</si>
  <si>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</si>
  <si>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</si>
  <si>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</si>
  <si>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</si>
  <si>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</si>
  <si>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</si>
  <si>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</si>
  <si>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</si>
  <si>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</si>
  <si>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</si>
  <si>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</si>
  <si>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</si>
  <si>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</si>
  <si>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</si>
  <si>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</si>
  <si>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</si>
  <si>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</si>
  <si>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</si>
  <si>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</si>
  <si>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</si>
  <si>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</si>
  <si>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</si>
  <si>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</si>
  <si>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</si>
  <si>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</si>
  <si>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</si>
  <si>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</si>
  <si>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</si>
  <si>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</si>
  <si>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</si>
  <si>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</si>
  <si>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</si>
  <si>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</si>
  <si>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</si>
  <si>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</si>
  <si>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</si>
  <si>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</si>
  <si>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</si>
  <si>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</si>
  <si>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</si>
  <si>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</si>
  <si>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</si>
  <si>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</si>
  <si>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</si>
  <si>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</si>
  <si>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</si>
  <si>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</si>
  <si>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</si>
  <si>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</si>
  <si>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</si>
  <si>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</si>
  <si>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</si>
  <si>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</si>
  <si>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</si>
  <si>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</si>
  <si>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</si>
  <si>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</si>
  <si>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</si>
  <si>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</si>
  <si>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</si>
  <si>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</si>
  <si>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</si>
  <si>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</si>
  <si>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</si>
  <si>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</si>
  <si>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</si>
  <si>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</si>
  <si>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</si>
  <si>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</si>
  <si>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</si>
  <si>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</si>
  <si>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</si>
  <si>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</si>
  <si>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</si>
  <si>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</si>
  <si>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</si>
  <si>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</si>
  <si>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</si>
  <si>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</si>
  <si>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</si>
  <si>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</si>
  <si>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</si>
  <si>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</si>
  <si>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</si>
  <si>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</si>
  <si>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</si>
  <si>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</si>
  <si>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</si>
  <si>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</si>
  <si>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</si>
  <si>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</si>
  <si>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</si>
  <si>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</si>
  <si>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</si>
  <si>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</si>
  <si>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</si>
  <si>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</si>
  <si>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</si>
  <si>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</si>
  <si>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</si>
  <si>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</si>
  <si>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</si>
  <si>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</si>
  <si>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</si>
  <si>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</si>
  <si>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</si>
  <si>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</si>
  <si>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</si>
  <si>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</si>
  <si>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</si>
  <si>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</si>
  <si>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</si>
  <si>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</si>
  <si>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</si>
  <si>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</si>
  <si>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</si>
  <si>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</si>
  <si>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</si>
  <si>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</si>
  <si>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</si>
  <si>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</si>
  <si>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</si>
  <si>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</si>
  <si>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</si>
  <si>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</si>
  <si>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</si>
  <si>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</si>
  <si>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</si>
  <si>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</si>
  <si>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</si>
  <si>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</si>
  <si>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</si>
  <si>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</si>
  <si>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</si>
  <si>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</si>
  <si>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</si>
  <si>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</si>
  <si>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</si>
  <si>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</si>
  <si>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</si>
  <si>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</si>
  <si>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</si>
  <si>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</si>
  <si>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</si>
  <si>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</si>
  <si>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</si>
  <si>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</si>
  <si>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</si>
  <si>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</si>
  <si>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</si>
  <si>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</si>
  <si>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</si>
  <si>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</si>
  <si>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</si>
  <si>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</si>
  <si>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</si>
  <si>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</si>
  <si>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</si>
  <si>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</si>
  <si>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</si>
  <si>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</si>
  <si>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</si>
  <si>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</si>
  <si>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</si>
  <si>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</si>
  <si>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</si>
  <si>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</si>
  <si>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</si>
  <si>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</si>
  <si>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</si>
  <si>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</si>
  <si>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</si>
  <si>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</si>
  <si>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</si>
  <si>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</si>
  <si>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</si>
  <si>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</si>
  <si>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</si>
  <si>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</si>
  <si>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</si>
  <si>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</si>
  <si>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</si>
  <si>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</si>
  <si>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</si>
  <si>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</si>
  <si>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</si>
  <si>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</si>
  <si>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</si>
  <si>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</si>
  <si>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</si>
  <si>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</si>
  <si>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</si>
  <si>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</si>
  <si>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</si>
  <si>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</si>
  <si>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</si>
  <si>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</si>
  <si>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</si>
  <si>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</si>
  <si>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</si>
  <si>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</si>
  <si>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</si>
  <si>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</si>
  <si>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</si>
  <si>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</si>
  <si>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</si>
  <si>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</si>
  <si>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</si>
  <si>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</si>
  <si>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</si>
  <si>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</si>
  <si>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</si>
  <si>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</si>
  <si>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</si>
  <si>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</si>
  <si>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</si>
  <si>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</si>
  <si>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</si>
  <si>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</si>
  <si>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</si>
  <si>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</si>
  <si>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</si>
  <si>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</si>
  <si>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</si>
  <si>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</si>
  <si>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</si>
  <si>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</si>
  <si>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</si>
  <si>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</si>
  <si>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</si>
  <si>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</si>
  <si>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</si>
  <si>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</si>
  <si>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</si>
  <si>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</si>
  <si>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</si>
  <si>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</si>
  <si>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</si>
  <si>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</si>
  <si>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</si>
  <si>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</si>
  <si>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</si>
  <si>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</si>
  <si>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</si>
  <si>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</si>
  <si>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</si>
  <si>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</si>
  <si>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</si>
  <si>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</si>
  <si>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</si>
  <si>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</si>
  <si>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</si>
  <si>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</si>
  <si>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</si>
  <si>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</si>
  <si>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</si>
  <si>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</si>
  <si>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</si>
  <si>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</si>
  <si>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</si>
  <si>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</si>
  <si>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</si>
  <si>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</si>
  <si>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</si>
  <si>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</si>
  <si>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</si>
  <si>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</si>
  <si>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</si>
  <si>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</si>
  <si>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</si>
  <si>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</si>
  <si>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</si>
  <si>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</si>
  <si>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</si>
  <si>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</si>
  <si>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</si>
  <si>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</si>
  <si>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</si>
  <si>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</si>
  <si>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</si>
  <si>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</si>
  <si>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</si>
  <si>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</si>
  <si>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</si>
  <si>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</si>
  <si>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</si>
  <si>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</si>
  <si>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</si>
  <si>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</si>
  <si>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</si>
  <si>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</si>
  <si>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</si>
  <si>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</si>
  <si>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</si>
  <si>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</si>
  <si>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</si>
  <si>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</si>
  <si>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</si>
  <si>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</si>
  <si>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</si>
  <si>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</si>
  <si>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</si>
  <si>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</si>
  <si>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</si>
  <si>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</si>
  <si>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</si>
  <si>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</si>
  <si>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</si>
  <si>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</si>
  <si>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</si>
  <si>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</si>
  <si>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</si>
  <si>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</si>
  <si>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</si>
  <si>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</si>
  <si>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</si>
  <si>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</si>
  <si>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</si>
  <si>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</si>
  <si>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</si>
  <si>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</si>
  <si>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</si>
  <si>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</si>
  <si>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</si>
  <si>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</si>
  <si>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</si>
  <si>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</si>
  <si>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</si>
  <si>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</si>
  <si>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</si>
  <si>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</si>
  <si>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</si>
  <si>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</si>
  <si>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</si>
  <si>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</si>
  <si>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</si>
  <si>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</si>
  <si>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</si>
  <si>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</si>
  <si>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</si>
  <si>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</si>
  <si>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</si>
  <si>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</si>
  <si>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</si>
  <si>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</si>
  <si>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</si>
  <si>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</si>
  <si>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</si>
  <si>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</si>
  <si>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</si>
  <si>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</si>
  <si>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</si>
  <si>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</si>
  <si>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</si>
  <si>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</si>
  <si>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</si>
  <si>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</si>
  <si>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</si>
  <si>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</si>
  <si>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</si>
  <si>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</si>
  <si>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</si>
  <si>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</si>
  <si>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</si>
  <si>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</si>
  <si>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</si>
  <si>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</si>
  <si>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</si>
  <si>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</si>
  <si>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</si>
  <si>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</si>
  <si>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</si>
  <si>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</si>
  <si>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</si>
  <si>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</si>
  <si>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</si>
  <si>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</si>
  <si>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</si>
  <si>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</si>
  <si>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</si>
  <si>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</si>
  <si>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</si>
  <si>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</si>
  <si>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</si>
  <si>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</si>
  <si>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</si>
  <si>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</si>
  <si>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</si>
  <si>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</si>
  <si>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</si>
  <si>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</si>
  <si>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</si>
  <si>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</si>
  <si>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</si>
  <si>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</si>
  <si>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</si>
  <si>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</si>
  <si>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</si>
  <si>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</si>
  <si>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</si>
  <si>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</si>
  <si>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</si>
  <si>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</si>
  <si>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</si>
  <si>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</si>
  <si>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</si>
  <si>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</si>
  <si>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</si>
  <si>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</si>
  <si>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</si>
  <si>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</si>
  <si>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</si>
  <si>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</si>
  <si>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</si>
  <si>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</si>
  <si>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</si>
  <si>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</si>
  <si>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</si>
  <si>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</si>
  <si>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</si>
  <si>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</si>
  <si>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</si>
  <si>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</si>
  <si>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</si>
  <si>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</si>
  <si>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</si>
  <si>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</si>
  <si>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</si>
  <si>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</si>
  <si>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</si>
  <si>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</si>
  <si>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</si>
  <si>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</si>
  <si>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</si>
  <si>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</si>
  <si>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</si>
  <si>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</si>
  <si>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</si>
  <si>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</si>
  <si>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</si>
  <si>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</si>
  <si>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</si>
  <si>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</si>
  <si>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</si>
  <si>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</si>
  <si>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</si>
  <si>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</si>
  <si>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</si>
  <si>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</si>
  <si>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</si>
  <si>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</si>
  <si>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</si>
  <si>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</si>
  <si>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</si>
  <si>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</si>
  <si>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</si>
  <si>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</si>
  <si>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</si>
  <si>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</si>
  <si>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</si>
  <si>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</si>
  <si>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</si>
  <si>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</si>
  <si>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</si>
  <si>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</si>
  <si>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</si>
  <si>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</si>
  <si>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</si>
  <si>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</si>
  <si>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</si>
  <si>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</si>
  <si>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</si>
  <si>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</si>
  <si>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</si>
  <si>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</si>
  <si>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</si>
  <si>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</si>
  <si>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</si>
  <si>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</si>
  <si>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</si>
  <si>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</si>
  <si>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</si>
  <si>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</si>
  <si>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</si>
  <si>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</si>
  <si>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</si>
  <si>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</si>
  <si>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</si>
  <si>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</si>
  <si>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</si>
  <si>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</si>
  <si>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</si>
  <si>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</si>
  <si>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</si>
  <si>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</si>
  <si>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</si>
  <si>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</si>
  <si>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</si>
  <si>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</si>
  <si>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</si>
  <si>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</si>
  <si>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</si>
  <si>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</si>
  <si>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</si>
  <si>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</si>
  <si>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</si>
  <si>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</si>
  <si>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</si>
  <si>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</si>
  <si>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</si>
  <si>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</si>
  <si>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</si>
  <si>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</si>
  <si>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</si>
  <si>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</si>
  <si>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</si>
  <si>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</si>
  <si>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</si>
  <si>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</si>
  <si>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</si>
  <si>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</si>
  <si>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</si>
  <si>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</si>
  <si>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</si>
  <si>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</si>
  <si>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</si>
  <si>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</si>
  <si>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</si>
  <si>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</si>
  <si>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</si>
  <si>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</si>
  <si>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</si>
  <si>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</si>
  <si>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</si>
  <si>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</si>
  <si>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</si>
  <si>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</si>
  <si>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</si>
  <si>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</si>
  <si>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</si>
  <si>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</si>
  <si>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</si>
  <si>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</si>
  <si>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</si>
  <si>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</si>
  <si>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</si>
  <si>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</si>
  <si>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</si>
  <si>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</si>
  <si>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</si>
  <si>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</si>
  <si>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</si>
  <si>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</si>
  <si>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</si>
  <si>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</si>
  <si>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</si>
  <si>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</si>
  <si>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</si>
  <si>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</si>
  <si>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</si>
  <si>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</si>
  <si>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</si>
  <si>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</si>
  <si>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</si>
  <si>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</si>
  <si>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</si>
  <si>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</si>
  <si>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</si>
  <si>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</si>
  <si>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</si>
  <si>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</si>
  <si>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</si>
  <si>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</si>
  <si>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</si>
  <si>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</si>
  <si>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</si>
  <si>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</si>
  <si>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</si>
  <si>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</si>
  <si>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</si>
  <si>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</si>
  <si>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</si>
  <si>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</si>
  <si>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</si>
  <si>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</si>
  <si>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</si>
  <si>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</si>
  <si>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</si>
  <si>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</si>
  <si>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</si>
  <si>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</si>
  <si>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</si>
  <si>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</si>
  <si>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</si>
  <si>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</si>
  <si>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</si>
  <si>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</si>
  <si>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</si>
  <si>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</si>
  <si>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</si>
  <si>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</si>
  <si>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</si>
  <si>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</si>
  <si>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</si>
  <si>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</si>
  <si>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</si>
  <si>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</si>
  <si>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</si>
  <si>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</si>
  <si>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</si>
  <si>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</si>
  <si>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</si>
  <si>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</si>
  <si>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</si>
  <si>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</si>
  <si>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</si>
  <si>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</si>
  <si>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</si>
  <si>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</si>
  <si>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</si>
  <si>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</si>
  <si>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</si>
  <si>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</si>
  <si>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</si>
  <si>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</si>
  <si>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</si>
  <si>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</si>
  <si>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</si>
  <si>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</si>
  <si>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</si>
  <si>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</si>
  <si>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</si>
  <si>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</si>
  <si>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</si>
  <si>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</si>
  <si>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</si>
  <si>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</si>
  <si>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</si>
  <si>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</si>
  <si>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</si>
  <si>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</si>
  <si>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</si>
  <si>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</si>
  <si>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</si>
  <si>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</si>
  <si>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</si>
  <si>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</si>
  <si>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</si>
  <si>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</si>
  <si>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</si>
  <si>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</si>
  <si>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</si>
  <si>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</si>
  <si>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</si>
  <si>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</si>
  <si>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</si>
  <si>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</si>
  <si>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</si>
  <si>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</si>
  <si>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</si>
  <si>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</si>
  <si>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</si>
  <si>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</si>
  <si>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</si>
  <si>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</si>
  <si>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</si>
  <si>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</si>
  <si>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</si>
  <si>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</si>
  <si>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</si>
  <si>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</si>
  <si>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</si>
  <si>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</si>
  <si>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</si>
  <si>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</si>
  <si>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</si>
  <si>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</si>
  <si>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</si>
  <si>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</si>
  <si>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</si>
  <si>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</si>
  <si>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</si>
  <si>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</si>
  <si>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</si>
  <si>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</si>
  <si>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</si>
  <si>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</si>
  <si>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</si>
  <si>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</si>
  <si>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</si>
  <si>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</si>
  <si>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</si>
  <si>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</si>
  <si>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</si>
  <si>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</si>
  <si>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</si>
  <si>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</si>
  <si>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</si>
  <si>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</si>
  <si>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</si>
  <si>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</si>
  <si>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</si>
  <si>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</si>
  <si>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</si>
  <si>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</si>
  <si>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</si>
  <si>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</si>
  <si>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</si>
  <si>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</si>
  <si>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</si>
  <si>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</si>
  <si>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</si>
  <si>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</si>
  <si>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</si>
  <si>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</si>
  <si>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</si>
  <si>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</si>
  <si>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</si>
  <si>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</si>
  <si>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</si>
  <si>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</si>
  <si>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</si>
  <si>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</si>
  <si>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</si>
  <si>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</si>
  <si>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</si>
  <si>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</si>
  <si>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</si>
  <si>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</si>
  <si>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</si>
  <si>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</si>
  <si>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</si>
  <si>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</si>
  <si>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</si>
  <si>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</si>
  <si>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</si>
  <si>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</si>
  <si>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</si>
  <si>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</si>
  <si>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</si>
  <si>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</si>
  <si>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</si>
  <si>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</si>
  <si>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</si>
  <si>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</si>
  <si>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</si>
  <si>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</si>
  <si>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</si>
  <si>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</si>
  <si>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</si>
  <si>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</si>
  <si>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</si>
  <si>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</si>
  <si>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</si>
  <si>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</si>
  <si>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</si>
  <si>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</si>
  <si>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</si>
  <si>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</si>
  <si>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</si>
  <si>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</si>
  <si>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</si>
  <si>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</si>
  <si>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</si>
  <si>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</si>
  <si>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</si>
  <si>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</si>
  <si>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</si>
  <si>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</si>
  <si>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</si>
  <si>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</si>
  <si>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</si>
  <si>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</si>
  <si>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</si>
  <si>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</si>
  <si>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</si>
  <si>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</si>
  <si>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</si>
  <si>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</si>
  <si>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</si>
  <si>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</si>
  <si>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</si>
  <si>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</si>
  <si>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</si>
  <si>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</si>
  <si>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</si>
  <si>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</si>
  <si>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</si>
  <si>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</si>
  <si>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</si>
  <si>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</si>
  <si>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</si>
  <si>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</si>
  <si>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</si>
  <si>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</si>
  <si>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</si>
  <si>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</si>
  <si>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</si>
  <si>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</si>
  <si>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</si>
  <si>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</si>
  <si>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</si>
  <si>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</si>
  <si>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</si>
  <si>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</si>
  <si>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</si>
  <si>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</si>
  <si>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</si>
  <si>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</si>
  <si>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</si>
  <si>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</si>
  <si>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</si>
  <si>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</si>
  <si>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</si>
  <si>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</si>
  <si>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</si>
  <si>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</si>
  <si>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</si>
  <si>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</si>
  <si>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</si>
  <si>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</si>
  <si>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</si>
  <si>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</si>
  <si>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</si>
  <si>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</si>
  <si>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</si>
  <si>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</si>
  <si>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</si>
  <si>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</si>
  <si>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</si>
  <si>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</si>
  <si>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</si>
  <si>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</si>
  <si>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</si>
  <si>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</si>
  <si>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</si>
  <si>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</si>
  <si>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</si>
  <si>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</si>
  <si>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</si>
  <si>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</si>
  <si>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</si>
  <si>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</si>
  <si>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</si>
  <si>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</si>
  <si>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</si>
  <si>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</si>
  <si>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</si>
  <si>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</si>
  <si>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</si>
  <si>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</si>
  <si>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</si>
  <si>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</si>
  <si>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</si>
  <si>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</si>
  <si>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</si>
  <si>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</si>
  <si>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</si>
  <si>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</si>
  <si>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</si>
  <si>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</si>
  <si>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</si>
  <si>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</si>
  <si>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</si>
  <si>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</si>
  <si>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</si>
  <si>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</si>
  <si>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</si>
  <si>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</si>
  <si>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</si>
  <si>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</si>
  <si>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</si>
  <si>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</si>
  <si>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</si>
  <si>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</si>
  <si>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</si>
  <si>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</si>
  <si>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</si>
  <si>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</si>
  <si>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</si>
  <si>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</si>
  <si>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</si>
  <si>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</si>
  <si>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</si>
  <si>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</si>
  <si>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</si>
  <si>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</si>
  <si>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</si>
  <si>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</si>
  <si>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</si>
  <si>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</si>
  <si>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</si>
  <si>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</si>
  <si>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</si>
  <si>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</si>
  <si>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</si>
  <si>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</si>
  <si>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</si>
  <si>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</si>
  <si>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</si>
  <si>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</si>
  <si>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</si>
  <si>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</si>
  <si>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</si>
  <si>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</si>
  <si>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</si>
  <si>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</si>
  <si>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</si>
  <si>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</si>
  <si>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</si>
  <si>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</si>
  <si>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</si>
  <si>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</si>
  <si>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</si>
  <si>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</si>
  <si>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</si>
  <si>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</si>
  <si>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</si>
  <si>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</si>
  <si>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</si>
  <si>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</si>
  <si>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</si>
  <si>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</si>
  <si>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</si>
  <si>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</si>
  <si>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</si>
  <si>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</si>
  <si>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</si>
  <si>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</si>
  <si>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</si>
  <si>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</si>
  <si>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</si>
  <si>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</si>
  <si>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</si>
  <si>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</si>
  <si>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</si>
  <si>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</si>
  <si>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</si>
  <si>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</si>
  <si>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</si>
  <si>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</si>
  <si>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</si>
  <si>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</si>
  <si>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</si>
  <si>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</si>
  <si>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</si>
  <si>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</si>
  <si>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</si>
  <si>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</si>
  <si>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</si>
  <si>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</si>
  <si>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</si>
  <si>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</si>
  <si>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</si>
  <si>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</si>
  <si>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</si>
  <si>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</si>
  <si>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</si>
  <si>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</si>
  <si>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</si>
  <si>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</si>
  <si>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</si>
  <si>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</si>
  <si>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</si>
  <si>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</si>
  <si>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</si>
  <si>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</si>
  <si>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</si>
  <si>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</si>
  <si>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</si>
  <si>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</si>
  <si>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</si>
  <si>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</si>
  <si>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</si>
  <si>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</si>
  <si>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</si>
  <si>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</si>
  <si>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</si>
  <si>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</si>
  <si>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</si>
  <si>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</si>
  <si>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</si>
  <si>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</si>
  <si>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</si>
  <si>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</si>
  <si>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</si>
  <si>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</si>
  <si>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</si>
  <si>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</si>
  <si>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</si>
  <si>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</si>
  <si>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</si>
  <si>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</si>
  <si>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</si>
  <si>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</si>
  <si>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</si>
  <si>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</si>
  <si>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</si>
  <si>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</si>
  <si>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</si>
  <si>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</si>
  <si>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</si>
  <si>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</si>
  <si>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</si>
  <si>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</si>
  <si>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</si>
  <si>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</si>
  <si>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</si>
  <si>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</si>
  <si>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</si>
  <si>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</si>
  <si>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</si>
  <si>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</si>
  <si>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</si>
  <si>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</si>
  <si>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</si>
  <si>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</si>
  <si>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</si>
  <si>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</si>
  <si>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</si>
  <si>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</si>
  <si>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</si>
  <si>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</si>
  <si>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</si>
  <si>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</si>
  <si>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</si>
  <si>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</si>
  <si>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</si>
  <si>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</si>
  <si>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</si>
  <si>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</si>
  <si>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</si>
  <si>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</si>
  <si>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</si>
  <si>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</si>
  <si>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</si>
  <si>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</si>
  <si>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</si>
  <si>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</si>
  <si>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</si>
  <si>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</si>
  <si>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</si>
  <si>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</si>
  <si>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</si>
  <si>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</si>
  <si>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</si>
  <si>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</si>
  <si>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</si>
  <si>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</si>
  <si>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</si>
  <si>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</si>
  <si>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</si>
  <si>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</si>
  <si>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</si>
  <si>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</si>
  <si>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</si>
  <si>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</si>
  <si>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</si>
  <si>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</si>
  <si>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</si>
  <si>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</si>
  <si>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</si>
  <si>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</si>
  <si>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</si>
  <si>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</si>
  <si>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</si>
  <si>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</si>
  <si>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</si>
  <si>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</si>
  <si>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</si>
  <si>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</si>
  <si>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</si>
  <si>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</si>
  <si>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</si>
  <si>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</si>
  <si>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</si>
  <si>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</si>
  <si>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</si>
  <si>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</si>
  <si>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</si>
  <si>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</si>
  <si>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</si>
  <si>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</si>
  <si>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</si>
  <si>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</si>
  <si>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</si>
  <si>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</si>
  <si>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</si>
  <si>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</si>
  <si>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</si>
  <si>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</si>
  <si>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</si>
  <si>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</si>
  <si>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</si>
  <si>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</si>
  <si>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</si>
  <si>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</si>
  <si>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</si>
  <si>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</si>
  <si>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</si>
  <si>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</si>
  <si>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</si>
  <si>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</si>
  <si>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</si>
  <si>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</si>
  <si>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</si>
  <si>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</si>
  <si>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</si>
  <si>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</si>
  <si>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</si>
  <si>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</si>
  <si>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</si>
  <si>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</si>
  <si>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</si>
  <si>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</si>
  <si>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</si>
  <si>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</si>
  <si>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</si>
  <si>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</si>
  <si>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</si>
  <si>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</si>
  <si>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</si>
  <si>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</si>
  <si>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</si>
  <si>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</si>
  <si>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</si>
  <si>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</si>
  <si>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</si>
  <si>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</si>
  <si>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</si>
  <si>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</si>
  <si>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</si>
  <si>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</si>
  <si>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</si>
  <si>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</si>
  <si>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</si>
  <si>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</si>
  <si>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</si>
  <si>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</si>
  <si>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</si>
  <si>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</si>
  <si>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</si>
  <si>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</si>
  <si>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</si>
  <si>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</si>
  <si>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</si>
  <si>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</si>
  <si>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</si>
  <si>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</si>
  <si>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</si>
  <si>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</si>
  <si>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</si>
  <si>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</si>
  <si>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</si>
  <si>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</si>
  <si>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</si>
  <si>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</si>
  <si>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</si>
  <si>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</si>
  <si>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</si>
  <si>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</si>
  <si>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</si>
  <si>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</si>
  <si>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</si>
  <si>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</si>
  <si>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</si>
  <si>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</si>
  <si>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</si>
  <si>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</si>
  <si>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</si>
  <si>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</si>
  <si>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</si>
  <si>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</si>
  <si>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</si>
  <si>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</si>
  <si>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</si>
  <si>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</si>
  <si>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</si>
  <si>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</si>
  <si>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</si>
  <si>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</si>
  <si>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</si>
  <si>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</si>
  <si>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</si>
  <si>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</si>
  <si>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</si>
  <si>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</si>
  <si>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</si>
  <si>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</si>
  <si>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</si>
  <si>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</si>
  <si>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</si>
  <si>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</si>
  <si>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</si>
  <si>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</si>
  <si>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</si>
  <si>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</si>
  <si>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</si>
  <si>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</si>
  <si>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</si>
  <si>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</si>
  <si>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</si>
  <si>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</si>
  <si>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</si>
  <si>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</si>
  <si>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</si>
  <si>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</si>
  <si>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</si>
  <si>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</si>
  <si>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</si>
  <si>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</si>
  <si>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</si>
  <si>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</si>
  <si>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</si>
  <si>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</si>
  <si>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</si>
  <si>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</si>
  <si>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</si>
  <si>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</si>
  <si>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</si>
  <si>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</si>
  <si>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</si>
  <si>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</si>
  <si>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</si>
  <si>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</si>
  <si>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</si>
  <si>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</si>
  <si>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</si>
  <si>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</si>
  <si>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</si>
  <si>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</si>
  <si>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</si>
  <si>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</si>
  <si>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</si>
  <si>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</si>
  <si>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</si>
  <si>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</si>
  <si>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</si>
  <si>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</si>
  <si>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</si>
  <si>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</si>
  <si>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</si>
  <si>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</si>
  <si>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</si>
  <si>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</si>
  <si>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</si>
  <si>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</si>
  <si>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</si>
  <si>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</si>
  <si>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</si>
  <si>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</si>
  <si>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</si>
  <si>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</si>
  <si>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</si>
  <si>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</si>
  <si>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</si>
  <si>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</si>
  <si>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</si>
  <si>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</si>
  <si>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</si>
  <si>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</si>
  <si>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</si>
  <si>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</si>
  <si>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</si>
  <si>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</si>
  <si>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</si>
  <si>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</si>
  <si>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</si>
  <si>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</si>
  <si>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</si>
  <si>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</si>
  <si>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</si>
  <si>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</si>
  <si>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</si>
  <si>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</si>
  <si>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</si>
  <si>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</si>
  <si>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</si>
  <si>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</si>
  <si>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</si>
  <si>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</si>
  <si>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</si>
  <si>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</si>
  <si>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</si>
  <si>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</si>
  <si>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</si>
  <si>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</si>
  <si>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</si>
  <si>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</si>
  <si>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</si>
  <si>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</si>
  <si>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</si>
  <si>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</si>
  <si>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</si>
  <si>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</si>
  <si>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</si>
  <si>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</si>
  <si>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</si>
  <si>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</si>
  <si>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</si>
  <si>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</si>
  <si>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</si>
  <si>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</si>
  <si>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</si>
  <si>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</si>
  <si>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</si>
  <si>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</si>
  <si>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</si>
  <si>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</si>
  <si>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</si>
  <si>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</si>
  <si>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</si>
  <si>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</si>
  <si>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</si>
  <si>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</si>
  <si>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</si>
  <si>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</si>
  <si>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</si>
  <si>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</si>
  <si>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</si>
  <si>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</si>
  <si>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</si>
  <si>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</si>
  <si>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</si>
  <si>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</si>
  <si>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</si>
  <si>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</si>
  <si>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</si>
  <si>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</si>
  <si>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</si>
  <si>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</si>
  <si>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</si>
  <si>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</si>
  <si>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</si>
  <si>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</si>
  <si>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</si>
  <si>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</si>
  <si>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</si>
  <si>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</si>
  <si>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</si>
  <si>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</si>
  <si>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</si>
  <si>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</si>
  <si>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</si>
  <si>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</si>
  <si>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</si>
  <si>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</si>
  <si>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</si>
  <si>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</si>
  <si>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</si>
  <si>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</si>
  <si>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</si>
  <si>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</si>
  <si>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</si>
  <si>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</si>
  <si>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</si>
  <si>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</si>
  <si>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</si>
  <si>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</si>
  <si>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</si>
  <si>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</si>
  <si>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</si>
  <si>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</si>
  <si>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</si>
  <si>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</si>
  <si>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</si>
  <si>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</si>
  <si>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</si>
  <si>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</si>
  <si>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</si>
  <si>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</si>
  <si>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</si>
  <si>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</si>
  <si>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</si>
  <si>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</si>
  <si>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</si>
  <si>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</si>
  <si>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</si>
  <si>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</si>
  <si>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</si>
  <si>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</si>
  <si>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</si>
  <si>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</si>
  <si>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</si>
  <si>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</si>
  <si>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</si>
  <si>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</si>
  <si>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</si>
  <si>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</si>
  <si>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</si>
  <si>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</si>
  <si>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</si>
  <si>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</si>
  <si>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</si>
  <si>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</si>
  <si>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</si>
  <si>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</si>
  <si>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</si>
  <si>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</si>
  <si>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</si>
  <si>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</si>
  <si>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</si>
  <si>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</si>
  <si>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</si>
  <si>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</si>
  <si>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</si>
  <si>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</si>
  <si>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</si>
  <si>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</si>
  <si>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</si>
  <si>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</si>
  <si>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</si>
  <si>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</si>
  <si>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</si>
  <si>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</si>
  <si>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</si>
  <si>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</si>
  <si>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</si>
  <si>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</si>
  <si>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</si>
  <si>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</si>
  <si>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</si>
  <si>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</si>
  <si>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</si>
  <si>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</si>
  <si>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</si>
  <si>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</si>
  <si>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</si>
  <si>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</si>
  <si>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</si>
  <si>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</si>
  <si>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</si>
  <si>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</si>
  <si>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</si>
  <si>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</si>
  <si>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</si>
  <si>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</si>
  <si>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</si>
  <si>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</si>
  <si>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</si>
  <si>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</si>
  <si>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</si>
  <si>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</si>
  <si>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</si>
  <si>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</si>
  <si>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</si>
  <si>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</si>
  <si>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</si>
  <si>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</si>
  <si>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</si>
  <si>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</si>
  <si>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</si>
  <si>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</si>
  <si>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</si>
  <si>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</si>
  <si>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</si>
  <si>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</si>
  <si>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</si>
  <si>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</si>
  <si>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</si>
  <si>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</si>
  <si>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</si>
  <si>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</si>
  <si>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</si>
  <si>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</si>
  <si>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</si>
  <si>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</si>
  <si>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</si>
  <si>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</si>
  <si>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</si>
  <si>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</si>
  <si>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</si>
  <si>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</si>
  <si>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</si>
  <si>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</si>
  <si>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</si>
  <si>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</si>
  <si>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</si>
  <si>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</si>
  <si>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</si>
  <si>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</si>
  <si>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</si>
  <si>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</si>
  <si>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</si>
  <si>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</si>
  <si>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</si>
  <si>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</si>
  <si>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</si>
  <si>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</si>
  <si>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</si>
  <si>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</si>
  <si>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</si>
  <si>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</si>
  <si>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</si>
  <si>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</si>
  <si>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</si>
  <si>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</si>
  <si>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</si>
  <si>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</si>
  <si>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</si>
  <si>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</si>
  <si>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</si>
  <si>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</si>
  <si>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</si>
  <si>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</si>
  <si>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</si>
  <si>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</si>
  <si>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</si>
  <si>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</si>
  <si>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</si>
  <si>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</si>
  <si>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</si>
  <si>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</si>
  <si>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</si>
  <si>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</si>
  <si>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</si>
  <si>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</si>
  <si>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</si>
  <si>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</si>
  <si>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</si>
  <si>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</si>
  <si>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</si>
  <si>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</si>
  <si>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</si>
  <si>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</si>
  <si>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</si>
  <si>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</si>
  <si>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</si>
  <si>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</si>
  <si>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</si>
  <si>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</si>
  <si>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</si>
  <si>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</si>
  <si>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</si>
  <si>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</si>
  <si>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</si>
  <si>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</si>
  <si>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</si>
  <si>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</si>
  <si>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</si>
  <si>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</si>
  <si>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</si>
  <si>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</si>
  <si>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</si>
  <si>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</si>
  <si>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</si>
  <si>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</si>
  <si>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</si>
  <si>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</si>
  <si>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</si>
  <si>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</si>
  <si>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</si>
  <si>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</si>
  <si>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</si>
  <si>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</si>
  <si>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</si>
  <si>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</si>
  <si>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</si>
  <si>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</si>
  <si>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</si>
  <si>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</si>
  <si>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</si>
  <si>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</si>
  <si>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</si>
  <si>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</si>
  <si>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</si>
  <si>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</si>
  <si>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</si>
  <si>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</si>
  <si>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</si>
  <si>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</si>
  <si>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</si>
  <si>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</si>
  <si>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</si>
  <si>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</si>
  <si>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</si>
  <si>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</si>
  <si>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</si>
  <si>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</si>
  <si>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</si>
  <si>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</si>
  <si>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</si>
  <si>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</si>
  <si>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</si>
  <si>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</si>
  <si>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</si>
  <si>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</si>
  <si>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</si>
  <si>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</si>
  <si>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</si>
  <si>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</si>
  <si>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</si>
  <si>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</si>
  <si>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</si>
  <si>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</si>
  <si>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</si>
  <si>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</si>
  <si>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</si>
  <si>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</si>
  <si>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</si>
  <si>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</si>
  <si>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</si>
  <si>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</si>
  <si>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</si>
  <si>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</si>
  <si>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</si>
  <si>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</si>
  <si>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</si>
  <si>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</si>
  <si>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</si>
  <si>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</si>
  <si>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</si>
  <si>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</si>
  <si>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</si>
  <si>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</si>
  <si>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</si>
  <si>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</si>
  <si>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</si>
  <si>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</si>
  <si>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</si>
  <si>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</si>
  <si>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</si>
  <si>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</si>
  <si>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</si>
  <si>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</si>
  <si>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</si>
  <si>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</si>
  <si>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</si>
  <si>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</si>
  <si>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</si>
  <si>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</si>
  <si>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</si>
  <si>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</si>
  <si>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</si>
  <si>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</si>
  <si>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</si>
  <si>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</si>
  <si>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</si>
  <si>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</si>
  <si>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</si>
  <si>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</si>
  <si>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</si>
  <si>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</si>
  <si>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</si>
  <si>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</si>
  <si>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</si>
  <si>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</si>
  <si>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</si>
  <si>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</si>
  <si>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</si>
  <si>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</si>
  <si>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</si>
  <si>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</si>
  <si>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</si>
  <si>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</si>
  <si>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</si>
  <si>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</si>
  <si>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</si>
  <si>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</si>
  <si>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</si>
  <si>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</si>
  <si>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</si>
  <si>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</si>
  <si>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</si>
  <si>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</si>
  <si>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</si>
  <si>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</si>
  <si>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</si>
  <si>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</si>
  <si>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</si>
  <si>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</si>
  <si>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</si>
  <si>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</si>
  <si>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</si>
  <si>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</si>
  <si>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</si>
  <si>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</si>
  <si>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</si>
  <si>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</si>
  <si>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</si>
  <si>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</si>
  <si>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</si>
  <si>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</si>
  <si>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</si>
  <si>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</si>
  <si>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</si>
  <si>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</si>
  <si>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</si>
  <si>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</si>
  <si>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</si>
  <si>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</si>
  <si>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</si>
  <si>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</si>
  <si>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</si>
  <si>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</si>
  <si>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</si>
  <si>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</si>
  <si>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</si>
  <si>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</si>
  <si>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</si>
  <si>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</si>
  <si>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</si>
  <si>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</si>
  <si>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</si>
  <si>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</si>
  <si>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</si>
  <si>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</si>
  <si>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</si>
  <si>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</si>
  <si>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</si>
  <si>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</si>
  <si>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</si>
  <si>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</si>
  <si>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</si>
  <si>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</si>
  <si>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</si>
  <si>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</si>
  <si>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</si>
  <si>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</si>
  <si>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</si>
  <si>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</si>
  <si>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</si>
  <si>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</si>
  <si>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</si>
  <si>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</si>
  <si>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</si>
  <si>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</si>
  <si>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</si>
  <si>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</si>
  <si>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</si>
  <si>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</si>
  <si>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</si>
  <si>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</si>
  <si>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</si>
  <si>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</si>
  <si>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</si>
  <si>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</si>
  <si>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</si>
  <si>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</si>
  <si>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</si>
  <si>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</si>
  <si>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</si>
  <si>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</si>
  <si>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</si>
  <si>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</si>
  <si>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</si>
  <si>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</si>
  <si>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</si>
  <si>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</si>
  <si>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</si>
  <si>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</si>
  <si>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</si>
  <si>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</si>
  <si>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</si>
  <si>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</si>
  <si>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</si>
  <si>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</si>
  <si>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</si>
  <si>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</si>
  <si>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</si>
  <si>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</si>
  <si>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</si>
  <si>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</si>
  <si>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</si>
  <si>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</si>
  <si>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</si>
  <si>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</si>
  <si>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</si>
  <si>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</si>
  <si>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</si>
  <si>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</si>
  <si>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</si>
  <si>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</si>
  <si>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</si>
  <si>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</si>
  <si>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</si>
  <si>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</si>
  <si>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</si>
  <si>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</si>
  <si>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</si>
  <si>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</si>
  <si>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</si>
  <si>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</si>
  <si>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</si>
  <si>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</si>
  <si>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</si>
  <si>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</si>
  <si>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</si>
  <si>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</si>
  <si>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</si>
  <si>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</si>
  <si>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</si>
  <si>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</si>
  <si>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</si>
  <si>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</si>
  <si>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</si>
  <si>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</si>
  <si>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</si>
  <si>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</si>
  <si>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</si>
  <si>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</si>
  <si>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</si>
  <si>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</si>
  <si>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</si>
  <si>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</si>
  <si>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</si>
  <si>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</si>
  <si>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</si>
  <si>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</si>
  <si>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</si>
  <si>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</si>
  <si>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</si>
  <si>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</si>
  <si>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</si>
  <si>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</si>
  <si>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</si>
  <si>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</si>
  <si>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</si>
  <si>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</si>
  <si>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</si>
  <si>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</si>
  <si>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</si>
  <si>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</si>
  <si>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</si>
  <si>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</si>
  <si>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</si>
  <si>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</si>
  <si>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</si>
  <si>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</si>
  <si>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</si>
  <si>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</si>
  <si>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</si>
  <si>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</si>
  <si>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</si>
  <si>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</si>
  <si>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</si>
  <si>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</si>
  <si>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</si>
  <si>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</si>
  <si>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</si>
  <si>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</si>
  <si>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</si>
  <si>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</si>
  <si>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</si>
  <si>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</si>
  <si>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</si>
  <si>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</si>
  <si>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</si>
  <si>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</si>
  <si>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</si>
  <si>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</si>
  <si>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</si>
  <si>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</si>
  <si>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</si>
  <si>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</si>
  <si>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</si>
  <si>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</si>
  <si>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</si>
  <si>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</si>
  <si>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</si>
  <si>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</si>
  <si>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</si>
  <si>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</si>
  <si>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</si>
  <si>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</si>
  <si>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</si>
  <si>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</si>
  <si>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</si>
  <si>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</si>
  <si>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</si>
  <si>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</si>
  <si>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</si>
  <si>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</si>
  <si>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</si>
  <si>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</si>
  <si>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</si>
  <si>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</si>
  <si>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</si>
  <si>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</si>
  <si>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</si>
  <si>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</si>
  <si>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</si>
  <si>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</si>
  <si>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</si>
  <si>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</si>
  <si>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</si>
  <si>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</si>
  <si>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</si>
  <si>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</si>
  <si>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</si>
  <si>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</si>
  <si>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</si>
  <si>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</si>
  <si>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</si>
  <si>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</si>
  <si>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</si>
  <si>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</si>
  <si>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</si>
  <si>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</si>
  <si>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</si>
  <si>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</si>
  <si>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</si>
  <si>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</si>
  <si>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</si>
  <si>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</si>
  <si>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</si>
  <si>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</si>
  <si>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</si>
  <si>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</si>
  <si>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</si>
  <si>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</si>
  <si>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</si>
  <si>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</si>
  <si>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</si>
  <si>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</si>
  <si>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</si>
  <si>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</si>
  <si>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</si>
  <si>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</si>
  <si>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</si>
  <si>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</si>
  <si>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</si>
  <si>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</si>
  <si>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</si>
  <si>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</si>
  <si>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</si>
  <si>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</si>
  <si>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</si>
  <si>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</si>
  <si>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</si>
  <si>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</si>
  <si>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</si>
  <si>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</si>
  <si>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</si>
  <si>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</si>
  <si>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</si>
  <si>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</si>
  <si>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</si>
  <si>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</si>
  <si>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</si>
  <si>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</si>
  <si>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</si>
  <si>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</si>
  <si>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</si>
  <si>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</si>
  <si>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</si>
  <si>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</si>
  <si>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</si>
  <si>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</si>
  <si>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</si>
  <si>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</si>
  <si>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</si>
  <si>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</si>
  <si>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</si>
  <si>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</si>
  <si>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</si>
  <si>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</si>
  <si>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</si>
  <si>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</si>
  <si>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</si>
  <si>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</si>
  <si>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</si>
  <si>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</si>
  <si>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</si>
  <si>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</si>
  <si>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</si>
  <si>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</si>
  <si>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</si>
  <si>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</si>
  <si>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</si>
  <si>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</si>
  <si>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</si>
  <si>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</si>
  <si>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</si>
  <si>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</si>
  <si>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</si>
  <si>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</si>
  <si>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</si>
  <si>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</si>
  <si>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</si>
  <si>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</si>
  <si>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</si>
  <si>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</si>
  <si>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</si>
  <si>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</si>
  <si>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</si>
  <si>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</si>
  <si>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</si>
  <si>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</si>
  <si>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</si>
  <si>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</si>
  <si>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</si>
  <si>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</si>
  <si>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</si>
  <si>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</si>
  <si>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</si>
  <si>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</si>
  <si>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</si>
  <si>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</si>
  <si>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</si>
  <si>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</si>
  <si>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</si>
  <si>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</si>
  <si>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</si>
  <si>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</si>
  <si>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</si>
  <si>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</si>
  <si>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</si>
  <si>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</si>
  <si>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</si>
  <si>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</si>
  <si>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</si>
  <si>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</si>
  <si>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</si>
  <si>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</si>
  <si>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</si>
  <si>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</si>
  <si>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</si>
  <si>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</si>
  <si>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</si>
  <si>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</si>
  <si>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</si>
  <si>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</si>
  <si>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</si>
  <si>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</si>
  <si>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</si>
  <si>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</si>
  <si>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</si>
  <si>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</si>
  <si>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</si>
  <si>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</si>
  <si>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</si>
  <si>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</si>
  <si>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</si>
  <si>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</si>
  <si>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</si>
  <si>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</si>
  <si>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</si>
  <si>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</si>
  <si>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</si>
  <si>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</si>
  <si>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</si>
  <si>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</si>
  <si>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</si>
  <si>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</si>
  <si>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</si>
  <si>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</si>
  <si>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</si>
  <si>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</si>
  <si>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</si>
  <si>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</si>
  <si>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</si>
  <si>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</si>
  <si>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</si>
  <si>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</si>
  <si>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</si>
  <si>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</si>
  <si>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</si>
  <si>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</si>
  <si>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</si>
  <si>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</si>
  <si>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</si>
  <si>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</si>
  <si>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</si>
  <si>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</si>
  <si>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</si>
  <si>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</si>
  <si>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</si>
  <si>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</si>
  <si>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</si>
  <si>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</si>
  <si>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</si>
  <si>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</si>
  <si>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</si>
  <si>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</si>
  <si>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</si>
  <si>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</si>
  <si>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</si>
  <si>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</si>
  <si>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</si>
  <si>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</si>
  <si>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</si>
  <si>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</si>
  <si>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</si>
  <si>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</si>
  <si>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</si>
  <si>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</si>
  <si>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</si>
  <si>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</si>
  <si>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</si>
  <si>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</si>
  <si>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</si>
  <si>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</si>
  <si>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</si>
  <si>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</si>
  <si>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</si>
  <si>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</si>
  <si>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</si>
  <si>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</si>
  <si>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</si>
  <si>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</si>
  <si>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</si>
  <si>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</si>
  <si>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</si>
  <si>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</si>
  <si>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</si>
  <si>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</si>
  <si>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</si>
  <si>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</si>
  <si>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</si>
  <si>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</si>
  <si>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</si>
  <si>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</si>
  <si>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</si>
  <si>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</si>
  <si>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</si>
  <si>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</si>
  <si>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</si>
  <si>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</si>
  <si>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</si>
  <si>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</si>
  <si>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</si>
  <si>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</si>
  <si>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</si>
  <si>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</si>
  <si>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</si>
  <si>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</si>
  <si>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</si>
  <si>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</si>
  <si>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</si>
  <si>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</si>
  <si>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</si>
  <si>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</si>
  <si>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</si>
  <si>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</si>
  <si>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</si>
  <si>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</si>
  <si>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</si>
  <si>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</si>
  <si>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</si>
  <si>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</si>
  <si>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</si>
  <si>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</si>
  <si>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</si>
  <si>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</si>
  <si>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</si>
  <si>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</si>
  <si>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</si>
  <si>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</si>
  <si>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</si>
  <si>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</si>
  <si>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</si>
  <si>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</si>
  <si>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</si>
  <si>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</si>
  <si>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</si>
  <si>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</si>
  <si>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</si>
  <si>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</si>
  <si>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</si>
  <si>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</si>
  <si>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</si>
  <si>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</si>
  <si>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</si>
  <si>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</si>
  <si>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</si>
  <si>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</si>
  <si>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</si>
  <si>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</si>
  <si>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</si>
  <si>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</si>
  <si>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</si>
  <si>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</si>
  <si>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</si>
  <si>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</si>
  <si>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</si>
  <si>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</si>
  <si>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</si>
  <si>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</si>
  <si>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</si>
  <si>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</si>
  <si>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</si>
  <si>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</si>
  <si>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</si>
  <si>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</si>
  <si>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</si>
  <si>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</si>
  <si>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</si>
  <si>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</si>
  <si>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</si>
  <si>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</si>
  <si>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</si>
  <si>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</si>
  <si>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</si>
  <si>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</si>
  <si>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</si>
  <si>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</si>
  <si>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</si>
  <si>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</si>
  <si>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</si>
  <si>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</si>
  <si>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</si>
  <si>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</si>
  <si>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</si>
  <si>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</si>
  <si>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</si>
  <si>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</si>
  <si>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</si>
  <si>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</si>
  <si>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</si>
  <si>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</si>
  <si>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</si>
  <si>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</si>
  <si>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</si>
  <si>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</si>
  <si>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</si>
  <si>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</si>
  <si>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</si>
  <si>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</si>
  <si>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</si>
  <si>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</si>
  <si>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</si>
  <si>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</si>
  <si>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</si>
  <si>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</si>
  <si>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</si>
  <si>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</si>
  <si>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</si>
  <si>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</si>
  <si>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</si>
  <si>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</si>
  <si>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</si>
  <si>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</si>
  <si>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</si>
  <si>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</si>
  <si>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</si>
  <si>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</si>
  <si>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</si>
  <si>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</si>
  <si>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</si>
  <si>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</si>
  <si>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</si>
  <si>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</si>
  <si>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</si>
  <si>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</si>
  <si>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</si>
  <si>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</si>
  <si>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</si>
  <si>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</si>
  <si>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</si>
  <si>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</si>
  <si>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</si>
  <si>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</si>
  <si>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</si>
  <si>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</si>
  <si>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</si>
  <si>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</si>
  <si>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</si>
  <si>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</si>
  <si>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</si>
  <si>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</si>
  <si>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</si>
  <si>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</si>
  <si>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</si>
  <si>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</si>
  <si>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</si>
  <si>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</si>
  <si>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</si>
  <si>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</si>
  <si>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</si>
  <si>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</si>
  <si>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</si>
  <si>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</si>
  <si>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</si>
  <si>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</si>
  <si>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</si>
  <si>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</si>
  <si>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</si>
  <si>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</si>
  <si>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</si>
  <si>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</si>
  <si>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</si>
  <si>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</si>
  <si>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</si>
  <si>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</si>
  <si>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</si>
  <si>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</si>
  <si>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</si>
  <si>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</si>
  <si>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</si>
  <si>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</si>
  <si>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</si>
  <si>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</si>
  <si>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</si>
  <si>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</si>
  <si>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</si>
  <si>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</si>
  <si>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</si>
  <si>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</si>
  <si>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</si>
  <si>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</si>
  <si>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</si>
  <si>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</si>
  <si>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</si>
  <si>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</si>
  <si>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</si>
  <si>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</si>
  <si>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</si>
  <si>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</si>
  <si>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</si>
  <si>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</si>
  <si>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</si>
  <si>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</si>
  <si>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</si>
  <si>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</si>
  <si>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</si>
  <si>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</si>
  <si>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</si>
  <si>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</si>
  <si>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</si>
  <si>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</si>
  <si>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</si>
  <si>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</si>
  <si>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</si>
  <si>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</si>
  <si>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</si>
  <si>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</si>
  <si>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</si>
  <si>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</si>
  <si>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</si>
  <si>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</si>
  <si>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</si>
  <si>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</si>
  <si>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</si>
  <si>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</si>
  <si>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</si>
  <si>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</si>
  <si>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</si>
  <si>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</si>
  <si>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</si>
  <si>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</si>
  <si>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</si>
  <si>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</si>
  <si>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</si>
  <si>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</si>
  <si>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</si>
  <si>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</si>
  <si>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</si>
  <si>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</si>
  <si>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</si>
  <si>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</si>
  <si>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</si>
  <si>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</si>
  <si>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</si>
  <si>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</si>
  <si>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</si>
  <si>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</si>
  <si>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</si>
  <si>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</si>
  <si>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</si>
  <si>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</si>
  <si>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</si>
  <si>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</si>
  <si>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</si>
  <si>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</si>
  <si>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</si>
  <si>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</si>
  <si>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</si>
  <si>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</si>
  <si>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</si>
  <si>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</si>
  <si>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</si>
  <si>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</si>
  <si>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</si>
  <si>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</si>
  <si>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</si>
  <si>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</si>
  <si>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</si>
  <si>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</si>
  <si>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</si>
  <si>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</si>
  <si>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</si>
  <si>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</si>
  <si>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</si>
  <si>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</si>
  <si>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</si>
  <si>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</si>
  <si>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</si>
  <si>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</si>
  <si>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</si>
  <si>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</si>
  <si>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</si>
  <si>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</si>
  <si>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</si>
  <si>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</si>
  <si>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</si>
  <si>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</si>
  <si>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</si>
  <si>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</si>
  <si>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</si>
  <si>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</si>
  <si>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</si>
  <si>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</si>
  <si>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</si>
  <si>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</si>
  <si>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</si>
  <si>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</si>
  <si>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</si>
  <si>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</si>
  <si>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</si>
  <si>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</si>
  <si>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</si>
  <si>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</si>
  <si>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</si>
  <si>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</si>
  <si>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</si>
  <si>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</si>
  <si>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</si>
  <si>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</si>
  <si>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</si>
  <si>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</si>
  <si>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</si>
  <si>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</si>
  <si>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</si>
  <si>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</si>
  <si>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</si>
  <si>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</si>
  <si>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</si>
  <si>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</si>
  <si>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</si>
  <si>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</si>
  <si>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</si>
  <si>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</si>
  <si>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</si>
  <si>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</si>
  <si>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</si>
  <si>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</si>
  <si>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</si>
  <si>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</si>
  <si>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</si>
  <si>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</si>
  <si>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</si>
  <si>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</si>
  <si>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</si>
  <si>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</si>
  <si>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</si>
  <si>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</si>
  <si>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</si>
  <si>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</si>
  <si>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</si>
  <si>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</si>
  <si>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</si>
  <si>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</si>
  <si>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</si>
  <si>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</si>
  <si>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</si>
  <si>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</si>
  <si>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</si>
  <si>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</si>
  <si>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</si>
  <si>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</si>
  <si>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</si>
  <si>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</si>
  <si>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</si>
  <si>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</si>
  <si>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</si>
  <si>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</si>
  <si>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</si>
  <si>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</si>
  <si>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</si>
  <si>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</si>
  <si>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</si>
  <si>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</si>
  <si>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</si>
  <si>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</si>
  <si>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</si>
  <si>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</si>
  <si>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</si>
  <si>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</si>
  <si>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</si>
  <si>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</si>
  <si>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</si>
  <si>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</si>
  <si>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</si>
  <si>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</si>
  <si>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</si>
  <si>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</si>
  <si>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</si>
  <si>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</si>
  <si>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</si>
  <si>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</si>
  <si>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</si>
  <si>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</si>
  <si>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</si>
  <si>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</si>
  <si>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</si>
  <si>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</si>
  <si>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</si>
  <si>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</si>
  <si>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</si>
  <si>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</si>
  <si>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</si>
  <si>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</si>
  <si>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</si>
  <si>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</si>
  <si>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</si>
  <si>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</si>
  <si>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</si>
  <si>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</si>
  <si>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</si>
  <si>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</si>
  <si>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</si>
  <si>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</si>
  <si>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</si>
  <si>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</si>
  <si>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</si>
  <si>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</si>
  <si>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</si>
  <si>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</si>
  <si>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</si>
  <si>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</si>
  <si>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</si>
  <si>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</si>
  <si>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</si>
  <si>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</si>
  <si>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</si>
  <si>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</si>
  <si>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</si>
  <si>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</si>
  <si>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</si>
  <si>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</si>
  <si>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</si>
  <si>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</si>
  <si>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</si>
  <si>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</si>
  <si>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</si>
  <si>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</si>
  <si>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</si>
  <si>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</si>
  <si>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</si>
  <si>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</si>
  <si>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</si>
  <si>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</si>
  <si>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</si>
  <si>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</si>
  <si>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</si>
  <si>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</si>
  <si>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</si>
  <si>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</si>
  <si>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</si>
  <si>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</si>
  <si>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</si>
  <si>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</si>
  <si>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</si>
  <si>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</si>
  <si>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</si>
  <si>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</si>
  <si>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</si>
  <si>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</si>
  <si>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</si>
  <si>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</si>
  <si>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</si>
  <si>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</si>
  <si>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</si>
  <si>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</si>
  <si>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</si>
  <si>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</si>
  <si>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</si>
  <si>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</si>
  <si>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</si>
  <si>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</si>
  <si>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</si>
  <si>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</si>
  <si>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</si>
  <si>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</si>
  <si>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</si>
  <si>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</si>
  <si>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</si>
  <si>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</si>
  <si>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</si>
  <si>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</si>
  <si>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</si>
  <si>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</si>
  <si>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</si>
  <si>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</si>
  <si>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</si>
  <si>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</si>
  <si>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</si>
  <si>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</si>
  <si>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</si>
  <si>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</si>
  <si>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</si>
  <si>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</si>
  <si>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</si>
  <si>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</si>
  <si>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</si>
  <si>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</si>
  <si>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</si>
  <si>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</si>
  <si>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</si>
  <si>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</si>
  <si>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</si>
  <si>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</si>
  <si>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</si>
  <si>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</si>
  <si>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</si>
  <si>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</si>
  <si>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</si>
  <si>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</si>
  <si>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</si>
  <si>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</si>
  <si>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</si>
  <si>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</si>
  <si>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</si>
  <si>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</si>
  <si>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</si>
  <si>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</si>
  <si>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</si>
  <si>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</si>
  <si>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</si>
  <si>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</si>
  <si>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</si>
  <si>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</si>
  <si>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</si>
  <si>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</si>
  <si>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</si>
  <si>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</si>
  <si>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</si>
  <si>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</si>
  <si>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</si>
  <si>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</si>
  <si>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</si>
  <si>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</si>
  <si>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</si>
  <si>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</si>
  <si>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</si>
  <si>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</si>
  <si>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</si>
  <si>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</si>
  <si>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</si>
  <si>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</si>
  <si>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</si>
  <si>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</si>
  <si>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</si>
  <si>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</si>
  <si>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</si>
  <si>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</si>
  <si>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</si>
  <si>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</si>
  <si>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</si>
  <si>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</si>
  <si>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</si>
  <si>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</si>
  <si>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</si>
  <si>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</si>
  <si>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</si>
  <si>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</si>
  <si>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</si>
  <si>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</si>
  <si>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</si>
  <si>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</si>
  <si>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</si>
  <si>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</si>
  <si>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</si>
  <si>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</si>
  <si>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</si>
  <si>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</si>
  <si>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</si>
  <si>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</si>
  <si>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</si>
  <si>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</si>
  <si>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</si>
  <si>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</si>
  <si>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</si>
  <si>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</si>
  <si>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</si>
  <si>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</si>
  <si>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</si>
  <si>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</si>
  <si>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</si>
  <si>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</si>
  <si>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</si>
  <si>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</si>
  <si>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</si>
  <si>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</si>
  <si>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</si>
  <si>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</si>
  <si>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</si>
  <si>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</si>
  <si>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</si>
  <si>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</si>
  <si>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</si>
  <si>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</si>
  <si>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</si>
  <si>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</si>
  <si>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</si>
  <si>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</si>
  <si>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</si>
  <si>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</si>
  <si>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</si>
  <si>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</si>
  <si>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</si>
  <si>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</si>
  <si>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</si>
  <si>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</si>
  <si>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</si>
  <si>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</si>
  <si>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</si>
  <si>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</si>
  <si>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</si>
  <si>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</si>
  <si>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</si>
  <si>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</si>
  <si>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</si>
  <si>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</si>
  <si>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</si>
  <si>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</si>
  <si>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</si>
  <si>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</si>
  <si>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</si>
  <si>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</si>
  <si>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</si>
  <si>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</si>
  <si>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</si>
  <si>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</si>
  <si>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</si>
  <si>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</si>
  <si>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</si>
  <si>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</si>
  <si>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</si>
  <si>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</si>
  <si>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</si>
  <si>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</si>
  <si>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</si>
  <si>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</si>
  <si>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</si>
  <si>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</si>
  <si>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</si>
  <si>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</si>
  <si>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</si>
  <si>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</si>
  <si>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</si>
  <si>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</si>
  <si>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</si>
  <si>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</si>
  <si>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</si>
  <si>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</si>
  <si>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</si>
  <si>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</si>
  <si>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</si>
  <si>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</si>
  <si>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</si>
  <si>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</si>
  <si>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</si>
  <si>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</si>
  <si>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</si>
  <si>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</si>
  <si>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</si>
  <si>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</si>
  <si>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</si>
  <si>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</si>
  <si>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</si>
  <si>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</si>
  <si>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</si>
  <si>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</si>
  <si>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</si>
  <si>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</si>
  <si>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</si>
  <si>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</si>
  <si>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</si>
  <si>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</si>
  <si>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</si>
  <si>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</si>
  <si>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</si>
  <si>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</si>
  <si>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</si>
  <si>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</si>
  <si>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</si>
  <si>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</si>
  <si>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</si>
  <si>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</si>
  <si>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</si>
  <si>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</si>
  <si>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</si>
  <si>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</si>
  <si>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</si>
  <si>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</si>
  <si>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</si>
  <si>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</si>
  <si>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</si>
  <si>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</si>
  <si>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</si>
  <si>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</si>
  <si>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</si>
  <si>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</si>
  <si>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</si>
  <si>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</si>
  <si>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</si>
  <si>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</si>
  <si>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</si>
  <si>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</si>
  <si>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</si>
  <si>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</si>
  <si>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</si>
  <si>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</si>
  <si>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</si>
  <si>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</si>
  <si>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</si>
  <si>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</si>
  <si>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</si>
  <si>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</si>
  <si>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</si>
  <si>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</si>
  <si>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</si>
  <si>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</si>
  <si>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</si>
  <si>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</si>
  <si>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</si>
  <si>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</si>
  <si>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</si>
  <si>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</si>
  <si>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</si>
  <si>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</si>
  <si>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</si>
  <si>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</si>
  <si>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</si>
  <si>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</si>
  <si>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</si>
  <si>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</si>
  <si>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</si>
  <si>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</si>
  <si>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</si>
  <si>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</si>
  <si>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</si>
  <si>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</si>
  <si>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</si>
  <si>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</si>
  <si>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</si>
  <si>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</si>
  <si>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</si>
  <si>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</si>
  <si>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</si>
  <si>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</si>
  <si>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</si>
  <si>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</si>
  <si>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</si>
  <si>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</si>
  <si>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</si>
  <si>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</si>
  <si>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</si>
  <si>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</si>
  <si>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</si>
  <si>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</si>
  <si>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</si>
  <si>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</si>
  <si>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</si>
  <si>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</si>
  <si>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</si>
  <si>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</si>
  <si>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</si>
  <si>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</si>
  <si>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</si>
  <si>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</si>
  <si>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</si>
  <si>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</si>
  <si>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</si>
  <si>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</si>
  <si>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</si>
  <si>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</si>
  <si>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</si>
  <si>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</si>
  <si>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</si>
  <si>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</si>
  <si>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</si>
  <si>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</si>
  <si>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</si>
  <si>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</si>
  <si>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</si>
  <si>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</si>
  <si>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</si>
  <si>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</si>
  <si>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</si>
  <si>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</si>
  <si>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</si>
  <si>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</si>
  <si>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</si>
  <si>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</si>
  <si>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</si>
  <si>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</si>
  <si>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</si>
  <si>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</si>
  <si>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</si>
  <si>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</si>
  <si>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</si>
  <si>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</si>
  <si>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</si>
  <si>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</si>
  <si>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</si>
  <si>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</si>
  <si>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</si>
  <si>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</si>
  <si>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</si>
  <si>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</si>
  <si>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</si>
  <si>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</si>
  <si>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</si>
  <si>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</si>
  <si>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</si>
  <si>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</si>
  <si>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</si>
  <si>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</si>
  <si>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</si>
  <si>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</si>
  <si>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</si>
  <si>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</si>
  <si>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</si>
  <si>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</si>
  <si>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</si>
  <si>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</si>
  <si>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</si>
  <si>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</si>
  <si>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</si>
  <si>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</si>
  <si>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</si>
  <si>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</si>
  <si>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</si>
  <si>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</si>
  <si>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</si>
  <si>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</si>
  <si>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</si>
  <si>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</si>
  <si>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</si>
  <si>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</si>
  <si>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</si>
  <si>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</si>
  <si>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</si>
  <si>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</si>
  <si>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</si>
  <si>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</si>
  <si>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</si>
  <si>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</si>
  <si>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</si>
  <si>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</si>
  <si>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</si>
  <si>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</si>
  <si>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</si>
  <si>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</si>
  <si>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</si>
  <si>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</si>
  <si>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</si>
  <si>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</si>
  <si>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</si>
  <si>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</si>
  <si>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</si>
  <si>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</si>
  <si>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</si>
  <si>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</si>
  <si>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</si>
  <si>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</si>
  <si>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</si>
  <si>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</si>
  <si>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</si>
  <si>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</si>
  <si>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</si>
  <si>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</si>
  <si>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</si>
  <si>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</si>
  <si>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</si>
  <si>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</si>
  <si>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</si>
  <si>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</si>
  <si>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</si>
  <si>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</si>
  <si>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</si>
  <si>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</si>
  <si>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</si>
  <si>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</si>
  <si>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</si>
  <si>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</si>
  <si>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</si>
  <si>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</si>
  <si>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</si>
  <si>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</si>
  <si>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</si>
  <si>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</si>
  <si>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</si>
  <si>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</si>
  <si>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</si>
  <si>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</si>
  <si>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</si>
  <si>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</si>
  <si>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</si>
  <si>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</si>
  <si>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</si>
  <si>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</si>
  <si>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</si>
  <si>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</si>
  <si>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</si>
  <si>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</si>
  <si>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</si>
  <si>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</si>
  <si>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</si>
  <si>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</si>
  <si>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</si>
  <si>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</si>
  <si>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</si>
  <si>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</si>
  <si>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</si>
  <si>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</si>
  <si>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</si>
  <si>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</si>
  <si>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</si>
  <si>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</si>
  <si>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</si>
  <si>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</si>
  <si>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</si>
  <si>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</si>
  <si>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</si>
  <si>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</si>
  <si>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</si>
  <si>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</si>
  <si>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</si>
  <si>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</si>
  <si>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</si>
  <si>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</si>
  <si>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</si>
  <si>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</si>
  <si>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</si>
  <si>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</si>
  <si>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</si>
  <si>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</si>
  <si>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</si>
  <si>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</si>
  <si>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</si>
  <si>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</si>
  <si>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</si>
  <si>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</si>
  <si>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</si>
  <si>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</si>
  <si>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</si>
  <si>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</si>
  <si>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</si>
  <si>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</si>
  <si>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</si>
  <si>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</si>
  <si>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</si>
  <si>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</si>
  <si>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</si>
  <si>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</si>
  <si>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</si>
  <si>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</si>
  <si>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</si>
  <si>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</si>
  <si>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</si>
  <si>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</si>
  <si>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</si>
  <si>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</si>
  <si>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</si>
  <si>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</si>
  <si>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</si>
  <si>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</si>
  <si>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</si>
  <si>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</si>
  <si>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</si>
  <si>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</si>
  <si>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</si>
  <si>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</si>
  <si>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</si>
  <si>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</si>
  <si>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</si>
  <si>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</si>
  <si>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</si>
  <si>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</si>
  <si>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</si>
  <si>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</si>
  <si>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</si>
  <si>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</si>
  <si>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</si>
  <si>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</si>
  <si>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</si>
  <si>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</si>
  <si>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</si>
  <si>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</si>
  <si>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</si>
  <si>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</si>
  <si>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</si>
  <si>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</si>
  <si>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</si>
  <si>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</si>
  <si>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</si>
  <si>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</si>
  <si>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</si>
  <si>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</si>
  <si>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</si>
  <si>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</si>
  <si>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</si>
  <si>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</si>
  <si>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</si>
  <si>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</si>
  <si>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</si>
  <si>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</si>
  <si>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</si>
  <si>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</si>
  <si>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</si>
  <si>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</si>
  <si>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</si>
  <si>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</si>
  <si>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</si>
  <si>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</si>
  <si>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</si>
  <si>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</si>
  <si>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</si>
  <si>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</si>
  <si>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</si>
  <si>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</si>
  <si>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</si>
  <si>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</si>
  <si>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</si>
  <si>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</si>
  <si>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</si>
  <si>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</si>
  <si>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</si>
  <si>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</si>
  <si>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</si>
  <si>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</si>
  <si>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</si>
  <si>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</si>
  <si>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</si>
  <si>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</si>
  <si>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</si>
  <si>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</si>
  <si>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</si>
  <si>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</si>
  <si>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</si>
  <si>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</si>
  <si>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</si>
  <si>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</si>
  <si>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</si>
  <si>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</si>
  <si>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</si>
  <si>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</si>
  <si>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</si>
  <si>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</si>
  <si>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</si>
  <si>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</si>
  <si>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</si>
  <si>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</si>
  <si>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</si>
  <si>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</si>
  <si>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</si>
  <si>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</si>
  <si>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</si>
  <si>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</si>
  <si>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</si>
  <si>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</si>
  <si>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</si>
  <si>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</si>
  <si>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</si>
  <si>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</si>
  <si>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</si>
  <si>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</si>
  <si>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</si>
  <si>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</si>
  <si>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</si>
  <si>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</si>
  <si>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</si>
  <si>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</si>
  <si>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</si>
  <si>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</si>
  <si>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</si>
  <si>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</si>
  <si>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</si>
  <si>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</si>
  <si>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</si>
  <si>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</si>
  <si>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</si>
  <si>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</si>
  <si>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</si>
  <si>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</si>
  <si>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</si>
  <si>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</si>
  <si>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</si>
  <si>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</si>
  <si>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</si>
  <si>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</si>
  <si>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</si>
  <si>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</si>
  <si>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</si>
  <si>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</si>
  <si>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</si>
  <si>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</si>
  <si>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</si>
  <si>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</si>
  <si>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</si>
  <si>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</si>
  <si>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</si>
  <si>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</si>
  <si>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</si>
  <si>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</si>
  <si>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</si>
  <si>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</si>
  <si>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</si>
  <si>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</si>
  <si>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</si>
  <si>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</si>
  <si>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</si>
  <si>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</si>
  <si>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</si>
  <si>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</si>
  <si>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</si>
  <si>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</si>
  <si>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</si>
  <si>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</si>
  <si>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</si>
  <si>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</si>
  <si>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</si>
  <si>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</si>
  <si>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</si>
  <si>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</si>
  <si>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</si>
  <si>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</si>
  <si>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</si>
  <si>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</si>
  <si>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</si>
  <si>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</si>
  <si>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</si>
  <si>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</si>
  <si>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</si>
  <si>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</si>
  <si>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</si>
  <si>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</si>
  <si>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</si>
  <si>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</si>
  <si>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</si>
  <si>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</si>
  <si>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</si>
  <si>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</si>
  <si>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</si>
  <si>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</si>
  <si>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</si>
  <si>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</si>
  <si>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</si>
  <si>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</si>
  <si>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</si>
  <si>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</si>
  <si>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</si>
  <si>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</si>
  <si>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</si>
  <si>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</si>
  <si>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</si>
  <si>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</si>
  <si>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</si>
  <si>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</si>
  <si>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</si>
  <si>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</si>
  <si>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</si>
  <si>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</si>
  <si>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</si>
  <si>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</si>
  <si>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</si>
  <si>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</si>
  <si>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</si>
  <si>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</si>
  <si>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</si>
  <si>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与级别开发程度一致</t>
  </si>
  <si>
    <t>一般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</si>
</sst>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根据《国有土地使用证》[]，估价对象（分摊）出让国有建设用地使用权面积为1778900平方米。根据《建设工程规划许可证》[]、《出让合同》[]，估价对象规划建筑面积为4447250平方米。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1778900</v>
      </c>
    </row>
    <row r="44" spans="1:2">
      <c r="A44" s="2357" t="s">
        <v>2022</v>
      </c>
      <c r="B44" s="2358" t="str">
        <f>'预评函-2'!O3</f>
        <v>规划建筑面积/㎡</v>
      </c>
    </row>
    <row r="45" spans="1:2">
      <c r="A45" s="2357" t="s">
        <v>2004</v>
      </c>
      <c r="B45" s="2358">
        <f>'预评函-2'!O5</f>
        <v>4447250</v>
      </c>
    </row>
    <row r="46" spans="1:2">
      <c r="A46" s="2357" t="s">
        <v>2005</v>
      </c>
      <c r="B46" s="2358">
        <f ca="1">'预评函-2'!P5</f>
        <v>36152</v>
      </c>
    </row>
    <row r="47" spans="1:2">
      <c r="A47" s="2357" t="s">
        <v>2006</v>
      </c>
      <c r="B47" s="2358">
        <f ca="1">'预评函-2'!Q5</f>
        <v>14461</v>
      </c>
    </row>
    <row r="48" spans="1:2">
      <c r="A48" s="2357" t="s">
        <v>2007</v>
      </c>
      <c r="B48" s="2358">
        <f ca="1">'预评函-2'!R5</f>
        <v>6431141</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44994</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3349</v>
      </c>
      <c r="C2" s="3717" t="s">
        <v>3348</v>
      </c>
      <c r="D2" s="3717" t="s">
        <v>3350</v>
      </c>
      <c r="E2" s="3717" t="s">
        <v>3346</v>
      </c>
      <c r="F2" s="3717"/>
      <c r="G2" s="3717"/>
      <c r="H2" s="3717" t="s">
        <v>3345</v>
      </c>
      <c r="I2" s="3717" t="s">
        <v>3351</v>
      </c>
      <c r="J2" s="3718" t="s">
        <v>3343</v>
      </c>
      <c r="K2" s="3719"/>
      <c r="L2" s="3719" t="s">
        <v>3342</v>
      </c>
      <c r="M2" s="3719"/>
    </row>
    <row r="3" spans="1:13" ht="33">
      <c r="A3" s="3720"/>
      <c r="B3" s="3720"/>
      <c r="C3" s="3717"/>
      <c r="D3" s="3717"/>
      <c r="E3" s="3672" t="s">
        <v>16</v>
      </c>
      <c r="F3" s="3672" t="s">
        <v>3341</v>
      </c>
      <c r="G3" s="3673" t="s">
        <v>3340</v>
      </c>
      <c r="H3" s="3717"/>
      <c r="I3" s="3717"/>
      <c r="J3" s="3678" t="s">
        <v>3337</v>
      </c>
      <c r="K3" s="3677" t="s">
        <v>3336</v>
      </c>
      <c r="L3" s="3677" t="s">
        <v>3337</v>
      </c>
      <c r="M3" s="3677" t="s">
        <v>3336</v>
      </c>
    </row>
    <row r="4" spans="1:13" ht="27" customHeight="1">
      <c r="A4" s="3676">
        <v>1</v>
      </c>
      <c r="B4" s="3676" t="s">
        <v>3352</v>
      </c>
      <c r="C4" s="3675" t="s">
        <v>3316</v>
      </c>
      <c r="D4" s="3675">
        <v>106.26</v>
      </c>
      <c r="E4" s="3675">
        <v>62.21</v>
      </c>
      <c r="F4" s="3675">
        <v>34.299999999999997</v>
      </c>
      <c r="G4" s="3675">
        <v>18.29</v>
      </c>
      <c r="H4" s="3675">
        <f>D4-E4</f>
        <v>44.050000000000004</v>
      </c>
      <c r="I4" s="3676" t="s">
        <v>3353</v>
      </c>
    </row>
    <row r="5" spans="1:13" ht="21" customHeight="1">
      <c r="A5" s="3676">
        <v>2</v>
      </c>
      <c r="B5" s="3676" t="s">
        <v>3354</v>
      </c>
      <c r="C5" s="3675" t="s">
        <v>3316</v>
      </c>
      <c r="D5" s="3679">
        <v>36.622449000000003</v>
      </c>
      <c r="E5" s="3679">
        <v>36.622449000000003</v>
      </c>
      <c r="F5" s="3679">
        <v>36.622449000000003</v>
      </c>
      <c r="G5" s="3675">
        <v>0</v>
      </c>
      <c r="H5" s="3675">
        <v>0</v>
      </c>
      <c r="I5" s="3676" t="s">
        <v>3355</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3349</v>
      </c>
      <c r="C2" s="3724" t="s">
        <v>3348</v>
      </c>
      <c r="D2" s="3717" t="s">
        <v>3347</v>
      </c>
      <c r="E2" s="3717" t="s">
        <v>3346</v>
      </c>
      <c r="F2" s="3717"/>
      <c r="G2" s="3717"/>
      <c r="H2" s="3717" t="s">
        <v>3345</v>
      </c>
      <c r="I2" s="3721" t="s">
        <v>3344</v>
      </c>
      <c r="J2" s="3722"/>
      <c r="K2" s="3723"/>
      <c r="L2" s="3718" t="s">
        <v>3343</v>
      </c>
      <c r="M2" s="3719"/>
      <c r="N2" s="3719" t="s">
        <v>3342</v>
      </c>
      <c r="O2" s="3719"/>
    </row>
    <row r="3" spans="1:15" ht="32.25" customHeight="1">
      <c r="A3" s="3720"/>
      <c r="B3" s="3720"/>
      <c r="C3" s="3725"/>
      <c r="D3" s="3717"/>
      <c r="E3" s="3672" t="s">
        <v>16</v>
      </c>
      <c r="F3" s="3672" t="s">
        <v>3341</v>
      </c>
      <c r="G3" s="3673" t="s">
        <v>3340</v>
      </c>
      <c r="H3" s="3717"/>
      <c r="I3" s="3672" t="s">
        <v>3339</v>
      </c>
      <c r="J3" s="3672" t="s">
        <v>3338</v>
      </c>
      <c r="K3" s="3672" t="s">
        <v>1555</v>
      </c>
      <c r="L3" s="3678" t="s">
        <v>3337</v>
      </c>
      <c r="M3" s="3677" t="s">
        <v>3336</v>
      </c>
      <c r="N3" s="3677" t="s">
        <v>3337</v>
      </c>
      <c r="O3" s="3677" t="s">
        <v>3336</v>
      </c>
    </row>
    <row r="4" spans="1:15" ht="22.5" customHeight="1">
      <c r="A4" s="3676">
        <v>1</v>
      </c>
      <c r="B4" s="3676" t="s">
        <v>3356</v>
      </c>
      <c r="C4" s="3675" t="s">
        <v>3333</v>
      </c>
      <c r="D4" s="3675">
        <v>41.16</v>
      </c>
      <c r="E4" s="3675">
        <v>22.74</v>
      </c>
      <c r="F4" s="3675">
        <v>22.74</v>
      </c>
      <c r="G4" s="3675">
        <v>0</v>
      </c>
      <c r="H4" s="3675">
        <v>18.420000000000002</v>
      </c>
      <c r="I4" s="3675" t="s">
        <v>3266</v>
      </c>
      <c r="J4" s="3675" t="s">
        <v>3326</v>
      </c>
      <c r="K4" s="3676" t="s">
        <v>3328</v>
      </c>
    </row>
    <row r="5" spans="1:15" ht="16.5">
      <c r="A5" s="3676">
        <v>2</v>
      </c>
      <c r="B5" s="3676" t="s">
        <v>3335</v>
      </c>
      <c r="C5" s="3675" t="s">
        <v>3333</v>
      </c>
      <c r="D5" s="3675">
        <v>16.54</v>
      </c>
      <c r="E5" s="3675">
        <v>12.3</v>
      </c>
      <c r="F5" s="3675">
        <v>2.84</v>
      </c>
      <c r="G5" s="3675">
        <v>9.4600000000000009</v>
      </c>
      <c r="H5" s="3675">
        <v>4.24</v>
      </c>
      <c r="I5" s="3675" t="s">
        <v>3269</v>
      </c>
      <c r="J5" s="3675" t="s">
        <v>3269</v>
      </c>
      <c r="K5" s="3675" t="s">
        <v>3264</v>
      </c>
    </row>
    <row r="6" spans="1:15" ht="16.5">
      <c r="A6" s="3676">
        <v>3</v>
      </c>
      <c r="B6" s="3676" t="s">
        <v>3334</v>
      </c>
      <c r="C6" s="3675" t="s">
        <v>3333</v>
      </c>
      <c r="D6" s="3675">
        <v>24.03</v>
      </c>
      <c r="E6" s="3675">
        <v>15.87</v>
      </c>
      <c r="F6" s="3675">
        <v>10.49</v>
      </c>
      <c r="G6" s="3675">
        <v>0</v>
      </c>
      <c r="H6" s="3675">
        <v>8.16</v>
      </c>
      <c r="I6" s="3675" t="s">
        <v>3269</v>
      </c>
      <c r="J6" s="3675" t="s">
        <v>3269</v>
      </c>
      <c r="K6" s="3675" t="s">
        <v>3264</v>
      </c>
    </row>
    <row r="7" spans="1:15" ht="16.5">
      <c r="A7" s="3676">
        <v>4</v>
      </c>
      <c r="B7" s="3676" t="s">
        <v>3359</v>
      </c>
      <c r="C7" s="3675" t="s">
        <v>3333</v>
      </c>
      <c r="D7" s="3675">
        <v>40.840000000000003</v>
      </c>
      <c r="E7" s="3675">
        <v>28.31</v>
      </c>
      <c r="F7" s="3675">
        <v>2.19</v>
      </c>
      <c r="G7" s="3675">
        <v>2.2999999999999998</v>
      </c>
      <c r="H7" s="3675">
        <v>12.53</v>
      </c>
      <c r="I7" s="3675" t="s">
        <v>3269</v>
      </c>
      <c r="J7" s="3675" t="s">
        <v>3269</v>
      </c>
      <c r="K7" s="3675" t="s">
        <v>3264</v>
      </c>
    </row>
    <row r="8" spans="1:15" ht="16.5">
      <c r="A8" s="3676">
        <v>5</v>
      </c>
      <c r="B8" s="3676" t="s">
        <v>3360</v>
      </c>
      <c r="C8" s="3675" t="s">
        <v>3333</v>
      </c>
      <c r="D8" s="3675">
        <v>34.39</v>
      </c>
      <c r="E8" s="3675">
        <v>21.19</v>
      </c>
      <c r="F8" s="3675">
        <v>16.579999999999998</v>
      </c>
      <c r="G8" s="3675">
        <v>2.15</v>
      </c>
      <c r="H8" s="3675">
        <v>13.2</v>
      </c>
      <c r="I8" s="3675" t="s">
        <v>3269</v>
      </c>
      <c r="J8" s="3675" t="s">
        <v>3269</v>
      </c>
      <c r="K8" s="3675" t="s">
        <v>3264</v>
      </c>
    </row>
    <row r="9" spans="1:15" ht="16.5">
      <c r="A9" s="3676">
        <v>6</v>
      </c>
      <c r="B9" s="3676" t="s">
        <v>3361</v>
      </c>
      <c r="C9" s="3675" t="s">
        <v>3333</v>
      </c>
      <c r="D9" s="3675">
        <v>15.96</v>
      </c>
      <c r="E9" s="3675">
        <v>10.28</v>
      </c>
      <c r="F9" s="3675">
        <v>6.1</v>
      </c>
      <c r="G9" s="3675">
        <v>1.24</v>
      </c>
      <c r="H9" s="3675">
        <v>5.68</v>
      </c>
      <c r="I9" s="3675" t="s">
        <v>3269</v>
      </c>
      <c r="J9" s="3675" t="s">
        <v>3269</v>
      </c>
      <c r="K9" s="3676" t="s">
        <v>3320</v>
      </c>
    </row>
    <row r="10" spans="1:15" ht="16.5">
      <c r="A10" s="3676">
        <v>7</v>
      </c>
      <c r="B10" s="3676" t="s">
        <v>3362</v>
      </c>
      <c r="C10" s="3675" t="s">
        <v>3333</v>
      </c>
      <c r="D10" s="3675">
        <v>4.4000000000000004</v>
      </c>
      <c r="E10" s="3675">
        <v>4.4000000000000004</v>
      </c>
      <c r="F10" s="3675">
        <v>4.4000000000000004</v>
      </c>
      <c r="G10" s="3675">
        <v>0</v>
      </c>
      <c r="H10" s="3675">
        <v>0</v>
      </c>
      <c r="I10" s="3675" t="s">
        <v>3269</v>
      </c>
      <c r="J10" s="3675" t="s">
        <v>3269</v>
      </c>
      <c r="K10" s="3675" t="s">
        <v>3264</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3372</v>
      </c>
      <c r="C12" s="3675" t="s">
        <v>3329</v>
      </c>
      <c r="D12" s="3675">
        <v>27.6</v>
      </c>
      <c r="E12" s="3675">
        <v>14.14</v>
      </c>
      <c r="F12" s="3675">
        <v>5.93</v>
      </c>
      <c r="G12" s="3675">
        <v>8.2100000000000009</v>
      </c>
      <c r="H12" s="3675">
        <v>13.46</v>
      </c>
      <c r="I12" s="3675" t="s">
        <v>3269</v>
      </c>
      <c r="J12" s="3675" t="s">
        <v>3285</v>
      </c>
      <c r="K12" s="3676" t="s">
        <v>3312</v>
      </c>
    </row>
    <row r="13" spans="1:15" ht="16.5">
      <c r="A13" s="3676">
        <v>9</v>
      </c>
      <c r="B13" s="3683" t="s">
        <v>3332</v>
      </c>
      <c r="C13" s="3684" t="s">
        <v>3329</v>
      </c>
      <c r="D13" s="3684">
        <v>14.45</v>
      </c>
      <c r="E13" s="3684">
        <v>7.19</v>
      </c>
      <c r="F13" s="3684">
        <v>5.09</v>
      </c>
      <c r="G13" s="3684">
        <v>2.1</v>
      </c>
      <c r="H13" s="3684">
        <v>7.26</v>
      </c>
      <c r="I13" s="3684" t="s">
        <v>3269</v>
      </c>
      <c r="J13" s="3684" t="s">
        <v>3285</v>
      </c>
      <c r="K13" s="3683" t="s">
        <v>3312</v>
      </c>
    </row>
    <row r="14" spans="1:15" ht="16.5">
      <c r="A14" s="3676">
        <v>10</v>
      </c>
      <c r="B14" s="3676" t="s">
        <v>3357</v>
      </c>
      <c r="C14" s="3675" t="s">
        <v>3329</v>
      </c>
      <c r="D14" s="3675">
        <v>65</v>
      </c>
      <c r="E14" s="3675">
        <v>15.84</v>
      </c>
      <c r="F14" s="3675">
        <v>7.59</v>
      </c>
      <c r="G14" s="3675">
        <v>8.25</v>
      </c>
      <c r="H14" s="3675">
        <v>49.16</v>
      </c>
      <c r="I14" s="3675" t="s">
        <v>3273</v>
      </c>
      <c r="J14" s="3675" t="s">
        <v>3273</v>
      </c>
      <c r="K14" s="3676" t="s">
        <v>3331</v>
      </c>
    </row>
    <row r="15" spans="1:15" ht="16.5">
      <c r="A15" s="3676">
        <v>11</v>
      </c>
      <c r="B15" s="3676" t="s">
        <v>3358</v>
      </c>
      <c r="C15" s="3675" t="s">
        <v>3329</v>
      </c>
      <c r="D15" s="3675">
        <v>20.059999999999999</v>
      </c>
      <c r="E15" s="3675">
        <v>10</v>
      </c>
      <c r="F15" s="3675">
        <v>10</v>
      </c>
      <c r="G15" s="3675">
        <v>0</v>
      </c>
      <c r="H15" s="3675">
        <v>10.06</v>
      </c>
      <c r="I15" s="3675" t="s">
        <v>3273</v>
      </c>
      <c r="J15" s="3675" t="s">
        <v>3273</v>
      </c>
      <c r="K15" s="3676" t="s">
        <v>3328</v>
      </c>
    </row>
    <row r="16" spans="1:15" ht="16.5">
      <c r="A16" s="3676">
        <v>12</v>
      </c>
      <c r="B16" s="3676" t="s">
        <v>3330</v>
      </c>
      <c r="C16" s="3675" t="s">
        <v>3329</v>
      </c>
      <c r="D16" s="3675">
        <v>30.02</v>
      </c>
      <c r="E16" s="3675">
        <v>10</v>
      </c>
      <c r="F16" s="3675">
        <v>10</v>
      </c>
      <c r="G16" s="3675">
        <v>0</v>
      </c>
      <c r="H16" s="3675">
        <v>20.02</v>
      </c>
      <c r="I16" s="3675" t="s">
        <v>3273</v>
      </c>
      <c r="J16" s="3675" t="s">
        <v>3273</v>
      </c>
      <c r="K16" s="3676" t="s">
        <v>3328</v>
      </c>
    </row>
    <row r="17" spans="1:11" ht="16.5">
      <c r="A17" s="3674"/>
      <c r="B17" s="3721" t="s">
        <v>16</v>
      </c>
      <c r="C17" s="3722"/>
      <c r="D17" s="3722"/>
      <c r="E17" s="3723"/>
      <c r="F17" s="3672">
        <f>SUM(F12:F16)</f>
        <v>38.61</v>
      </c>
      <c r="G17" s="3672"/>
      <c r="H17" s="3672"/>
      <c r="I17" s="3672"/>
      <c r="J17" s="3672"/>
      <c r="K17" s="3672"/>
    </row>
    <row r="18" spans="1:11" ht="16.5">
      <c r="A18" s="3676">
        <v>13</v>
      </c>
      <c r="B18" s="3676" t="s">
        <v>3327</v>
      </c>
      <c r="C18" s="3675" t="s">
        <v>3321</v>
      </c>
      <c r="D18" s="3675">
        <v>17.440000000000001</v>
      </c>
      <c r="E18" s="3675">
        <v>12.29</v>
      </c>
      <c r="F18" s="3675">
        <v>12.29</v>
      </c>
      <c r="G18" s="3675">
        <v>0</v>
      </c>
      <c r="H18" s="3675">
        <v>5.15</v>
      </c>
      <c r="I18" s="3675" t="s">
        <v>3273</v>
      </c>
      <c r="J18" s="3675" t="s">
        <v>3326</v>
      </c>
      <c r="K18" s="3675" t="s">
        <v>3325</v>
      </c>
    </row>
    <row r="19" spans="1:11" ht="16.5">
      <c r="A19" s="3676">
        <v>14</v>
      </c>
      <c r="B19" s="3676" t="s">
        <v>3363</v>
      </c>
      <c r="C19" s="3675" t="s">
        <v>3321</v>
      </c>
      <c r="D19" s="3675">
        <v>42.39</v>
      </c>
      <c r="E19" s="3675">
        <v>25.32</v>
      </c>
      <c r="F19" s="3675">
        <v>6.49</v>
      </c>
      <c r="G19" s="3675">
        <v>8.83</v>
      </c>
      <c r="H19" s="3675">
        <v>17.07</v>
      </c>
      <c r="I19" s="3675" t="s">
        <v>3273</v>
      </c>
      <c r="J19" s="3675" t="s">
        <v>3273</v>
      </c>
      <c r="K19" s="3676" t="s">
        <v>3296</v>
      </c>
    </row>
    <row r="20" spans="1:11" ht="33">
      <c r="A20" s="3676">
        <v>15</v>
      </c>
      <c r="B20" s="3676" t="s">
        <v>3364</v>
      </c>
      <c r="C20" s="3675" t="s">
        <v>3321</v>
      </c>
      <c r="D20" s="3675">
        <v>18.149999999999999</v>
      </c>
      <c r="E20" s="3675">
        <v>5.75</v>
      </c>
      <c r="F20" s="3675">
        <v>1.73</v>
      </c>
      <c r="G20" s="3675">
        <v>4.03</v>
      </c>
      <c r="H20" s="3675">
        <v>12.4</v>
      </c>
      <c r="I20" s="3675" t="s">
        <v>3273</v>
      </c>
      <c r="J20" s="3675" t="s">
        <v>3269</v>
      </c>
      <c r="K20" s="3676" t="s">
        <v>3324</v>
      </c>
    </row>
    <row r="21" spans="1:11" ht="16.5">
      <c r="A21" s="3676">
        <v>16</v>
      </c>
      <c r="B21" s="3676" t="s">
        <v>3323</v>
      </c>
      <c r="C21" s="3675" t="s">
        <v>3321</v>
      </c>
      <c r="D21" s="3675">
        <v>6.81</v>
      </c>
      <c r="E21" s="3675">
        <v>5.77</v>
      </c>
      <c r="F21" s="3675">
        <v>4.09</v>
      </c>
      <c r="G21" s="3675">
        <v>1.68</v>
      </c>
      <c r="H21" s="3675">
        <v>1.04</v>
      </c>
      <c r="I21" s="3675" t="s">
        <v>3266</v>
      </c>
      <c r="J21" s="3675" t="s">
        <v>3273</v>
      </c>
      <c r="K21" s="3676" t="s">
        <v>3322</v>
      </c>
    </row>
    <row r="22" spans="1:11" ht="16.5">
      <c r="A22" s="3676">
        <v>17</v>
      </c>
      <c r="B22" s="3676" t="s">
        <v>3365</v>
      </c>
      <c r="C22" s="3675" t="s">
        <v>3321</v>
      </c>
      <c r="D22" s="3675">
        <v>50.99</v>
      </c>
      <c r="E22" s="3675">
        <v>31.32</v>
      </c>
      <c r="F22" s="3675">
        <v>6.5</v>
      </c>
      <c r="G22" s="3675">
        <f>23-F22</f>
        <v>16.5</v>
      </c>
      <c r="H22" s="3675">
        <v>19.670000000000002</v>
      </c>
      <c r="I22" s="3675" t="s">
        <v>3269</v>
      </c>
      <c r="J22" s="3675" t="s">
        <v>3269</v>
      </c>
      <c r="K22" s="3676" t="s">
        <v>3320</v>
      </c>
    </row>
    <row r="23" spans="1:11" ht="16.5">
      <c r="A23" s="3674"/>
      <c r="B23" s="3721" t="s">
        <v>16</v>
      </c>
      <c r="C23" s="3722"/>
      <c r="D23" s="3722"/>
      <c r="E23" s="3723"/>
      <c r="F23" s="3672">
        <f>SUM(F18:F22)</f>
        <v>31.1</v>
      </c>
      <c r="G23" s="3672"/>
      <c r="H23" s="3672"/>
      <c r="I23" s="3672"/>
      <c r="J23" s="3672"/>
      <c r="K23" s="3672"/>
    </row>
    <row r="24" spans="1:11" ht="16.5">
      <c r="A24" s="3676">
        <v>18</v>
      </c>
      <c r="B24" s="3676" t="s">
        <v>3366</v>
      </c>
      <c r="C24" s="3675" t="s">
        <v>3316</v>
      </c>
      <c r="D24" s="3675">
        <v>14.8</v>
      </c>
      <c r="E24" s="3675">
        <v>11.8</v>
      </c>
      <c r="F24" s="3675">
        <v>11.8</v>
      </c>
      <c r="G24" s="3675">
        <v>0</v>
      </c>
      <c r="H24" s="3675">
        <v>3</v>
      </c>
      <c r="I24" s="3675" t="s">
        <v>3273</v>
      </c>
      <c r="J24" s="3675" t="s">
        <v>3273</v>
      </c>
      <c r="K24" s="3676" t="s">
        <v>3319</v>
      </c>
    </row>
    <row r="25" spans="1:11" ht="16.5">
      <c r="A25" s="3676">
        <v>19</v>
      </c>
      <c r="B25" s="3676" t="s">
        <v>3367</v>
      </c>
      <c r="C25" s="3675" t="s">
        <v>3316</v>
      </c>
      <c r="D25" s="3675">
        <v>243.03</v>
      </c>
      <c r="E25" s="3675">
        <v>130.63</v>
      </c>
      <c r="F25" s="3675">
        <v>74.12</v>
      </c>
      <c r="G25" s="3675">
        <v>42.38</v>
      </c>
      <c r="H25" s="3675">
        <v>112.4</v>
      </c>
      <c r="I25" s="3675" t="s">
        <v>3273</v>
      </c>
      <c r="J25" s="3675" t="s">
        <v>3273</v>
      </c>
      <c r="K25" s="3676" t="s">
        <v>3318</v>
      </c>
    </row>
    <row r="26" spans="1:11" ht="16.5">
      <c r="A26" s="3676">
        <v>20</v>
      </c>
      <c r="B26" s="3676" t="s">
        <v>3317</v>
      </c>
      <c r="C26" s="3675" t="s">
        <v>3316</v>
      </c>
      <c r="D26" s="3675">
        <v>50.45</v>
      </c>
      <c r="E26" s="3675">
        <v>32.18</v>
      </c>
      <c r="F26" s="3675">
        <v>32.18</v>
      </c>
      <c r="G26" s="3675">
        <v>0</v>
      </c>
      <c r="H26" s="3675">
        <v>18.27</v>
      </c>
      <c r="I26" s="3675" t="s">
        <v>3273</v>
      </c>
      <c r="J26" s="3675" t="s">
        <v>3273</v>
      </c>
      <c r="K26" s="3676" t="s">
        <v>3296</v>
      </c>
    </row>
    <row r="27" spans="1:11" ht="16.5">
      <c r="A27" s="3674"/>
      <c r="B27" s="3721" t="s">
        <v>16</v>
      </c>
      <c r="C27" s="3722"/>
      <c r="D27" s="3722"/>
      <c r="E27" s="3723"/>
      <c r="F27" s="3672">
        <f>SUM(F24:F26)</f>
        <v>118.1</v>
      </c>
      <c r="G27" s="3672"/>
      <c r="H27" s="3672"/>
      <c r="I27" s="3672"/>
      <c r="J27" s="3672"/>
      <c r="K27" s="3672"/>
    </row>
    <row r="28" spans="1:11" ht="16.5">
      <c r="A28" s="3674"/>
      <c r="B28" s="3721" t="s">
        <v>3263</v>
      </c>
      <c r="C28" s="3722"/>
      <c r="D28" s="3722"/>
      <c r="E28" s="3723"/>
      <c r="F28" s="3672">
        <f>SUM(F27,F23,F17,F11)</f>
        <v>253.15</v>
      </c>
      <c r="G28" s="3672"/>
      <c r="H28" s="3672"/>
      <c r="I28" s="3672"/>
      <c r="J28" s="3672"/>
      <c r="K28" s="3672"/>
    </row>
    <row r="29" spans="1:11" ht="16.5">
      <c r="A29" s="3676">
        <v>21</v>
      </c>
      <c r="B29" s="3676" t="s">
        <v>3315</v>
      </c>
      <c r="C29" s="3675"/>
      <c r="D29" s="3675">
        <v>27.24</v>
      </c>
      <c r="E29" s="3675">
        <v>8.17</v>
      </c>
      <c r="F29" s="3675">
        <v>0.37</v>
      </c>
      <c r="G29" s="3675">
        <v>4.28</v>
      </c>
      <c r="H29" s="3675">
        <v>19.07</v>
      </c>
      <c r="I29" s="3675" t="s">
        <v>3269</v>
      </c>
      <c r="J29" s="3675" t="s">
        <v>3269</v>
      </c>
      <c r="K29" s="3675" t="s">
        <v>3264</v>
      </c>
    </row>
    <row r="30" spans="1:11" ht="16.5">
      <c r="A30" s="3676">
        <v>22</v>
      </c>
      <c r="B30" s="3676" t="s">
        <v>3314</v>
      </c>
      <c r="C30" s="3675"/>
      <c r="D30" s="3675">
        <v>10.19</v>
      </c>
      <c r="E30" s="3675">
        <v>0.83</v>
      </c>
      <c r="F30" s="3675">
        <v>0.83</v>
      </c>
      <c r="G30" s="3675">
        <v>0</v>
      </c>
      <c r="H30" s="3675">
        <v>9.36</v>
      </c>
      <c r="I30" s="3675" t="s">
        <v>3269</v>
      </c>
      <c r="J30" s="3675" t="s">
        <v>3269</v>
      </c>
      <c r="K30" s="3675" t="s">
        <v>3264</v>
      </c>
    </row>
    <row r="31" spans="1:11" ht="15.75" customHeight="1">
      <c r="A31" s="3676">
        <v>23</v>
      </c>
      <c r="B31" s="3676" t="s">
        <v>3313</v>
      </c>
      <c r="C31" s="3675"/>
      <c r="D31" s="3675">
        <v>7.62</v>
      </c>
      <c r="E31" s="3675">
        <v>3.3</v>
      </c>
      <c r="F31" s="3675"/>
      <c r="G31" s="3675">
        <v>3.3</v>
      </c>
      <c r="H31" s="3675">
        <v>4.32</v>
      </c>
      <c r="I31" s="3675" t="s">
        <v>3269</v>
      </c>
      <c r="J31" s="3675" t="s">
        <v>3269</v>
      </c>
      <c r="K31" s="3676" t="s">
        <v>3312</v>
      </c>
    </row>
    <row r="32" spans="1:11" ht="16.5">
      <c r="A32" s="3683">
        <v>24</v>
      </c>
      <c r="B32" s="3683" t="s">
        <v>3311</v>
      </c>
      <c r="C32" s="3675"/>
      <c r="D32" s="3675">
        <v>40.32</v>
      </c>
      <c r="E32" s="3675">
        <v>29.86</v>
      </c>
      <c r="F32" s="3675"/>
      <c r="G32" s="3684">
        <v>29.86</v>
      </c>
      <c r="H32" s="3675">
        <v>10.46</v>
      </c>
      <c r="I32" s="3675" t="s">
        <v>3269</v>
      </c>
      <c r="J32" s="3675" t="s">
        <v>3269</v>
      </c>
      <c r="K32" s="3676" t="s">
        <v>3287</v>
      </c>
    </row>
    <row r="33" spans="1:11" ht="16.5">
      <c r="A33" s="3683">
        <v>25</v>
      </c>
      <c r="B33" s="3683" t="s">
        <v>3310</v>
      </c>
      <c r="C33" s="3675"/>
      <c r="D33" s="3675">
        <v>44.48</v>
      </c>
      <c r="E33" s="3675">
        <v>24.84</v>
      </c>
      <c r="F33" s="3675"/>
      <c r="G33" s="3675">
        <v>24.84</v>
      </c>
      <c r="H33" s="3675">
        <v>19.64</v>
      </c>
      <c r="I33" s="3675" t="s">
        <v>3269</v>
      </c>
      <c r="J33" s="3675" t="s">
        <v>3285</v>
      </c>
      <c r="K33" s="3676" t="s">
        <v>3287</v>
      </c>
    </row>
    <row r="34" spans="1:11" ht="16.5">
      <c r="A34" s="3683">
        <v>26</v>
      </c>
      <c r="B34" s="3683" t="s">
        <v>3309</v>
      </c>
      <c r="C34" s="3675"/>
      <c r="D34" s="3675">
        <v>31.38</v>
      </c>
      <c r="E34" s="3675">
        <v>21.77</v>
      </c>
      <c r="F34" s="3675"/>
      <c r="G34" s="3675">
        <v>21.77</v>
      </c>
      <c r="H34" s="3675">
        <v>9.61</v>
      </c>
      <c r="I34" s="3675" t="s">
        <v>3269</v>
      </c>
      <c r="J34" s="3675" t="s">
        <v>3285</v>
      </c>
      <c r="K34" s="3676" t="s">
        <v>3287</v>
      </c>
    </row>
    <row r="35" spans="1:11" ht="16.5">
      <c r="A35" s="3683">
        <v>27</v>
      </c>
      <c r="B35" s="3683" t="s">
        <v>3308</v>
      </c>
      <c r="C35" s="3675"/>
      <c r="D35" s="3675">
        <v>38.21</v>
      </c>
      <c r="E35" s="3675">
        <v>26.09</v>
      </c>
      <c r="F35" s="3675"/>
      <c r="G35" s="3675">
        <v>26.09</v>
      </c>
      <c r="H35" s="3675">
        <v>12.12</v>
      </c>
      <c r="I35" s="3675" t="s">
        <v>3273</v>
      </c>
      <c r="J35" s="3675" t="s">
        <v>3273</v>
      </c>
      <c r="K35" s="3676" t="s">
        <v>3287</v>
      </c>
    </row>
    <row r="36" spans="1:11" ht="16.5">
      <c r="A36" s="3683">
        <v>28</v>
      </c>
      <c r="B36" s="3683" t="s">
        <v>3307</v>
      </c>
      <c r="C36" s="3675"/>
      <c r="D36" s="3675">
        <v>36.07</v>
      </c>
      <c r="E36" s="3675">
        <v>21.35</v>
      </c>
      <c r="F36" s="3675"/>
      <c r="G36" s="3675">
        <v>21.35</v>
      </c>
      <c r="H36" s="3675">
        <v>14.72</v>
      </c>
      <c r="I36" s="3675" t="s">
        <v>3273</v>
      </c>
      <c r="J36" s="3675" t="s">
        <v>3273</v>
      </c>
      <c r="K36" s="3676" t="s">
        <v>3287</v>
      </c>
    </row>
    <row r="37" spans="1:11" ht="16.5">
      <c r="A37" s="3683">
        <v>29</v>
      </c>
      <c r="B37" s="3683" t="s">
        <v>3306</v>
      </c>
      <c r="C37" s="3675"/>
      <c r="D37" s="3675">
        <v>10.45</v>
      </c>
      <c r="E37" s="3675">
        <v>4.88</v>
      </c>
      <c r="F37" s="3675"/>
      <c r="G37" s="3675">
        <v>4.88</v>
      </c>
      <c r="H37" s="3675">
        <v>5.57</v>
      </c>
      <c r="I37" s="3675" t="s">
        <v>3273</v>
      </c>
      <c r="J37" s="3675" t="s">
        <v>3273</v>
      </c>
      <c r="K37" s="3676" t="s">
        <v>3287</v>
      </c>
    </row>
    <row r="38" spans="1:11" ht="16.5">
      <c r="A38" s="3683">
        <v>30</v>
      </c>
      <c r="B38" s="3683" t="s">
        <v>3305</v>
      </c>
      <c r="C38" s="3675"/>
      <c r="D38" s="3675">
        <v>27</v>
      </c>
      <c r="E38" s="3675">
        <v>19.489999999999998</v>
      </c>
      <c r="F38" s="3675"/>
      <c r="G38" s="3675">
        <v>19.489999999999998</v>
      </c>
      <c r="H38" s="3675">
        <v>7.51</v>
      </c>
      <c r="I38" s="3675" t="s">
        <v>3273</v>
      </c>
      <c r="J38" s="3675" t="s">
        <v>3273</v>
      </c>
      <c r="K38" s="3676" t="s">
        <v>3287</v>
      </c>
    </row>
    <row r="39" spans="1:11" ht="16.5">
      <c r="A39" s="3683">
        <v>31</v>
      </c>
      <c r="B39" s="3683" t="s">
        <v>3304</v>
      </c>
      <c r="C39" s="3675"/>
      <c r="D39" s="3675">
        <v>10.78</v>
      </c>
      <c r="E39" s="3675">
        <v>5.21</v>
      </c>
      <c r="F39" s="3675"/>
      <c r="G39" s="3675">
        <v>5.21</v>
      </c>
      <c r="H39" s="3675">
        <v>5.57</v>
      </c>
      <c r="I39" s="3675" t="s">
        <v>3273</v>
      </c>
      <c r="J39" s="3675" t="s">
        <v>3273</v>
      </c>
      <c r="K39" s="3676" t="s">
        <v>3287</v>
      </c>
    </row>
    <row r="40" spans="1:11" ht="16.5">
      <c r="A40" s="3676">
        <v>32</v>
      </c>
      <c r="B40" s="3676" t="s">
        <v>3303</v>
      </c>
      <c r="C40" s="3675"/>
      <c r="D40" s="3675">
        <v>35.729999999999997</v>
      </c>
      <c r="E40" s="3675">
        <v>26.1</v>
      </c>
      <c r="F40" s="3675"/>
      <c r="G40" s="3675">
        <v>26.1</v>
      </c>
      <c r="H40" s="3675">
        <v>9.6300000000000008</v>
      </c>
      <c r="I40" s="3675" t="s">
        <v>3269</v>
      </c>
      <c r="J40" s="3675" t="s">
        <v>3269</v>
      </c>
      <c r="K40" s="3676" t="s">
        <v>3275</v>
      </c>
    </row>
    <row r="41" spans="1:11" ht="16.5">
      <c r="A41" s="3676">
        <v>33</v>
      </c>
      <c r="B41" s="3676" t="s">
        <v>3302</v>
      </c>
      <c r="C41" s="3675"/>
      <c r="D41" s="3675">
        <v>9.68</v>
      </c>
      <c r="E41" s="3675">
        <v>0</v>
      </c>
      <c r="F41" s="3675"/>
      <c r="G41" s="3675">
        <v>0</v>
      </c>
      <c r="H41" s="3675">
        <v>9.68</v>
      </c>
      <c r="I41" s="3675" t="s">
        <v>3269</v>
      </c>
      <c r="J41" s="3675" t="s">
        <v>3269</v>
      </c>
      <c r="K41" s="3676" t="s">
        <v>3275</v>
      </c>
    </row>
    <row r="42" spans="1:11" ht="17.25" customHeight="1">
      <c r="A42" s="3676">
        <v>34</v>
      </c>
      <c r="B42" s="3676" t="s">
        <v>3301</v>
      </c>
      <c r="C42" s="3675"/>
      <c r="D42" s="3675">
        <v>5.89</v>
      </c>
      <c r="E42" s="3675">
        <v>0</v>
      </c>
      <c r="F42" s="3675"/>
      <c r="G42" s="3675">
        <v>0</v>
      </c>
      <c r="H42" s="3675">
        <v>5.89</v>
      </c>
      <c r="I42" s="3675" t="s">
        <v>3269</v>
      </c>
      <c r="J42" s="3675" t="s">
        <v>3269</v>
      </c>
      <c r="K42" s="3676" t="s">
        <v>3275</v>
      </c>
    </row>
    <row r="43" spans="1:11" ht="16.5">
      <c r="A43" s="3676">
        <v>35</v>
      </c>
      <c r="B43" s="3676" t="s">
        <v>3300</v>
      </c>
      <c r="C43" s="3675"/>
      <c r="D43" s="3675">
        <v>3.87</v>
      </c>
      <c r="E43" s="3675">
        <v>2.36</v>
      </c>
      <c r="F43" s="3675"/>
      <c r="G43" s="3675">
        <v>2.36</v>
      </c>
      <c r="H43" s="3675">
        <v>1.51</v>
      </c>
      <c r="I43" s="3675" t="s">
        <v>3269</v>
      </c>
      <c r="J43" s="3675" t="s">
        <v>3269</v>
      </c>
      <c r="K43" s="3676" t="s">
        <v>3299</v>
      </c>
    </row>
    <row r="44" spans="1:11" ht="16.5">
      <c r="A44" s="3676">
        <v>36</v>
      </c>
      <c r="B44" s="3676" t="s">
        <v>3298</v>
      </c>
      <c r="C44" s="3675"/>
      <c r="D44" s="3675">
        <v>9.5500000000000007</v>
      </c>
      <c r="E44" s="3675">
        <v>8.18</v>
      </c>
      <c r="F44" s="3675"/>
      <c r="G44" s="3675">
        <v>8.18</v>
      </c>
      <c r="H44" s="3675">
        <v>1.37</v>
      </c>
      <c r="I44" s="3675" t="s">
        <v>3269</v>
      </c>
      <c r="J44" s="3675" t="s">
        <v>3269</v>
      </c>
      <c r="K44" s="3676" t="s">
        <v>3296</v>
      </c>
    </row>
    <row r="45" spans="1:11" ht="16.5">
      <c r="A45" s="3676">
        <v>37</v>
      </c>
      <c r="B45" s="3676" t="s">
        <v>3297</v>
      </c>
      <c r="C45" s="3675"/>
      <c r="D45" s="3675">
        <v>18.559999999999999</v>
      </c>
      <c r="E45" s="3675">
        <v>18.559999999999999</v>
      </c>
      <c r="F45" s="3675"/>
      <c r="G45" s="3675">
        <v>18.559999999999999</v>
      </c>
      <c r="H45" s="3675">
        <v>0</v>
      </c>
      <c r="I45" s="3675" t="s">
        <v>3269</v>
      </c>
      <c r="J45" s="3675" t="s">
        <v>3269</v>
      </c>
      <c r="K45" s="3676" t="s">
        <v>3296</v>
      </c>
    </row>
    <row r="46" spans="1:11" ht="16.5">
      <c r="A46" s="3676">
        <v>38</v>
      </c>
      <c r="B46" s="3676" t="s">
        <v>3295</v>
      </c>
      <c r="C46" s="3675"/>
      <c r="D46" s="3675">
        <v>5.09</v>
      </c>
      <c r="E46" s="3675">
        <v>0.64</v>
      </c>
      <c r="F46" s="3675"/>
      <c r="G46" s="3675">
        <v>0</v>
      </c>
      <c r="H46" s="3675">
        <v>4.46</v>
      </c>
      <c r="I46" s="3675" t="s">
        <v>3269</v>
      </c>
      <c r="J46" s="3675" t="s">
        <v>3269</v>
      </c>
      <c r="K46" s="3675" t="s">
        <v>3264</v>
      </c>
    </row>
    <row r="47" spans="1:11" ht="16.5">
      <c r="A47" s="3676">
        <v>39</v>
      </c>
      <c r="B47" s="3676" t="s">
        <v>3294</v>
      </c>
      <c r="C47" s="3675"/>
      <c r="D47" s="3675">
        <v>23.81</v>
      </c>
      <c r="E47" s="3675">
        <v>15.05</v>
      </c>
      <c r="F47" s="3675"/>
      <c r="G47" s="3675">
        <v>0</v>
      </c>
      <c r="H47" s="3675">
        <v>8.76</v>
      </c>
      <c r="I47" s="3675" t="s">
        <v>3269</v>
      </c>
      <c r="J47" s="3675" t="s">
        <v>3285</v>
      </c>
      <c r="K47" s="3675" t="s">
        <v>3264</v>
      </c>
    </row>
    <row r="48" spans="1:11" ht="16.5">
      <c r="A48" s="3676">
        <v>40</v>
      </c>
      <c r="B48" s="3676" t="s">
        <v>3293</v>
      </c>
      <c r="C48" s="3675"/>
      <c r="D48" s="3675">
        <v>10.63</v>
      </c>
      <c r="E48" s="3675">
        <v>8.86</v>
      </c>
      <c r="F48" s="3675"/>
      <c r="G48" s="3675">
        <v>0</v>
      </c>
      <c r="H48" s="3675">
        <v>1.77</v>
      </c>
      <c r="I48" s="3675" t="s">
        <v>3269</v>
      </c>
      <c r="J48" s="3675" t="s">
        <v>3285</v>
      </c>
      <c r="K48" s="3675" t="s">
        <v>3264</v>
      </c>
    </row>
    <row r="49" spans="1:11" ht="16.5">
      <c r="A49" s="3676">
        <v>41</v>
      </c>
      <c r="B49" s="3676" t="s">
        <v>3292</v>
      </c>
      <c r="C49" s="3675"/>
      <c r="D49" s="3675">
        <v>154.72</v>
      </c>
      <c r="E49" s="3675">
        <v>68.19</v>
      </c>
      <c r="F49" s="3675"/>
      <c r="G49" s="3675">
        <v>55.07</v>
      </c>
      <c r="H49" s="3675">
        <v>86.53</v>
      </c>
      <c r="I49" s="3675" t="s">
        <v>3265</v>
      </c>
      <c r="J49" s="3675" t="s">
        <v>3285</v>
      </c>
      <c r="K49" s="3676" t="s">
        <v>3291</v>
      </c>
    </row>
    <row r="50" spans="1:11" ht="16.5">
      <c r="A50" s="3676">
        <v>42</v>
      </c>
      <c r="B50" s="3676" t="s">
        <v>3290</v>
      </c>
      <c r="C50" s="3675"/>
      <c r="D50" s="3675">
        <v>280.43</v>
      </c>
      <c r="E50" s="3675">
        <v>177.89</v>
      </c>
      <c r="F50" s="3675"/>
      <c r="G50" s="3675">
        <v>177.89</v>
      </c>
      <c r="H50" s="3675">
        <v>102.54</v>
      </c>
      <c r="I50" s="3675" t="s">
        <v>3269</v>
      </c>
      <c r="J50" s="3675" t="s">
        <v>3285</v>
      </c>
      <c r="K50" s="3675" t="s">
        <v>3289</v>
      </c>
    </row>
    <row r="51" spans="1:11" ht="16.5">
      <c r="A51" s="3676">
        <v>43</v>
      </c>
      <c r="B51" s="3676" t="s">
        <v>3288</v>
      </c>
      <c r="C51" s="3675"/>
      <c r="D51" s="3675">
        <v>61.02</v>
      </c>
      <c r="E51" s="3675">
        <v>25.1</v>
      </c>
      <c r="F51" s="3675"/>
      <c r="G51" s="3675">
        <v>24.3</v>
      </c>
      <c r="H51" s="3675">
        <v>35.92</v>
      </c>
      <c r="I51" s="3675" t="s">
        <v>3273</v>
      </c>
      <c r="J51" s="3675" t="s">
        <v>3285</v>
      </c>
      <c r="K51" s="3676" t="s">
        <v>3287</v>
      </c>
    </row>
    <row r="52" spans="1:11" ht="16.5">
      <c r="A52" s="3676">
        <v>44</v>
      </c>
      <c r="B52" s="3676" t="s">
        <v>3286</v>
      </c>
      <c r="C52" s="3675"/>
      <c r="D52" s="3675">
        <v>3.77</v>
      </c>
      <c r="E52" s="3675">
        <v>1.38</v>
      </c>
      <c r="F52" s="3675"/>
      <c r="G52" s="3675">
        <v>1.38</v>
      </c>
      <c r="H52" s="3675">
        <v>2.39</v>
      </c>
      <c r="I52" s="3675" t="s">
        <v>3269</v>
      </c>
      <c r="J52" s="3675" t="s">
        <v>3285</v>
      </c>
      <c r="K52" s="3676" t="s">
        <v>3268</v>
      </c>
    </row>
    <row r="53" spans="1:11" ht="16.5">
      <c r="A53" s="3676">
        <v>45</v>
      </c>
      <c r="B53" s="3676" t="s">
        <v>3284</v>
      </c>
      <c r="C53" s="3675"/>
      <c r="D53" s="3675">
        <v>20.03</v>
      </c>
      <c r="E53" s="3675">
        <v>3.04</v>
      </c>
      <c r="F53" s="3675"/>
      <c r="G53" s="3675">
        <v>0</v>
      </c>
      <c r="H53" s="3675">
        <v>16.989999999999998</v>
      </c>
      <c r="I53" s="3675" t="s">
        <v>3266</v>
      </c>
      <c r="J53" s="3675" t="s">
        <v>3269</v>
      </c>
      <c r="K53" s="3675" t="s">
        <v>3264</v>
      </c>
    </row>
    <row r="54" spans="1:11" ht="33">
      <c r="A54" s="3676">
        <v>46</v>
      </c>
      <c r="B54" s="3676" t="s">
        <v>3283</v>
      </c>
      <c r="C54" s="3675"/>
      <c r="D54" s="3675">
        <v>20.64</v>
      </c>
      <c r="E54" s="3675">
        <v>12.41</v>
      </c>
      <c r="F54" s="3675"/>
      <c r="G54" s="3675">
        <v>12.41</v>
      </c>
      <c r="H54" s="3675">
        <v>8.23</v>
      </c>
      <c r="I54" s="3675" t="s">
        <v>3265</v>
      </c>
      <c r="J54" s="3675" t="s">
        <v>3265</v>
      </c>
      <c r="K54" s="3676" t="s">
        <v>3277</v>
      </c>
    </row>
    <row r="55" spans="1:11" ht="16.5">
      <c r="A55" s="3676">
        <v>47</v>
      </c>
      <c r="B55" s="3676" t="s">
        <v>3282</v>
      </c>
      <c r="C55" s="3675"/>
      <c r="D55" s="3675">
        <v>3.05</v>
      </c>
      <c r="E55" s="3675">
        <v>0</v>
      </c>
      <c r="F55" s="3675"/>
      <c r="G55" s="3675">
        <v>0</v>
      </c>
      <c r="H55" s="3675">
        <v>3.05</v>
      </c>
      <c r="I55" s="3675" t="s">
        <v>3269</v>
      </c>
      <c r="J55" s="3675" t="s">
        <v>3269</v>
      </c>
      <c r="K55" s="3675" t="s">
        <v>3264</v>
      </c>
    </row>
    <row r="56" spans="1:11" ht="16.5">
      <c r="A56" s="3676">
        <v>48</v>
      </c>
      <c r="B56" s="3676" t="s">
        <v>3281</v>
      </c>
      <c r="C56" s="3675"/>
      <c r="D56" s="3675">
        <v>33.26</v>
      </c>
      <c r="E56" s="3675">
        <v>15.82</v>
      </c>
      <c r="F56" s="3675"/>
      <c r="G56" s="3675">
        <v>6.82</v>
      </c>
      <c r="H56" s="3675">
        <v>17.440000000000001</v>
      </c>
      <c r="I56" s="3675" t="s">
        <v>3269</v>
      </c>
      <c r="J56" s="3675" t="s">
        <v>3269</v>
      </c>
      <c r="K56" s="3675" t="s">
        <v>3264</v>
      </c>
    </row>
    <row r="57" spans="1:11" ht="16.5">
      <c r="A57" s="3676">
        <v>49</v>
      </c>
      <c r="B57" s="3676" t="s">
        <v>3280</v>
      </c>
      <c r="C57" s="3675"/>
      <c r="D57" s="3675">
        <v>20.39</v>
      </c>
      <c r="E57" s="3675">
        <v>4.25</v>
      </c>
      <c r="F57" s="3675"/>
      <c r="G57" s="3675">
        <v>1.1000000000000001</v>
      </c>
      <c r="H57" s="3675">
        <v>16.14</v>
      </c>
      <c r="I57" s="3675" t="s">
        <v>3269</v>
      </c>
      <c r="J57" s="3675" t="s">
        <v>3269</v>
      </c>
      <c r="K57" s="3675" t="s">
        <v>3264</v>
      </c>
    </row>
    <row r="58" spans="1:11" ht="16.5">
      <c r="A58" s="3676">
        <v>50</v>
      </c>
      <c r="B58" s="3676" t="s">
        <v>3279</v>
      </c>
      <c r="C58" s="3675"/>
      <c r="D58" s="3675">
        <v>3.15</v>
      </c>
      <c r="E58" s="3675">
        <v>0.67</v>
      </c>
      <c r="F58" s="3675"/>
      <c r="G58" s="3675">
        <v>0</v>
      </c>
      <c r="H58" s="3675">
        <v>2.48</v>
      </c>
      <c r="I58" s="3675" t="s">
        <v>3269</v>
      </c>
      <c r="J58" s="3675" t="s">
        <v>3269</v>
      </c>
      <c r="K58" s="3675" t="s">
        <v>3264</v>
      </c>
    </row>
    <row r="59" spans="1:11" ht="33">
      <c r="A59" s="3676">
        <v>51</v>
      </c>
      <c r="B59" s="3676" t="s">
        <v>3278</v>
      </c>
      <c r="C59" s="3675"/>
      <c r="D59" s="3675">
        <v>7.43</v>
      </c>
      <c r="E59" s="3675">
        <v>5.33</v>
      </c>
      <c r="F59" s="3675"/>
      <c r="G59" s="3675">
        <v>0</v>
      </c>
      <c r="H59" s="3675">
        <v>2.1</v>
      </c>
      <c r="I59" s="3675" t="s">
        <v>3269</v>
      </c>
      <c r="J59" s="3675" t="s">
        <v>3269</v>
      </c>
      <c r="K59" s="3676" t="s">
        <v>3277</v>
      </c>
    </row>
    <row r="60" spans="1:11" ht="16.5">
      <c r="A60" s="3676">
        <v>52</v>
      </c>
      <c r="B60" s="3676" t="s">
        <v>3276</v>
      </c>
      <c r="C60" s="3675"/>
      <c r="D60" s="3675">
        <v>26.92</v>
      </c>
      <c r="E60" s="3675">
        <v>11.51</v>
      </c>
      <c r="F60" s="3675"/>
      <c r="G60" s="3675">
        <v>11.51</v>
      </c>
      <c r="H60" s="3675">
        <v>15.41</v>
      </c>
      <c r="I60" s="3675" t="s">
        <v>3273</v>
      </c>
      <c r="J60" s="3675" t="s">
        <v>3273</v>
      </c>
      <c r="K60" s="3676" t="s">
        <v>3275</v>
      </c>
    </row>
    <row r="61" spans="1:11" ht="16.5">
      <c r="A61" s="3676">
        <v>53</v>
      </c>
      <c r="B61" s="3676" t="s">
        <v>3274</v>
      </c>
      <c r="C61" s="3675"/>
      <c r="D61" s="3675">
        <v>2.77</v>
      </c>
      <c r="E61" s="3675">
        <v>2.77</v>
      </c>
      <c r="F61" s="3675"/>
      <c r="G61" s="3675">
        <v>2.77</v>
      </c>
      <c r="H61" s="3675">
        <v>0</v>
      </c>
      <c r="I61" s="3675" t="s">
        <v>3273</v>
      </c>
      <c r="J61" s="3675" t="s">
        <v>3273</v>
      </c>
      <c r="K61" s="3676" t="s">
        <v>3271</v>
      </c>
    </row>
    <row r="62" spans="1:11" ht="16.5">
      <c r="A62" s="3676">
        <v>54</v>
      </c>
      <c r="B62" s="3676" t="s">
        <v>3272</v>
      </c>
      <c r="C62" s="3675"/>
      <c r="D62" s="3675">
        <v>36.25</v>
      </c>
      <c r="E62" s="3675">
        <v>18.34</v>
      </c>
      <c r="F62" s="3675"/>
      <c r="G62" s="3675">
        <v>18.34</v>
      </c>
      <c r="H62" s="3675">
        <v>17.91</v>
      </c>
      <c r="I62" s="3675" t="s">
        <v>3269</v>
      </c>
      <c r="J62" s="3675" t="s">
        <v>3269</v>
      </c>
      <c r="K62" s="3676" t="s">
        <v>3271</v>
      </c>
    </row>
    <row r="63" spans="1:11" ht="16.5">
      <c r="A63" s="3676">
        <v>55</v>
      </c>
      <c r="B63" s="3676" t="s">
        <v>3270</v>
      </c>
      <c r="C63" s="3675"/>
      <c r="D63" s="3675">
        <v>26.36</v>
      </c>
      <c r="E63" s="3675">
        <v>21.18</v>
      </c>
      <c r="F63" s="3675"/>
      <c r="G63" s="3675">
        <v>14.21</v>
      </c>
      <c r="H63" s="3675">
        <v>5.18</v>
      </c>
      <c r="I63" s="3675" t="s">
        <v>3266</v>
      </c>
      <c r="J63" s="3675" t="s">
        <v>3269</v>
      </c>
      <c r="K63" s="3676" t="s">
        <v>3268</v>
      </c>
    </row>
    <row r="64" spans="1:11" ht="16.5">
      <c r="A64" s="3676">
        <v>56</v>
      </c>
      <c r="B64" s="3676" t="s">
        <v>3267</v>
      </c>
      <c r="C64" s="3675"/>
      <c r="D64" s="3675">
        <v>3.21</v>
      </c>
      <c r="E64" s="3675">
        <v>0</v>
      </c>
      <c r="F64" s="3675"/>
      <c r="G64" s="3675">
        <v>0</v>
      </c>
      <c r="H64" s="3675">
        <v>3.21</v>
      </c>
      <c r="I64" s="3675" t="s">
        <v>3266</v>
      </c>
      <c r="J64" s="3675" t="s">
        <v>3265</v>
      </c>
      <c r="K64" s="3675" t="s">
        <v>3264</v>
      </c>
    </row>
    <row r="65" spans="1:11" ht="16.5">
      <c r="A65" s="3674"/>
      <c r="B65" s="3673" t="s">
        <v>3263</v>
      </c>
      <c r="C65" s="3672"/>
      <c r="D65" s="3671">
        <v>1888.470971</v>
      </c>
      <c r="E65" s="3671">
        <v>1040.750522</v>
      </c>
      <c r="F65" s="3671">
        <v>253.15</v>
      </c>
      <c r="G65" s="3671">
        <v>649.20000000000005</v>
      </c>
      <c r="H65" s="3671">
        <v>847.72044900000003</v>
      </c>
      <c r="I65" s="3671"/>
      <c r="J65" s="3671"/>
      <c r="K65" s="3671"/>
    </row>
  </sheetData>
  <autoFilter ref="A3:H65"/>
  <mergeCells count="14">
    <mergeCell ref="B17:E17"/>
    <mergeCell ref="B23:E23"/>
    <mergeCell ref="B27:E27"/>
    <mergeCell ref="B28:E28"/>
    <mergeCell ref="A2:A3"/>
    <mergeCell ref="B2:B3"/>
    <mergeCell ref="C2:C3"/>
    <mergeCell ref="D2:D3"/>
    <mergeCell ref="E2:G2"/>
    <mergeCell ref="I2:K2"/>
    <mergeCell ref="L2:M2"/>
    <mergeCell ref="N2:O2"/>
    <mergeCell ref="B11:E11"/>
    <mergeCell ref="H2:H3"/>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Normal="100" zoomScaleSheetLayoutView="100" workbookViewId="0">
      <selection activeCell="E47" sqref="E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北京市出让国有建设用地使用权市场价格预评估</v>
      </c>
      <c r="C1" s="3729"/>
      <c r="D1" s="3729"/>
      <c r="E1" s="3729"/>
      <c r="F1" s="3729"/>
      <c r="G1" s="3729"/>
      <c r="H1" s="3729"/>
      <c r="I1" s="3730"/>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2744</v>
      </c>
      <c r="C8" s="1474"/>
      <c r="D8" s="373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3259</v>
      </c>
      <c r="C9" s="1477"/>
      <c r="D9" s="373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1"/>
      <c r="C12" s="3732"/>
      <c r="D12" s="3733"/>
      <c r="E12" s="1494" t="s">
        <v>1579</v>
      </c>
      <c r="F12" s="3749" t="s">
        <v>2163</v>
      </c>
      <c r="G12" s="3750"/>
      <c r="H12" s="3750"/>
      <c r="I12" s="3751"/>
      <c r="J12" s="2816"/>
      <c r="K12" s="2799"/>
      <c r="L12" s="2795"/>
      <c r="M12" s="2795"/>
      <c r="N12" s="2796"/>
      <c r="O12" s="2797"/>
      <c r="P12" s="2796"/>
      <c r="Q12" s="2796"/>
      <c r="R12" s="2796"/>
      <c r="S12" s="2796"/>
      <c r="T12" s="2796"/>
      <c r="U12" s="2796"/>
    </row>
    <row r="13" spans="1:21">
      <c r="A13" s="1485" t="s">
        <v>1577</v>
      </c>
      <c r="B13" s="3731"/>
      <c r="C13" s="3732"/>
      <c r="D13" s="3733"/>
      <c r="E13" s="1494" t="s">
        <v>1579</v>
      </c>
      <c r="F13" s="3749" t="s">
        <v>2164</v>
      </c>
      <c r="G13" s="3750"/>
      <c r="H13" s="3750"/>
      <c r="I13" s="3751"/>
      <c r="J13" s="2816"/>
      <c r="K13" s="2799"/>
      <c r="L13" s="2795"/>
      <c r="M13" s="2795"/>
      <c r="N13" s="2796"/>
      <c r="O13" s="2797"/>
      <c r="P13" s="2796"/>
      <c r="Q13" s="2796"/>
      <c r="R13" s="2796"/>
      <c r="S13" s="2796"/>
      <c r="T13" s="2796"/>
      <c r="U13" s="2796"/>
    </row>
    <row r="14" spans="1:21">
      <c r="A14" s="1464" t="s">
        <v>1580</v>
      </c>
      <c r="B14" s="1494"/>
      <c r="C14" s="1629" t="s">
        <v>3261</v>
      </c>
      <c r="D14" s="1527" t="str">
        <f>IF(C14="不一致","是否符合证载地类范围","")</f>
        <v/>
      </c>
      <c r="E14" s="1494"/>
      <c r="F14" s="1576" t="s">
        <v>3262</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2744</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4447250</v>
      </c>
      <c r="D21" s="1549" t="s">
        <v>1478</v>
      </c>
      <c r="E21" s="3736" t="s">
        <v>1516</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1778900</v>
      </c>
      <c r="D22" s="1485" t="s">
        <v>1478</v>
      </c>
      <c r="E22" s="3736" t="s">
        <v>2165</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4" t="s">
        <v>1519</v>
      </c>
      <c r="B31" s="1553" t="s">
        <v>1520</v>
      </c>
      <c r="C31" s="3752"/>
      <c r="D31" s="3753"/>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28.5">
      <c r="A37" s="3754"/>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4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6" t="s">
        <v>1503</v>
      </c>
      <c r="T40" s="1525" t="str">
        <f>NUMBERSTRING(7-K40,1)&amp;"通"</f>
        <v>七通</v>
      </c>
      <c r="U40" s="2796"/>
    </row>
    <row r="41" spans="1:28">
      <c r="A41" s="1466"/>
      <c r="B41" s="3759" t="s">
        <v>1250</v>
      </c>
      <c r="C41" s="3759"/>
      <c r="D41" s="3759"/>
      <c r="E41" s="375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6"/>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2864</v>
      </c>
      <c r="C44" s="1531"/>
      <c r="D44" s="1531" t="s">
        <v>2864</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K13/2.5</f>
        <v>1778900</v>
      </c>
      <c r="B3" s="20">
        <f>IF(C3="否",G5-AT5,G5)</f>
        <v>4447250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4447250</v>
      </c>
      <c r="H5" s="25">
        <f t="shared" ref="H5:AT5" si="0">SUM(H13:H641)</f>
        <v>4447250</v>
      </c>
      <c r="I5" s="25">
        <f t="shared" si="0"/>
        <v>0</v>
      </c>
      <c r="J5" s="25">
        <f t="shared" si="0"/>
        <v>0</v>
      </c>
      <c r="K5" s="25">
        <f>SUM(K13:K641)</f>
        <v>4447250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4447250</v>
      </c>
      <c r="BA5" s="27">
        <f t="shared" si="1"/>
        <v>4447250</v>
      </c>
      <c r="BB5" s="27">
        <f t="shared" si="1"/>
        <v>0</v>
      </c>
      <c r="BC5" s="27">
        <f t="shared" si="1"/>
        <v>4447250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1778900</v>
      </c>
      <c r="F6" s="25" t="s">
        <v>0</v>
      </c>
      <c r="G6" s="25" t="s">
        <v>1</v>
      </c>
      <c r="H6" s="31">
        <f>SUMIF(I$12:AB$12,"总值",I6:AB6)</f>
        <v>1778900</v>
      </c>
      <c r="I6" s="25">
        <f t="shared" ref="I6:AB6" si="2">ROUND($A$3*I5/$B$3,2)</f>
        <v>0</v>
      </c>
      <c r="J6" s="25">
        <f t="shared" si="2"/>
        <v>0</v>
      </c>
      <c r="K6" s="25">
        <f t="shared" si="2"/>
        <v>1778900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1778900</v>
      </c>
      <c r="AZ6" s="25" t="s">
        <v>2</v>
      </c>
      <c r="BA6" s="25">
        <f>ROUND($AY$6*BA5/$AZ$5,2)</f>
        <v>1778900</v>
      </c>
      <c r="BB6" s="25">
        <f>ROUND($AY$6*BB5/$AZ$5,2)</f>
        <v>0</v>
      </c>
      <c r="BC6" s="25">
        <f t="shared" ref="BC6:BH6" si="4">ROUND($AY$6*BC5/$AZ$5,2)</f>
        <v>1778900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3373</v>
      </c>
      <c r="J9" s="49"/>
      <c r="K9" s="2491" t="s">
        <v>3373</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2741</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3374</v>
      </c>
      <c r="E13" s="25">
        <f t="shared" ref="E13:E20" si="6">IF($C$3="是",ROUND($A$3*G13/$B$3,2),ROUND($A$3*(G13-AT13)/$B$3,2))</f>
        <v>1778900</v>
      </c>
      <c r="F13" s="78"/>
      <c r="G13" s="79">
        <f t="shared" ref="G13:G20" si="7">H13+AC13+AT13</f>
        <v>4447250</v>
      </c>
      <c r="H13" s="31">
        <f t="shared" ref="H13:H20" si="8">SUMIF(I$12:AB$12,"总值",I13:AB13)</f>
        <v>4447250</v>
      </c>
      <c r="I13" s="2490"/>
      <c r="J13" s="2490"/>
      <c r="K13" s="2490">
        <v>4447250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1778900</v>
      </c>
      <c r="AZ13" s="25">
        <f t="shared" ref="AZ13:AZ20" si="12">BA13+BL13</f>
        <v>4447250</v>
      </c>
      <c r="BA13" s="25">
        <f t="shared" ref="BA13:BA20" si="13">SUM(BB13:BK13)</f>
        <v>4447250</v>
      </c>
      <c r="BB13" s="25">
        <f t="shared" ref="BB13:BB20" si="14">IF($D13="是",I13-J13,0)</f>
        <v>0</v>
      </c>
      <c r="BC13" s="25">
        <f>IF($D13="是",K13-L13,0)</f>
        <v>4447250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3374</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3374</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1778900</v>
      </c>
      <c r="E3" s="103">
        <f>'数据-基础表'!AZ5</f>
        <v>4447250</v>
      </c>
      <c r="F3" s="2825"/>
      <c r="G3" s="271" t="s">
        <v>796</v>
      </c>
      <c r="H3" s="266" t="s">
        <v>797</v>
      </c>
      <c r="I3" s="1730">
        <f>ROUND('数据-基础表'!B3/'数据-基础表'!A3,2)</f>
        <v>2.5</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81" t="s">
        <v>174</v>
      </c>
      <c r="C6" s="3781"/>
      <c r="D6" s="107">
        <f>ROUND($D$3*E6/$E$3,2)</f>
        <v>1778900</v>
      </c>
      <c r="E6" s="108">
        <f>E3-E5</f>
        <v>4447250</v>
      </c>
      <c r="F6" s="2825"/>
      <c r="G6" s="1099"/>
      <c r="H6" s="266" t="s">
        <v>798</v>
      </c>
      <c r="I6" s="1730">
        <f>ROUND(F31/D31,2)</f>
        <v>2.5</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1778900</v>
      </c>
      <c r="E8" s="112">
        <f>SUMIF('数据-基础表'!BB10:BK10,"地上",'数据-基础表'!BB5:BK5)</f>
        <v>4447250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1778900</v>
      </c>
      <c r="E16" s="116">
        <f>SUM(E8:E15)</f>
        <v>4447250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3375</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3376</v>
      </c>
      <c r="D20" s="107">
        <f t="shared" si="1"/>
        <v>1778900</v>
      </c>
      <c r="E20" s="130">
        <f t="shared" si="2"/>
        <v>4447250</v>
      </c>
      <c r="F20" s="2827">
        <f>'数据-基础表'!K13</f>
        <v>4447250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1778900</v>
      </c>
      <c r="S20" s="2019">
        <f t="shared" si="5"/>
        <v>4447250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1778900</v>
      </c>
      <c r="E27" s="136">
        <f>IF(SUM(E19:E26)='数据-基础表'!BA5,SUM(E19:E26),IF(F27="地上面积有误","面积有误","地下面积有误"))</f>
        <v>4447250</v>
      </c>
      <c r="F27" s="130">
        <f>IF(SUM(F19:F26)=E8,SUM(F19:F26),"地上面积有误")</f>
        <v>4447250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1778900</v>
      </c>
      <c r="E31" s="1229">
        <f>E27+E30</f>
        <v>4447250</v>
      </c>
      <c r="F31" s="1230">
        <f>F27+F30</f>
        <v>4447250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12"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2741</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4447250</v>
      </c>
      <c r="L7" s="2499">
        <v>5000</v>
      </c>
      <c r="M7" s="170">
        <f t="shared" si="1"/>
        <v>2223625</v>
      </c>
      <c r="N7" s="2500">
        <v>0</v>
      </c>
      <c r="O7" s="170">
        <f t="shared" ref="O7:O14" si="3">IF($N$5="成新度","——",ROUND(M7*N7,0))</f>
        <v>0</v>
      </c>
      <c r="P7" s="171">
        <f t="shared" ref="P7:P14" si="4">IF($N$5="成新度","——",M7-O7)</f>
        <v>2223625</v>
      </c>
      <c r="Q7" s="2501">
        <v>0.2</v>
      </c>
      <c r="R7" s="172">
        <f>SUMIF('数据-汇总表'!C$19:C$33,A7,'数据-汇总表'!R$19:R$33)</f>
        <v>1778900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4447250</v>
      </c>
      <c r="L16" s="197">
        <f>ROUND(M16*10000/SUM(K6:K14),0)</f>
        <v>5000</v>
      </c>
      <c r="M16" s="197">
        <f>SUM(M6:M14)</f>
        <v>2223625</v>
      </c>
      <c r="N16" s="198">
        <f>ROUND(SUMPRODUCT(M6:M14,N6:N14)/M16,3)</f>
        <v>0</v>
      </c>
      <c r="O16" s="197">
        <f>SUM(O6:O14)</f>
        <v>0</v>
      </c>
      <c r="P16" s="197">
        <f>SUM(P6:P14)</f>
        <v>2223625</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3377</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3378</v>
      </c>
      <c r="E1" s="1592" t="s">
        <v>1575</v>
      </c>
      <c r="F1" s="1594" t="s">
        <v>3379</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39" t="s">
        <v>264</v>
      </c>
      <c r="B3" s="3840"/>
      <c r="C3" s="3840"/>
      <c r="D3" s="3840"/>
      <c r="E3" s="3840"/>
      <c r="F3" s="3840"/>
      <c r="G3" s="3840"/>
      <c r="H3" s="3840"/>
      <c r="I3" s="3840"/>
      <c r="J3" s="1753"/>
      <c r="K3" s="1752"/>
      <c r="L3" s="1752"/>
      <c r="M3" s="1752"/>
      <c r="N3" s="1752"/>
      <c r="O3" s="1752"/>
      <c r="P3" s="1752"/>
      <c r="Q3" s="1752"/>
      <c r="R3" s="1752"/>
      <c r="S3" s="1752"/>
      <c r="T3" s="1752"/>
      <c r="U3" s="1752"/>
      <c r="V3" s="1752"/>
    </row>
    <row r="4" spans="1:22" ht="14.25">
      <c r="A4" s="249" t="s">
        <v>265</v>
      </c>
      <c r="B4" s="250" t="s">
        <v>266</v>
      </c>
      <c r="C4" s="251" t="s">
        <v>3388</v>
      </c>
      <c r="D4" s="251" t="s">
        <v>3389</v>
      </c>
      <c r="E4" s="3803" t="s">
        <v>267</v>
      </c>
      <c r="F4" s="3845"/>
      <c r="G4" s="3845"/>
      <c r="H4" s="3845"/>
      <c r="I4" s="380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32" t="s">
        <v>268</v>
      </c>
      <c r="B5" s="3833">
        <v>25</v>
      </c>
      <c r="C5" s="3841">
        <v>3</v>
      </c>
      <c r="D5" s="3844">
        <f>10-C5</f>
        <v>7</v>
      </c>
      <c r="E5" s="252" t="s">
        <v>269</v>
      </c>
      <c r="F5" s="253"/>
      <c r="G5" s="253"/>
      <c r="H5" s="253"/>
      <c r="I5" s="254"/>
      <c r="J5" s="1753"/>
      <c r="K5" s="1752"/>
      <c r="L5" s="1752"/>
      <c r="M5" s="1752"/>
      <c r="N5" s="1752"/>
      <c r="O5" s="1752"/>
      <c r="P5" s="1752"/>
      <c r="Q5" s="1752"/>
      <c r="R5" s="1752"/>
      <c r="S5" s="1752"/>
      <c r="T5" s="1752"/>
      <c r="U5" s="1752"/>
      <c r="V5" s="1752"/>
    </row>
    <row r="6" spans="1:22" ht="14.25">
      <c r="A6" s="3832"/>
      <c r="B6" s="3833"/>
      <c r="C6" s="3842"/>
      <c r="D6" s="3844"/>
      <c r="E6" s="252" t="s">
        <v>270</v>
      </c>
      <c r="F6" s="253"/>
      <c r="G6" s="253"/>
      <c r="H6" s="253"/>
      <c r="I6" s="254"/>
      <c r="J6" s="1753"/>
      <c r="K6" s="1752"/>
      <c r="L6" s="1752"/>
      <c r="M6" s="1752"/>
      <c r="N6" s="1752"/>
      <c r="O6" s="1752"/>
      <c r="P6" s="1752"/>
      <c r="Q6" s="1752"/>
      <c r="R6" s="1752"/>
      <c r="S6" s="1752"/>
      <c r="T6" s="1752"/>
      <c r="U6" s="1752"/>
      <c r="V6" s="1752"/>
    </row>
    <row r="7" spans="1:22" ht="14.25">
      <c r="A7" s="3832"/>
      <c r="B7" s="3833"/>
      <c r="C7" s="3843"/>
      <c r="D7" s="3844"/>
      <c r="E7" s="252" t="s">
        <v>271</v>
      </c>
      <c r="F7" s="253"/>
      <c r="G7" s="253"/>
      <c r="H7" s="253"/>
      <c r="I7" s="254"/>
      <c r="J7" s="1753"/>
      <c r="K7" s="1752"/>
      <c r="L7" s="1752"/>
      <c r="M7" s="1752"/>
      <c r="N7" s="1752"/>
      <c r="O7" s="1752"/>
      <c r="P7" s="1752"/>
      <c r="Q7" s="1752"/>
      <c r="R7" s="1752"/>
      <c r="S7" s="1752"/>
      <c r="T7" s="1752"/>
      <c r="U7" s="1752"/>
      <c r="V7" s="1752"/>
    </row>
    <row r="8" spans="1:22" ht="14.25">
      <c r="A8" s="3832" t="s">
        <v>272</v>
      </c>
      <c r="B8" s="3833">
        <v>15</v>
      </c>
      <c r="C8" s="3841"/>
      <c r="D8" s="3844"/>
      <c r="E8" s="252" t="s">
        <v>273</v>
      </c>
      <c r="F8" s="253"/>
      <c r="G8" s="253"/>
      <c r="H8" s="253"/>
      <c r="I8" s="254"/>
      <c r="J8" s="1753"/>
      <c r="K8" s="1752"/>
      <c r="L8" s="1752"/>
      <c r="M8" s="1752"/>
      <c r="N8" s="1752"/>
      <c r="O8" s="1752"/>
      <c r="P8" s="1752"/>
      <c r="Q8" s="1752"/>
      <c r="R8" s="1752"/>
      <c r="S8" s="1752"/>
      <c r="T8" s="1752"/>
      <c r="U8" s="1752"/>
      <c r="V8" s="1752"/>
    </row>
    <row r="9" spans="1:22" ht="14.25">
      <c r="A9" s="3832"/>
      <c r="B9" s="3833"/>
      <c r="C9" s="3843"/>
      <c r="D9" s="3844"/>
      <c r="E9" s="252" t="s">
        <v>274</v>
      </c>
      <c r="F9" s="253"/>
      <c r="G9" s="253"/>
      <c r="H9" s="253"/>
      <c r="I9" s="254"/>
      <c r="J9" s="1753"/>
      <c r="K9" s="1752"/>
      <c r="L9" s="1752"/>
      <c r="M9" s="1752"/>
      <c r="N9" s="1752"/>
      <c r="O9" s="1752"/>
      <c r="P9" s="1752"/>
      <c r="Q9" s="1752"/>
      <c r="R9" s="1752"/>
      <c r="S9" s="1752"/>
      <c r="T9" s="1752"/>
      <c r="U9" s="1752"/>
      <c r="V9" s="1752"/>
    </row>
    <row r="10" spans="1:22" ht="14.25">
      <c r="A10" s="3832" t="s">
        <v>275</v>
      </c>
      <c r="B10" s="3833">
        <v>15</v>
      </c>
      <c r="C10" s="3841"/>
      <c r="D10" s="384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32"/>
      <c r="B11" s="3833"/>
      <c r="C11" s="3843"/>
      <c r="D11" s="384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32" t="s">
        <v>278</v>
      </c>
      <c r="B12" s="3833">
        <v>15</v>
      </c>
      <c r="C12" s="3841"/>
      <c r="D12" s="384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32"/>
      <c r="B13" s="3833"/>
      <c r="C13" s="3843"/>
      <c r="D13" s="384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32" t="s">
        <v>281</v>
      </c>
      <c r="B14" s="3833">
        <v>30</v>
      </c>
      <c r="C14" s="3841"/>
      <c r="D14" s="384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32"/>
      <c r="B15" s="3833"/>
      <c r="C15" s="3842"/>
      <c r="D15" s="384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32"/>
      <c r="B16" s="3833"/>
      <c r="C16" s="3843"/>
      <c r="D16" s="384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46" t="s">
        <v>2254</v>
      </c>
      <c r="F18" s="3847"/>
      <c r="G18" s="3847"/>
      <c r="H18" s="3847"/>
      <c r="I18" s="384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5123232</v>
      </c>
      <c r="D19" s="262">
        <f ca="1">SUMIF(INDIRECT("'"&amp;D4&amp;"'"&amp;"!A:A"),结果表!B19,INDIRECT("'"&amp;D4&amp;"'"&amp;"!B:B"))</f>
        <v>6991673</v>
      </c>
      <c r="E19" s="259" t="s">
        <v>289</v>
      </c>
      <c r="F19" s="260" t="s">
        <v>288</v>
      </c>
      <c r="G19" s="263">
        <f ca="1">ROUND(C19*$C$18+D19*$D$18,0)</f>
        <v>6431141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11520</v>
      </c>
      <c r="D20" s="268">
        <f ca="1">SUMIF(INDIRECT("'"&amp;D4&amp;"'"&amp;"!A:A"),结果表!B20,INDIRECT("'"&amp;D4&amp;"'"&amp;"!B:B"))</f>
        <v>15721</v>
      </c>
      <c r="E20" s="265"/>
      <c r="F20" s="266" t="s">
        <v>291</v>
      </c>
      <c r="G20" s="269">
        <f ca="1">ROUND(C20*$C$18+D20*$D$18,0)</f>
        <v>14461</v>
      </c>
      <c r="H20" s="270" t="s">
        <v>292</v>
      </c>
      <c r="I20" s="302"/>
      <c r="J20" s="1752"/>
      <c r="K20" s="1752">
        <f ca="1">(D20-C20)/C20</f>
        <v>0.36467013888888888</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28800</v>
      </c>
      <c r="D21" s="144">
        <f ca="1">SUMIF(INDIRECT("'"&amp;D4&amp;"'"&amp;"!A:A"),结果表!B21,INDIRECT("'"&amp;D4&amp;"'"&amp;"!B:B"))</f>
        <v>39303</v>
      </c>
      <c r="E21" s="265"/>
      <c r="F21" s="271" t="s">
        <v>293</v>
      </c>
      <c r="G21" s="273">
        <f ca="1">ROUND(C21*$C$18+D21*$D$18,0)</f>
        <v>36152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0.36469966614824401</v>
      </c>
      <c r="E22" s="275"/>
      <c r="F22" s="276"/>
      <c r="G22" s="277">
        <f ca="1">ROUND(G19/('数据-汇总表'!D3/666.67),0)</f>
        <v>2410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52"/>
      <c r="B25" s="1190" t="s">
        <v>297</v>
      </c>
      <c r="C25" s="281">
        <f>IF(B30=0,0,C30)</f>
        <v>0</v>
      </c>
      <c r="D25" s="282"/>
      <c r="E25" s="302"/>
      <c r="F25" s="302"/>
      <c r="G25" s="302"/>
      <c r="H25" s="302"/>
      <c r="I25" s="302"/>
      <c r="J25" s="1752"/>
      <c r="K25" s="1124" t="str">
        <f ca="1">项目基本情况!A17&amp;"国有建设用地使用权价格："&amp;O38&amp;"万元"</f>
        <v>出让国有建设用地使用权价格：6431141万元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大写金额：人民币陆佰肆拾叁亿壹仟壹佰肆拾壹万元整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单位面积地价：36152元/平方米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楼面地价：14461元/平方米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8" t="s">
        <v>2256</v>
      </c>
      <c r="B31" s="3848"/>
      <c r="C31" s="3848"/>
      <c r="D31" s="3848"/>
      <c r="E31" s="3848"/>
      <c r="F31" s="3848"/>
      <c r="G31" s="3848"/>
      <c r="H31" s="3848"/>
      <c r="I31" s="384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6431141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14461</v>
      </c>
      <c r="D33" s="1240" t="s">
        <v>1224</v>
      </c>
      <c r="E33" s="380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36152</v>
      </c>
      <c r="D34" s="1242" t="s">
        <v>1224</v>
      </c>
      <c r="E34" s="380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2410</v>
      </c>
      <c r="D35" s="1245" t="s">
        <v>1226</v>
      </c>
      <c r="E35" s="3807"/>
      <c r="F35" s="292" t="s">
        <v>308</v>
      </c>
      <c r="G35" s="944"/>
      <c r="H35" s="943" t="s">
        <v>309</v>
      </c>
      <c r="I35" s="302"/>
      <c r="J35" s="1752"/>
      <c r="K35" s="3811" t="s">
        <v>316</v>
      </c>
      <c r="L35" s="3811" t="s">
        <v>317</v>
      </c>
      <c r="M35" s="1133" t="s">
        <v>318</v>
      </c>
      <c r="N35" s="3811" t="s">
        <v>319</v>
      </c>
      <c r="O35" s="3811" t="s">
        <v>320</v>
      </c>
      <c r="P35" s="1752"/>
      <c r="V35" s="1752"/>
    </row>
    <row r="36" spans="1:26" ht="16.5" customHeight="1">
      <c r="A36" s="294" t="s">
        <v>310</v>
      </c>
      <c r="B36" s="295" t="s">
        <v>299</v>
      </c>
      <c r="C36" s="296" t="s">
        <v>311</v>
      </c>
      <c r="D36" s="296" t="s">
        <v>312</v>
      </c>
      <c r="E36" s="297" t="s">
        <v>313</v>
      </c>
      <c r="F36" s="302"/>
      <c r="G36" s="302"/>
      <c r="H36" s="302"/>
      <c r="I36" s="302"/>
      <c r="J36" s="1754"/>
      <c r="K36" s="3812"/>
      <c r="L36" s="3812"/>
      <c r="M36" s="1135" t="s">
        <v>321</v>
      </c>
      <c r="N36" s="3812"/>
      <c r="O36" s="3812"/>
      <c r="P36" s="1752"/>
      <c r="V36" s="1752"/>
    </row>
    <row r="37" spans="1:26" ht="16.5" customHeight="1" thickBot="1">
      <c r="A37" s="1129" t="s">
        <v>314</v>
      </c>
      <c r="B37" s="298"/>
      <c r="C37" s="285"/>
      <c r="D37" s="285"/>
      <c r="E37" s="286"/>
      <c r="F37" s="302"/>
      <c r="G37" s="302"/>
      <c r="H37" s="302"/>
      <c r="I37" s="302"/>
      <c r="J37" s="1754"/>
      <c r="K37" s="3813"/>
      <c r="L37" s="3813"/>
      <c r="M37" s="1136"/>
      <c r="N37" s="3813"/>
      <c r="O37" s="3813"/>
      <c r="P37" s="1752"/>
      <c r="V37" s="1752"/>
    </row>
    <row r="38" spans="1:26" ht="16.5" customHeight="1" thickBot="1">
      <c r="A38" s="1129" t="s">
        <v>315</v>
      </c>
      <c r="B38" s="298"/>
      <c r="C38" s="285"/>
      <c r="D38" s="285"/>
      <c r="E38" s="286"/>
      <c r="F38" s="302"/>
      <c r="G38" s="302"/>
      <c r="H38" s="302"/>
      <c r="I38" s="302"/>
      <c r="J38" s="1754"/>
      <c r="K38" s="1137">
        <f>'数据-汇总表'!D3</f>
        <v>1778900</v>
      </c>
      <c r="L38" s="1138">
        <f>'数据-汇总表'!E3</f>
        <v>4447250</v>
      </c>
      <c r="M38" s="1138">
        <f ca="1">C34</f>
        <v>36152</v>
      </c>
      <c r="N38" s="1138">
        <f ca="1">C33</f>
        <v>14461</v>
      </c>
      <c r="O38" s="1139">
        <f ca="1">C32</f>
        <v>6431141</v>
      </c>
      <c r="P38" s="1752"/>
      <c r="V38" s="1752"/>
    </row>
    <row r="39" spans="1:26" ht="16.5" customHeight="1" thickBot="1">
      <c r="A39" s="1134"/>
      <c r="B39" s="299"/>
      <c r="C39" s="300"/>
      <c r="D39" s="300"/>
      <c r="E39" s="301"/>
      <c r="F39" s="302"/>
      <c r="G39" s="302"/>
      <c r="H39" s="302"/>
      <c r="I39" s="302"/>
      <c r="J39" s="1754"/>
      <c r="K39" s="3824" t="str">
        <f>MID(A44,3,LEN(A44)-2)</f>
        <v/>
      </c>
      <c r="L39" s="3825"/>
      <c r="M39" s="3825"/>
      <c r="N39" s="3826"/>
      <c r="O39" s="1247" t="str">
        <f>C44</f>
        <v>——</v>
      </c>
      <c r="P39" s="1752"/>
      <c r="V39" s="1752"/>
    </row>
    <row r="40" spans="1:26" ht="19.5" thickBot="1">
      <c r="A40" s="100" t="s">
        <v>810</v>
      </c>
      <c r="B40" s="302"/>
      <c r="C40" s="302"/>
      <c r="D40" s="302"/>
      <c r="E40" s="302"/>
      <c r="F40" s="302"/>
      <c r="G40" s="302"/>
      <c r="H40" s="302"/>
      <c r="I40" s="302"/>
      <c r="J40" s="1754"/>
      <c r="K40" s="3824" t="str">
        <f>MID(A45,3,LEN(A45)-2)</f>
        <v/>
      </c>
      <c r="L40" s="3825"/>
      <c r="M40" s="3825"/>
      <c r="N40" s="382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4" t="str">
        <f>MID(A46,3,LEN(A46)-2)</f>
        <v/>
      </c>
      <c r="L41" s="3825"/>
      <c r="M41" s="3825"/>
      <c r="N41" s="3826"/>
      <c r="O41" s="1247" t="str">
        <f>C46</f>
        <v>——</v>
      </c>
      <c r="P41" s="1752"/>
      <c r="V41" s="1752"/>
    </row>
    <row r="42" spans="1:26" ht="29.25">
      <c r="A42" s="3853" t="s">
        <v>1585</v>
      </c>
      <c r="B42" s="3854"/>
      <c r="C42" s="255">
        <f ca="1">C32</f>
        <v>6431141</v>
      </c>
      <c r="D42" s="308">
        <f ca="1">C33</f>
        <v>14461</v>
      </c>
      <c r="E42" s="308">
        <f ca="1">C34</f>
        <v>36152</v>
      </c>
      <c r="F42" s="309">
        <f ca="1">C35</f>
        <v>2410</v>
      </c>
      <c r="G42" s="302"/>
      <c r="H42" s="302"/>
      <c r="I42" s="310"/>
      <c r="J42" s="1754"/>
      <c r="K42" s="1140" t="s">
        <v>327</v>
      </c>
      <c r="L42" s="1771" t="s">
        <v>328</v>
      </c>
      <c r="M42" s="1141" t="s">
        <v>329</v>
      </c>
      <c r="N42" s="1772" t="s">
        <v>330</v>
      </c>
      <c r="O42" s="1773" t="s">
        <v>331</v>
      </c>
      <c r="P42" s="1752"/>
      <c r="V42" s="1752"/>
    </row>
    <row r="43" spans="1:26" ht="30">
      <c r="A43" s="3863" t="s">
        <v>2012</v>
      </c>
      <c r="B43" s="3864"/>
      <c r="C43" s="255">
        <f>IF(H33="正常操作",G33+G34+G35,G34+G35)</f>
        <v>0</v>
      </c>
      <c r="D43" s="308" t="s">
        <v>17</v>
      </c>
      <c r="E43" s="308" t="s">
        <v>18</v>
      </c>
      <c r="F43" s="309" t="s">
        <v>18</v>
      </c>
      <c r="G43" s="2346" t="s">
        <v>877</v>
      </c>
      <c r="H43" s="302"/>
      <c r="I43" s="310"/>
      <c r="J43" s="1754"/>
      <c r="K43" s="1142" t="str">
        <f>C4</f>
        <v>基准地价-商业</v>
      </c>
      <c r="L43" s="1143">
        <f ca="1">IF(L42="估价结果/万元",C19,C20)</f>
        <v>5123232</v>
      </c>
      <c r="M43" s="1144">
        <f>C18</f>
        <v>0.3</v>
      </c>
      <c r="N43" s="1145">
        <f ca="1">IF(N42="测算结果/万元",G19,G20)</f>
        <v>6431141</v>
      </c>
      <c r="O43" s="1146">
        <f ca="1">IF(O42="最终结果/万元",C32,C33)</f>
        <v>6431141</v>
      </c>
      <c r="P43" s="1752"/>
      <c r="V43" s="1752"/>
    </row>
    <row r="44" spans="1:26" ht="18.75" thickBot="1">
      <c r="A44" s="3853" t="str">
        <f>IF(OR(项目基本情况!E8="抵押价格",项目基本情况!E8="已注销及未注销"),"3.抵押价格","——")</f>
        <v>——</v>
      </c>
      <c r="B44" s="385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6991673</v>
      </c>
      <c r="M44" s="1149">
        <f>D18</f>
        <v>0.7</v>
      </c>
      <c r="N44" s="1150"/>
      <c r="O44" s="1151"/>
      <c r="P44" s="1752"/>
      <c r="V44" s="1752"/>
    </row>
    <row r="45" spans="1:26" ht="15">
      <c r="A45" s="3858" t="str">
        <f>IF(项目基本情况!E8="已注销及未注销","4.抵押担保权已注销时的抵押价格",IF(项目基本情况!E8="已注销","3.抵押担保权已注销时的抵押价格","——"))</f>
        <v>——</v>
      </c>
      <c r="B45" s="385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5" t="str">
        <f>IF(项目基本情况!E9="抵押净值",IF(A45="——","4.抵押净值","5.抵押净值"),"——")</f>
        <v>——</v>
      </c>
      <c r="B46" s="385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6" t="s">
        <v>340</v>
      </c>
      <c r="B63" s="3817"/>
      <c r="C63" s="3818"/>
      <c r="D63" s="332">
        <f ca="1">ROUND(C42*F63,0)</f>
        <v>6431141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60" t="s">
        <v>344</v>
      </c>
      <c r="B64" s="3861"/>
      <c r="C64" s="3861"/>
      <c r="D64" s="3861"/>
      <c r="E64" s="3861"/>
      <c r="F64" s="3861"/>
      <c r="G64" s="386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7" t="s">
        <v>352</v>
      </c>
      <c r="B66" s="3823"/>
      <c r="C66" s="3823"/>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84" t="s">
        <v>351</v>
      </c>
      <c r="M66" s="3785"/>
      <c r="N66" s="2110"/>
      <c r="O66" s="2111"/>
      <c r="P66" s="2112"/>
      <c r="Q66" s="1752"/>
      <c r="R66" s="1752"/>
      <c r="S66" s="1752"/>
      <c r="T66" s="1752"/>
      <c r="U66" s="1752"/>
      <c r="V66" s="1752"/>
    </row>
    <row r="67" spans="1:22" ht="25.5" customHeight="1">
      <c r="A67" s="343" t="s">
        <v>355</v>
      </c>
      <c r="B67" s="3835" t="s">
        <v>356</v>
      </c>
      <c r="C67" s="3835"/>
      <c r="D67" s="344">
        <v>0</v>
      </c>
      <c r="E67" s="39" t="s">
        <v>357</v>
      </c>
      <c r="F67" s="60" t="s">
        <v>15</v>
      </c>
      <c r="G67" s="3819"/>
      <c r="H67" s="2749" t="s">
        <v>2257</v>
      </c>
      <c r="I67" s="2751"/>
      <c r="J67" s="1759"/>
      <c r="K67" s="1731">
        <v>2</v>
      </c>
      <c r="L67" s="3789" t="s">
        <v>354</v>
      </c>
      <c r="M67" s="3789"/>
      <c r="N67" s="1194">
        <f>'数据-取费表'!B2</f>
        <v>44994</v>
      </c>
      <c r="O67" s="1194"/>
      <c r="P67" s="1194"/>
      <c r="Q67" s="1752"/>
      <c r="R67" s="1752"/>
      <c r="S67" s="1752"/>
      <c r="T67" s="1752"/>
      <c r="U67" s="1752"/>
      <c r="V67" s="1752"/>
    </row>
    <row r="68" spans="1:22" ht="25.5" customHeight="1">
      <c r="A68" s="345"/>
      <c r="B68" s="3835" t="s">
        <v>359</v>
      </c>
      <c r="C68" s="3835"/>
      <c r="D68" s="346"/>
      <c r="E68" s="75"/>
      <c r="F68" s="347"/>
      <c r="G68" s="3820"/>
      <c r="H68" s="2750" t="s">
        <v>2258</v>
      </c>
      <c r="I68" s="2751"/>
      <c r="J68" s="1759"/>
      <c r="K68" s="1731">
        <v>3</v>
      </c>
      <c r="L68" s="3789" t="s">
        <v>358</v>
      </c>
      <c r="M68" s="3789"/>
      <c r="N68" s="1162">
        <f ca="1">C42</f>
        <v>6431141</v>
      </c>
      <c r="O68" s="1162"/>
      <c r="P68" s="1162"/>
      <c r="Q68" s="1752"/>
      <c r="R68" s="1752"/>
      <c r="S68" s="1752"/>
      <c r="T68" s="1752"/>
      <c r="U68" s="1752"/>
      <c r="V68" s="1752"/>
    </row>
    <row r="69" spans="1:22" ht="23.45" customHeight="1">
      <c r="A69" s="348"/>
      <c r="B69" s="3835" t="s">
        <v>360</v>
      </c>
      <c r="C69" s="3835"/>
      <c r="D69" s="349"/>
      <c r="E69" s="71"/>
      <c r="F69" s="347"/>
      <c r="G69" s="3821"/>
      <c r="H69" s="2750" t="s">
        <v>2259</v>
      </c>
      <c r="I69" s="2751"/>
      <c r="J69" s="1759"/>
      <c r="K69" s="1163">
        <v>4</v>
      </c>
      <c r="L69" s="3790" t="s">
        <v>2157</v>
      </c>
      <c r="M69" s="3791"/>
      <c r="N69" s="1164" t="str">
        <f>C44</f>
        <v>——</v>
      </c>
      <c r="O69" s="1164"/>
      <c r="P69" s="1164"/>
      <c r="Q69" s="1752"/>
      <c r="R69" s="1752"/>
      <c r="S69" s="1752"/>
      <c r="T69" s="1752"/>
      <c r="U69" s="1752"/>
      <c r="V69" s="1752"/>
    </row>
    <row r="70" spans="1:22" ht="24" customHeight="1">
      <c r="A70" s="350" t="s">
        <v>361</v>
      </c>
      <c r="B70" s="3835" t="s">
        <v>362</v>
      </c>
      <c r="C70" s="3835"/>
      <c r="D70" s="349">
        <f ca="1">ROUND(D63*'数据-取费表'!B41/(1+'数据-取费表'!C42),0)</f>
        <v>336869</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34" t="s">
        <v>2286</v>
      </c>
      <c r="C71" s="3851"/>
      <c r="D71" s="349">
        <f ca="1">ROUND(D63*'数据-取费表'!B41/(1+'数据-取费表'!C42),0)</f>
        <v>336869</v>
      </c>
      <c r="E71" s="15" t="s">
        <v>363</v>
      </c>
      <c r="F71" s="351">
        <f>'数据-取费表'!B41</f>
        <v>5.5000000000000007E-2</v>
      </c>
      <c r="G71" s="352"/>
      <c r="H71" s="302"/>
      <c r="I71" s="1161"/>
      <c r="J71" s="1759"/>
      <c r="K71" s="2521" t="s">
        <v>364</v>
      </c>
      <c r="L71" s="3792" t="s">
        <v>365</v>
      </c>
      <c r="M71" s="3792"/>
      <c r="N71" s="2521" t="s">
        <v>366</v>
      </c>
      <c r="O71" s="2521" t="s">
        <v>367</v>
      </c>
      <c r="P71" s="2521" t="s">
        <v>368</v>
      </c>
      <c r="Q71" s="1752"/>
      <c r="R71" s="1752"/>
      <c r="S71" s="1752"/>
      <c r="T71" s="1752"/>
      <c r="U71" s="1752"/>
      <c r="V71" s="1752"/>
    </row>
    <row r="72" spans="1:22" ht="12" customHeight="1">
      <c r="A72" s="350" t="s">
        <v>371</v>
      </c>
      <c r="B72" s="3834" t="s">
        <v>2287</v>
      </c>
      <c r="C72" s="3851"/>
      <c r="D72" s="349">
        <f ca="1">C86</f>
        <v>336869</v>
      </c>
      <c r="E72" s="71" t="s">
        <v>372</v>
      </c>
      <c r="F72" s="351">
        <f>'数据-取费表'!B41</f>
        <v>5.5000000000000007E-2</v>
      </c>
      <c r="G72" s="352"/>
      <c r="H72" s="1167"/>
      <c r="I72" s="1161"/>
      <c r="J72" s="1759"/>
      <c r="K72" s="1731">
        <v>1</v>
      </c>
      <c r="L72" s="3788" t="s">
        <v>370</v>
      </c>
      <c r="M72" s="3788"/>
      <c r="N72" s="1165" t="b">
        <f>D66</f>
        <v>0</v>
      </c>
      <c r="O72" s="1636" t="str">
        <f>E66</f>
        <v>销售额×税（费）率</v>
      </c>
      <c r="P72" s="1166">
        <f>F66</f>
        <v>5.5000000000000007E-2</v>
      </c>
      <c r="Q72" s="1752"/>
      <c r="R72" s="1752"/>
      <c r="S72" s="1752"/>
      <c r="T72" s="1752"/>
      <c r="U72" s="1752"/>
      <c r="V72" s="1752"/>
    </row>
    <row r="73" spans="1:22" ht="24" customHeight="1">
      <c r="A73" s="3822" t="s">
        <v>374</v>
      </c>
      <c r="B73" s="3823"/>
      <c r="C73" s="3823"/>
      <c r="D73" s="353">
        <f ca="1">IF(H73="个人住宅",0,ROUND(D63*I73,0))</f>
        <v>3216</v>
      </c>
      <c r="E73" s="15" t="s">
        <v>375</v>
      </c>
      <c r="F73" s="351" t="str">
        <f>IF(H73="正常",I73,"免征")</f>
        <v>免征</v>
      </c>
      <c r="G73" s="352"/>
      <c r="H73" s="184"/>
      <c r="I73" s="351">
        <f>'数据-取费表'!B49</f>
        <v>5.0000000000000001E-4</v>
      </c>
      <c r="J73" s="1759"/>
      <c r="K73" s="1731">
        <v>2</v>
      </c>
      <c r="L73" s="3788" t="s">
        <v>373</v>
      </c>
      <c r="M73" s="3788"/>
      <c r="N73" s="1165">
        <f t="shared" ref="N73:P74" ca="1" si="0">D73</f>
        <v>3216</v>
      </c>
      <c r="O73" s="1636" t="str">
        <f t="shared" si="0"/>
        <v>销售额×税（费）率</v>
      </c>
      <c r="P73" s="1166" t="str">
        <f t="shared" si="0"/>
        <v>免征</v>
      </c>
      <c r="Q73" s="1752"/>
      <c r="R73" s="1752"/>
      <c r="S73" s="1752"/>
      <c r="T73" s="1752"/>
      <c r="U73" s="1752"/>
      <c r="V73" s="1752"/>
    </row>
    <row r="74" spans="1:22" ht="24.75">
      <c r="A74" s="3822" t="s">
        <v>377</v>
      </c>
      <c r="B74" s="3823"/>
      <c r="C74" s="3823"/>
      <c r="D74" s="353">
        <f ca="1">IF(H74="个人住宅",D75,D76)</f>
        <v>3645845</v>
      </c>
      <c r="E74" s="15" t="s">
        <v>378</v>
      </c>
      <c r="F74" s="351" t="str">
        <f>IF(H74="正常",F76,"免征")</f>
        <v>免征</v>
      </c>
      <c r="G74" s="945" t="s">
        <v>379</v>
      </c>
      <c r="H74" s="354"/>
      <c r="I74" s="40"/>
      <c r="J74" s="1759"/>
      <c r="K74" s="1731">
        <v>3</v>
      </c>
      <c r="L74" s="3788" t="s">
        <v>376</v>
      </c>
      <c r="M74" s="3788"/>
      <c r="N74" s="1165">
        <f t="shared" ca="1" si="0"/>
        <v>3645845</v>
      </c>
      <c r="O74" s="1636" t="str">
        <f t="shared" si="0"/>
        <v>增值额×税（费）率</v>
      </c>
      <c r="P74" s="1168" t="str">
        <f t="shared" si="0"/>
        <v>免征</v>
      </c>
      <c r="Q74" s="1752"/>
      <c r="R74" s="1752"/>
      <c r="S74" s="1752"/>
      <c r="T74" s="1752"/>
      <c r="U74" s="1752"/>
      <c r="V74" s="1752"/>
    </row>
    <row r="75" spans="1:22" ht="12.75">
      <c r="A75" s="350" t="s">
        <v>380</v>
      </c>
      <c r="B75" s="3803" t="s">
        <v>381</v>
      </c>
      <c r="C75" s="3804"/>
      <c r="D75" s="355">
        <v>0</v>
      </c>
      <c r="E75" s="39" t="s">
        <v>382</v>
      </c>
      <c r="F75" s="356"/>
      <c r="G75" s="352"/>
      <c r="H75" s="40"/>
      <c r="I75" s="40"/>
      <c r="J75" s="1759"/>
      <c r="K75" s="2515">
        <f>IF(H77="非个人房产","",4)</f>
        <v>4</v>
      </c>
      <c r="L75" s="3788" t="str">
        <f>IF(H77="非个人房产","——","个人所得税")</f>
        <v>个人所得税</v>
      </c>
      <c r="M75" s="3788"/>
      <c r="N75" s="1169">
        <f>D77</f>
        <v>0</v>
      </c>
      <c r="O75" s="1637" t="str">
        <f>E77</f>
        <v>差额计税</v>
      </c>
      <c r="P75" s="1170">
        <f>F77</f>
        <v>0.01</v>
      </c>
      <c r="Q75" s="1752"/>
      <c r="R75" s="1752"/>
      <c r="S75" s="1752"/>
      <c r="T75" s="1752"/>
      <c r="U75" s="1752"/>
      <c r="V75" s="1752"/>
    </row>
    <row r="76" spans="1:22" ht="24.75">
      <c r="A76" s="350" t="s">
        <v>361</v>
      </c>
      <c r="B76" s="3803" t="s">
        <v>384</v>
      </c>
      <c r="C76" s="3845"/>
      <c r="D76" s="353">
        <f ca="1">IF(H76="转让取得",C99,C115)</f>
        <v>3645845</v>
      </c>
      <c r="E76" s="15" t="s">
        <v>385</v>
      </c>
      <c r="F76" s="51" t="s">
        <v>15</v>
      </c>
      <c r="G76" s="352"/>
      <c r="H76" s="354"/>
      <c r="I76" s="40"/>
      <c r="J76" s="1759"/>
      <c r="K76" s="2515" t="str">
        <f>IF(项目基本情况!K6="上海银行",IF(K75="",4,K75+1),"")</f>
        <v/>
      </c>
      <c r="L76" s="3799" t="str">
        <f>IF(项目基本情况!K6="上海银行","其他处置费用","")</f>
        <v/>
      </c>
      <c r="M76" s="3800"/>
      <c r="N76" s="1165" t="str">
        <f>IF(项目基本情况!K6="上海银行",N89,"")</f>
        <v/>
      </c>
      <c r="O76" s="3801" t="str">
        <f>IF(项目基本情况!K6="上海银行","包含处置中涉及的律师、诉讼、拍卖、评估等费用","")</f>
        <v/>
      </c>
      <c r="P76" s="3802"/>
      <c r="Q76" s="1752"/>
      <c r="R76" s="1752"/>
      <c r="S76" s="1752"/>
      <c r="T76" s="1752"/>
      <c r="U76" s="1752"/>
      <c r="V76" s="1752"/>
    </row>
    <row r="77" spans="1:22" ht="24.75" thickBot="1">
      <c r="A77" s="3814" t="s">
        <v>387</v>
      </c>
      <c r="B77" s="3815"/>
      <c r="C77" s="381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788" t="s">
        <v>2158</v>
      </c>
      <c r="M77" s="2520" t="s">
        <v>383</v>
      </c>
      <c r="N77" s="1171"/>
      <c r="O77" s="1172">
        <f ca="1">SUMIF(N72:N76,"&lt;9e307")</f>
        <v>3649061</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788"/>
      <c r="M78" s="2520" t="s">
        <v>386</v>
      </c>
      <c r="N78" s="1171"/>
      <c r="O78" s="1172" t="str">
        <f ca="1">NUMBERSTRING(INT(O77*10000),2)&amp;"元整"</f>
        <v>叁佰陆拾肆亿玖仟零陆拾壹万元整</v>
      </c>
      <c r="P78" s="1173"/>
      <c r="Q78" s="1752"/>
      <c r="R78" s="1752"/>
      <c r="S78" s="1752"/>
      <c r="T78" s="1752"/>
      <c r="U78" s="1752"/>
      <c r="V78" s="1752"/>
    </row>
    <row r="79" spans="1:22" ht="13.5" thickBot="1">
      <c r="A79" s="3865" t="s">
        <v>388</v>
      </c>
      <c r="B79" s="3865"/>
      <c r="C79" s="3865"/>
      <c r="D79" s="3865"/>
      <c r="E79" s="3865"/>
      <c r="F79" s="40"/>
      <c r="G79" s="40"/>
      <c r="H79" s="965"/>
      <c r="I79" s="302"/>
      <c r="J79" s="1759"/>
      <c r="K79" s="3786">
        <f>K77+1</f>
        <v>6</v>
      </c>
      <c r="L79" s="3788" t="s">
        <v>2159</v>
      </c>
      <c r="M79" s="2520" t="s">
        <v>383</v>
      </c>
      <c r="N79" s="1171"/>
      <c r="O79" s="1172" t="e">
        <f ca="1">N69-O77</f>
        <v>#VALUE!</v>
      </c>
      <c r="P79" s="1173"/>
      <c r="Q79" s="1752"/>
      <c r="R79" s="1752"/>
      <c r="S79" s="1752"/>
      <c r="T79" s="1752"/>
      <c r="U79" s="1752"/>
      <c r="V79" s="1752"/>
    </row>
    <row r="80" spans="1:22" ht="12.75">
      <c r="A80" s="3796" t="s">
        <v>389</v>
      </c>
      <c r="B80" s="3797"/>
      <c r="C80" s="956"/>
      <c r="D80" s="956" t="s">
        <v>390</v>
      </c>
      <c r="E80" s="357" t="s">
        <v>391</v>
      </c>
      <c r="F80" s="40"/>
      <c r="G80" s="40"/>
      <c r="H80" s="965"/>
      <c r="I80" s="302"/>
      <c r="J80" s="1752"/>
      <c r="K80" s="3787"/>
      <c r="L80" s="378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6124896</v>
      </c>
      <c r="D81" s="360"/>
      <c r="E81" s="361"/>
      <c r="F81" s="40"/>
      <c r="G81" s="40"/>
      <c r="H81" s="965"/>
      <c r="I81" s="302"/>
      <c r="J81" s="1752"/>
      <c r="K81" s="2515">
        <f>K79+1</f>
        <v>7</v>
      </c>
      <c r="L81" s="3808" t="s">
        <v>2160</v>
      </c>
      <c r="M81" s="3809"/>
      <c r="N81" s="1175"/>
      <c r="O81" s="1176" t="e">
        <f ca="1">ROUND(O79*10000/'数据-汇总表'!E3,0)</f>
        <v>#VALUE!</v>
      </c>
      <c r="P81" s="1177"/>
      <c r="Q81" s="1752"/>
      <c r="R81" s="1752"/>
      <c r="S81" s="1752"/>
      <c r="T81" s="1752"/>
      <c r="U81" s="1752"/>
      <c r="V81" s="1752"/>
    </row>
    <row r="82" spans="1:26" ht="13.5" thickTop="1">
      <c r="A82" s="362" t="s">
        <v>1353</v>
      </c>
      <c r="B82" s="363" t="s">
        <v>393</v>
      </c>
      <c r="C82" s="364">
        <f ca="1">D63</f>
        <v>6431141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8"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98"/>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6124896</v>
      </c>
      <c r="D85" s="365" t="s">
        <v>13</v>
      </c>
      <c r="E85" s="366"/>
      <c r="F85" s="40"/>
      <c r="G85" s="40"/>
      <c r="H85" s="965"/>
      <c r="I85" s="302"/>
      <c r="J85" s="1752"/>
      <c r="K85" s="3798"/>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336869</v>
      </c>
      <c r="D86" s="376">
        <f>'数据-取费表'!B41</f>
        <v>5.5000000000000007E-2</v>
      </c>
      <c r="E86" s="377"/>
      <c r="F86" s="40"/>
      <c r="G86" s="40"/>
      <c r="H86" s="965"/>
      <c r="I86" s="302"/>
      <c r="J86" s="1752"/>
      <c r="K86" s="3798"/>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8"/>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7" t="s">
        <v>398</v>
      </c>
      <c r="B88" s="3838"/>
      <c r="C88" s="3838"/>
      <c r="D88" s="3838"/>
      <c r="E88" s="3838"/>
      <c r="F88" s="3838"/>
      <c r="G88" s="3838"/>
      <c r="H88" s="3838"/>
      <c r="I88" s="1184"/>
      <c r="J88" s="1760"/>
      <c r="K88" s="3798"/>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6" t="s">
        <v>389</v>
      </c>
      <c r="B89" s="3797"/>
      <c r="C89" s="956"/>
      <c r="D89" s="956" t="s">
        <v>390</v>
      </c>
      <c r="E89" s="378" t="s">
        <v>399</v>
      </c>
      <c r="F89" s="379"/>
      <c r="G89" s="379"/>
      <c r="H89" s="380"/>
      <c r="I89" s="1185"/>
      <c r="J89" s="1762"/>
      <c r="K89" s="379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6124896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30624</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4" t="s">
        <v>407</v>
      </c>
      <c r="F94" s="3835"/>
      <c r="G94" s="3835"/>
      <c r="H94" s="383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30624</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6094272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199.00313479623824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3645845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7" t="s">
        <v>414</v>
      </c>
      <c r="B101" s="3838"/>
      <c r="C101" s="3838"/>
      <c r="D101" s="3838"/>
      <c r="E101" s="3838"/>
      <c r="F101" s="3838"/>
      <c r="G101" s="3838"/>
      <c r="H101" s="383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6" t="s">
        <v>389</v>
      </c>
      <c r="B102" s="379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6124896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30624</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9" t="s">
        <v>2252</v>
      </c>
      <c r="H108" s="3850"/>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30624</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6094272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199.00313479623824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3645845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B53" sqref="B5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5123232</v>
      </c>
      <c r="C2" s="1262" t="s">
        <v>849</v>
      </c>
      <c r="D2" s="1263" t="s">
        <v>833</v>
      </c>
      <c r="E2" s="1264" t="s">
        <v>2741</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17301</v>
      </c>
      <c r="U2" s="2406"/>
      <c r="V2" s="2416">
        <f>ROUND(T2*U2/10000,0)</f>
        <v>0</v>
      </c>
      <c r="W2" s="1911"/>
      <c r="X2" s="1911"/>
      <c r="Y2" s="1911"/>
      <c r="Z2" s="1911"/>
      <c r="AA2" s="1911"/>
      <c r="AB2" s="1911"/>
      <c r="AC2" s="1912"/>
    </row>
    <row r="3" spans="1:39" ht="15.75">
      <c r="A3" s="1266" t="s">
        <v>1220</v>
      </c>
      <c r="B3" s="991">
        <f>ROUND(B2*10000/D1,0)</f>
        <v>11520</v>
      </c>
      <c r="C3" s="1262" t="s">
        <v>855</v>
      </c>
      <c r="D3" s="1263" t="s">
        <v>856</v>
      </c>
      <c r="E3" s="1267" t="s">
        <v>2463</v>
      </c>
      <c r="F3" s="1268" t="s">
        <v>3381</v>
      </c>
      <c r="G3" s="992">
        <f>IF(F3="宗地容积率",'数据-汇总表'!I4,IF(F3="估价对象容积率",'数据-汇总表'!I6,'数据-汇总表'!I7))</f>
        <v>2.5</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13637</v>
      </c>
      <c r="U3" s="2406"/>
      <c r="V3" s="2416">
        <f t="shared" ref="V3:V16" si="1">ROUND(T3*U3/10000,0)</f>
        <v>0</v>
      </c>
      <c r="W3" s="1911"/>
      <c r="X3" s="1911"/>
      <c r="Y3" s="1911"/>
      <c r="Z3" s="1911"/>
      <c r="AA3" s="1911"/>
      <c r="AB3" s="1911"/>
      <c r="AC3" s="1912"/>
    </row>
    <row r="4" spans="1:39" ht="28.5">
      <c r="A4" s="1647" t="s">
        <v>1638</v>
      </c>
      <c r="B4" s="2106">
        <f>ROUND(B2*10000/F1,0)</f>
        <v>28800</v>
      </c>
      <c r="C4" s="1650" t="s">
        <v>1613</v>
      </c>
      <c r="D4" s="1650">
        <f>ROUND(B2/(F1/666.67),0)</f>
        <v>1920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11525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11220</v>
      </c>
      <c r="D5" s="2548">
        <f>ROUND(C6*C17+C20,0)</f>
        <v>11220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10165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11220</v>
      </c>
      <c r="D6" s="3523" t="s">
        <v>1228</v>
      </c>
      <c r="E6" s="1277"/>
      <c r="F6" s="1277"/>
      <c r="G6" s="3524"/>
      <c r="H6" s="3524"/>
      <c r="I6" s="3524"/>
      <c r="J6" s="3525"/>
      <c r="K6" s="2978"/>
      <c r="L6" s="1641" t="s">
        <v>1602</v>
      </c>
      <c r="M6" s="1642">
        <f>SUMPRODUCT((区片价!B127:B189=I2)*(区片价!C3:G3=E2)*(区片价!C127:G189))</f>
        <v>11220</v>
      </c>
      <c r="N6" s="1643">
        <f>SUMPRODUCT((因素修正幅度!B127:B189=I2)*(因素修正幅度!C3:G3=E2)*(因素修正幅度!C127:G189))</f>
        <v>0.121</v>
      </c>
      <c r="O6" s="2978"/>
      <c r="P6" s="2981"/>
      <c r="Q6" s="1911"/>
      <c r="R6" s="2416">
        <v>5</v>
      </c>
      <c r="S6" s="2416">
        <f>ROUND(SUMPRODUCT((B107:B111=R6)*(C106:N106=G2)*(C107:N111)),4)</f>
        <v>0.84799999999999998</v>
      </c>
      <c r="T6" s="2416">
        <f t="shared" si="0"/>
        <v>9769</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0</v>
      </c>
      <c r="D20" s="3879" t="s">
        <v>879</v>
      </c>
      <c r="E20" s="3880"/>
      <c r="F20" s="3879" t="s">
        <v>876</v>
      </c>
      <c r="G20" s="3880"/>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24.75" thickBot="1">
      <c r="A21" s="3878"/>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3390</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1.5019</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5123232</v>
      </c>
      <c r="D30" s="1312"/>
      <c r="E30" s="1290"/>
      <c r="F30" s="1313"/>
      <c r="G30" s="1290"/>
      <c r="H30" s="1290"/>
      <c r="I30" s="1290"/>
      <c r="J30" s="1314"/>
      <c r="K30" s="2978"/>
      <c r="L30" s="1407" t="s">
        <v>833</v>
      </c>
      <c r="M30" s="1279" t="s">
        <v>900</v>
      </c>
      <c r="N30" s="1279" t="s">
        <v>902</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11520</v>
      </c>
      <c r="D33" s="1326">
        <f>'数据-汇总表'!E3</f>
        <v>4447250</v>
      </c>
      <c r="E33" s="1635">
        <f>ROUND(C33*D33/10000,0)</f>
        <v>5123232</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2880</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6912</v>
      </c>
      <c r="D37" s="1356"/>
      <c r="E37" s="996">
        <f>ROUND(C37*D37/10000,0)</f>
        <v>0</v>
      </c>
      <c r="F37" s="996">
        <f>SUMIF(修正!A57:A68,G2,修正!B57:B68)</f>
        <v>0.6</v>
      </c>
      <c r="G37" s="996">
        <f>ROUND(IF(E2="工业",C37*$M$42,C37*$M$41),0)</f>
        <v>1728</v>
      </c>
      <c r="H37" s="996">
        <f>D37</f>
        <v>0</v>
      </c>
      <c r="I37" s="996">
        <f>ROUND(G37*H37/10000,0)</f>
        <v>0</v>
      </c>
      <c r="J37" s="3872"/>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3456</v>
      </c>
      <c r="D38" s="1356"/>
      <c r="E38" s="996">
        <f t="shared" ref="E38:E42" si="4">ROUND(C38*D38/10000,0)</f>
        <v>0</v>
      </c>
      <c r="F38" s="996">
        <f>SUMIF(修正!A57:A68,G2,修正!C57:C68)</f>
        <v>0.3</v>
      </c>
      <c r="G38" s="996">
        <f>ROUND(IF(E2="工业",C38*$M$42,C38*$M$41),0)</f>
        <v>864</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3219</v>
      </c>
      <c r="C39" s="1005">
        <f>ROUND(D5*C22*C23*C24*C28*F39,0)</f>
        <v>2880</v>
      </c>
      <c r="D39" s="1356"/>
      <c r="E39" s="996">
        <f t="shared" si="4"/>
        <v>0</v>
      </c>
      <c r="F39" s="996">
        <f>SUMIF(修正!A57:A68,G2,修正!D57:D68)</f>
        <v>0.25</v>
      </c>
      <c r="G39" s="996">
        <f>ROUND(IF(E2="工业",C39*$M$42,C39*$M$41),0)</f>
        <v>720</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2880</v>
      </c>
      <c r="D40" s="1356"/>
      <c r="E40" s="996">
        <f t="shared" si="4"/>
        <v>0</v>
      </c>
      <c r="F40" s="1005">
        <f>SUMIF(修正!A57:A68,G2,修正!E57:E68)</f>
        <v>0.25</v>
      </c>
      <c r="G40" s="996">
        <f>ROUND(IF(E2="工业",C40*$M$42,C40*$M$41),0)</f>
        <v>720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2880</v>
      </c>
      <c r="D41" s="1356"/>
      <c r="E41" s="996">
        <f t="shared" si="4"/>
        <v>0</v>
      </c>
      <c r="F41" s="1005">
        <f>SUMIF(修正!A57:A68,G2,修正!F57:F68)</f>
        <v>0.25</v>
      </c>
      <c r="G41" s="996">
        <f>ROUND(IF(E2="工业",C41*$M$42,C41*$M$41),0)</f>
        <v>720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1728</v>
      </c>
      <c r="D42" s="1357"/>
      <c r="E42" s="997">
        <f t="shared" si="4"/>
        <v>0</v>
      </c>
      <c r="F42" s="1007">
        <f>SUMIF(修正!A57:A68,G2,修正!G57:G68)</f>
        <v>0.15</v>
      </c>
      <c r="G42" s="997">
        <f>ROUND(IF(E2="工业",C42*$M$42,C42*$M$41),0)</f>
        <v>432</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1</v>
      </c>
      <c r="D44" s="365" t="s">
        <v>2241</v>
      </c>
      <c r="E44" s="2587">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3391</v>
      </c>
      <c r="D50" s="3599">
        <f t="shared" ref="D50:D58" si="7">SUMIF($J$49:$N$49,C50,J50:N50)</f>
        <v>0</v>
      </c>
      <c r="E50" s="3600">
        <f>ROUND(SUM(D50:D58),4)</f>
        <v>0</v>
      </c>
      <c r="F50" s="3601">
        <f>IF(E2="商业",SUMIF(L1:L12,G2,N1:N12),"——")</f>
        <v>0.121</v>
      </c>
      <c r="G50" s="3602">
        <f>H50</f>
        <v>1.8100000000000002E-2</v>
      </c>
      <c r="H50" s="3603">
        <f t="shared" ref="H50:H58" si="8">IFERROR(ROUNDDOWN(($F$50*I50/2),4),"——")</f>
        <v>1.8100000000000002E-2</v>
      </c>
      <c r="I50" s="3577">
        <v>0.3</v>
      </c>
      <c r="J50" s="3604">
        <f t="shared" ref="J50:J58" si="9">K50+$G50</f>
        <v>3.6200000000000003E-2</v>
      </c>
      <c r="K50" s="3604">
        <f t="shared" ref="K50:K58" si="10">$L50+$G50</f>
        <v>1.8100000000000002E-2</v>
      </c>
      <c r="L50" s="3604">
        <v>0</v>
      </c>
      <c r="M50" s="3604">
        <f t="shared" ref="M50:N58" si="11">L50-$G50</f>
        <v>-1.8100000000000002E-2</v>
      </c>
      <c r="N50" s="3604">
        <f t="shared" si="11"/>
        <v>-3.6200000000000003E-2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3391</v>
      </c>
      <c r="D51" s="3599">
        <f t="shared" si="7"/>
        <v>0</v>
      </c>
      <c r="E51" s="3605"/>
      <c r="F51" s="3601"/>
      <c r="G51" s="3602">
        <f t="shared" ref="G51:G58" si="12">H51</f>
        <v>1.3299999999999999E-2</v>
      </c>
      <c r="H51" s="3603">
        <f t="shared" si="8"/>
        <v>1.3299999999999999E-2</v>
      </c>
      <c r="I51" s="3577">
        <v>0.22</v>
      </c>
      <c r="J51" s="3604">
        <f t="shared" si="9"/>
        <v>2.6599999999999999E-2</v>
      </c>
      <c r="K51" s="3604">
        <f t="shared" si="10"/>
        <v>1.3299999999999999E-2</v>
      </c>
      <c r="L51" s="3604">
        <v>0</v>
      </c>
      <c r="M51" s="3604">
        <f t="shared" si="11"/>
        <v>-1.3299999999999999E-2</v>
      </c>
      <c r="N51" s="3604">
        <f t="shared" si="11"/>
        <v>-2.6599999999999999E-2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t="s">
        <v>3391</v>
      </c>
      <c r="D52" s="3599">
        <f t="shared" si="7"/>
        <v>0</v>
      </c>
      <c r="E52" s="3605"/>
      <c r="F52" s="3601"/>
      <c r="G52" s="3602">
        <f t="shared" si="12"/>
        <v>7.1999999999999998E-3</v>
      </c>
      <c r="H52" s="3603">
        <f t="shared" si="8"/>
        <v>7.1999999999999998E-3</v>
      </c>
      <c r="I52" s="3577">
        <v>0.12</v>
      </c>
      <c r="J52" s="3604">
        <f t="shared" si="9"/>
        <v>1.44E-2</v>
      </c>
      <c r="K52" s="3604">
        <f t="shared" si="10"/>
        <v>7.1999999999999998E-3</v>
      </c>
      <c r="L52" s="3604">
        <v>0</v>
      </c>
      <c r="M52" s="3604">
        <f t="shared" si="11"/>
        <v>-7.1999999999999998E-3</v>
      </c>
      <c r="N52" s="3604">
        <f t="shared" si="11"/>
        <v>-1.44E-2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3391</v>
      </c>
      <c r="D53" s="3599">
        <f t="shared" si="7"/>
        <v>0</v>
      </c>
      <c r="E53" s="3605"/>
      <c r="F53" s="3601"/>
      <c r="G53" s="3602">
        <f t="shared" si="12"/>
        <v>3.0000000000000001E-3</v>
      </c>
      <c r="H53" s="3603">
        <f t="shared" si="8"/>
        <v>3.0000000000000001E-3</v>
      </c>
      <c r="I53" s="3577">
        <v>0.05</v>
      </c>
      <c r="J53" s="3604">
        <f t="shared" si="9"/>
        <v>6.0000000000000001E-3</v>
      </c>
      <c r="K53" s="3604">
        <f t="shared" si="10"/>
        <v>3.0000000000000001E-3</v>
      </c>
      <c r="L53" s="3604">
        <v>0</v>
      </c>
      <c r="M53" s="3604">
        <f t="shared" si="11"/>
        <v>-3.0000000000000001E-3</v>
      </c>
      <c r="N53" s="3604">
        <f t="shared" si="11"/>
        <v>-6.0000000000000001E-3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3391</v>
      </c>
      <c r="D54" s="3599">
        <f t="shared" si="7"/>
        <v>0</v>
      </c>
      <c r="E54" s="3605"/>
      <c r="F54" s="3601"/>
      <c r="G54" s="3602">
        <f t="shared" si="12"/>
        <v>4.7999999999999996E-3</v>
      </c>
      <c r="H54" s="3603">
        <f t="shared" si="8"/>
        <v>4.7999999999999996E-3</v>
      </c>
      <c r="I54" s="3577">
        <v>0.08</v>
      </c>
      <c r="J54" s="3604">
        <f t="shared" si="9"/>
        <v>9.5999999999999992E-3</v>
      </c>
      <c r="K54" s="3604">
        <f t="shared" si="10"/>
        <v>4.7999999999999996E-3</v>
      </c>
      <c r="L54" s="3604">
        <v>0</v>
      </c>
      <c r="M54" s="3604">
        <f t="shared" si="11"/>
        <v>-4.7999999999999996E-3</v>
      </c>
      <c r="N54" s="3604">
        <f t="shared" si="11"/>
        <v>-9.5999999999999992E-3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t="s">
        <v>3391</v>
      </c>
      <c r="D55" s="3599">
        <f t="shared" si="7"/>
        <v>0</v>
      </c>
      <c r="E55" s="3605"/>
      <c r="F55" s="3601"/>
      <c r="G55" s="3602">
        <f t="shared" si="12"/>
        <v>3.0000000000000001E-3</v>
      </c>
      <c r="H55" s="3603">
        <f t="shared" si="8"/>
        <v>3.0000000000000001E-3</v>
      </c>
      <c r="I55" s="3577">
        <v>0.05</v>
      </c>
      <c r="J55" s="3604">
        <f t="shared" si="9"/>
        <v>6.0000000000000001E-3</v>
      </c>
      <c r="K55" s="3604">
        <f t="shared" si="10"/>
        <v>3.0000000000000001E-3</v>
      </c>
      <c r="L55" s="3604">
        <v>0</v>
      </c>
      <c r="M55" s="3604">
        <f t="shared" si="11"/>
        <v>-3.0000000000000001E-3</v>
      </c>
      <c r="N55" s="3604">
        <f t="shared" si="11"/>
        <v>-6.0000000000000001E-3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3391</v>
      </c>
      <c r="D56" s="3599">
        <f t="shared" si="7"/>
        <v>0</v>
      </c>
      <c r="E56" s="3605"/>
      <c r="F56" s="3601"/>
      <c r="G56" s="3602">
        <f t="shared" si="12"/>
        <v>3.0000000000000001E-3</v>
      </c>
      <c r="H56" s="3603">
        <f t="shared" si="8"/>
        <v>3.0000000000000001E-3</v>
      </c>
      <c r="I56" s="3577">
        <v>0.05</v>
      </c>
      <c r="J56" s="3604">
        <f t="shared" si="9"/>
        <v>6.0000000000000001E-3</v>
      </c>
      <c r="K56" s="3604">
        <f t="shared" si="10"/>
        <v>3.0000000000000001E-3</v>
      </c>
      <c r="L56" s="3604">
        <v>0</v>
      </c>
      <c r="M56" s="3604">
        <f t="shared" si="11"/>
        <v>-3.0000000000000001E-3</v>
      </c>
      <c r="N56" s="3604">
        <f t="shared" si="11"/>
        <v>-6.0000000000000001E-3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3391</v>
      </c>
      <c r="D57" s="3599">
        <f t="shared" si="7"/>
        <v>0</v>
      </c>
      <c r="E57" s="3605"/>
      <c r="F57" s="3601"/>
      <c r="G57" s="3602">
        <f t="shared" si="12"/>
        <v>4.7999999999999996E-3</v>
      </c>
      <c r="H57" s="3603">
        <f t="shared" si="8"/>
        <v>4.7999999999999996E-3</v>
      </c>
      <c r="I57" s="3577">
        <v>0.08</v>
      </c>
      <c r="J57" s="3604">
        <f t="shared" si="9"/>
        <v>9.5999999999999992E-3</v>
      </c>
      <c r="K57" s="3604">
        <f t="shared" si="10"/>
        <v>4.7999999999999996E-3</v>
      </c>
      <c r="L57" s="3604">
        <v>0</v>
      </c>
      <c r="M57" s="3604">
        <f t="shared" si="11"/>
        <v>-4.7999999999999996E-3</v>
      </c>
      <c r="N57" s="3604">
        <f t="shared" si="11"/>
        <v>-9.5999999999999992E-3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3391</v>
      </c>
      <c r="D58" s="3599">
        <f t="shared" si="7"/>
        <v>0</v>
      </c>
      <c r="E58" s="3612"/>
      <c r="F58" s="3601"/>
      <c r="G58" s="3602">
        <f t="shared" si="12"/>
        <v>3.0000000000000001E-3</v>
      </c>
      <c r="H58" s="3603">
        <f t="shared" si="8"/>
        <v>3.0000000000000001E-3</v>
      </c>
      <c r="I58" s="3579">
        <v>0.05</v>
      </c>
      <c r="J58" s="3604">
        <f t="shared" si="9"/>
        <v>6.0000000000000001E-3</v>
      </c>
      <c r="K58" s="3604">
        <f t="shared" si="10"/>
        <v>3.0000000000000001E-3</v>
      </c>
      <c r="L58" s="3604">
        <v>0</v>
      </c>
      <c r="M58" s="3604">
        <f t="shared" si="11"/>
        <v>-3.0000000000000001E-3</v>
      </c>
      <c r="N58" s="3604">
        <f t="shared" si="11"/>
        <v>-6.0000000000000001E-3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2199</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2457</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3666"/>
      <c r="L104" s="3666"/>
      <c r="M104" s="3666"/>
      <c r="N104" s="3666"/>
    </row>
    <row r="105" spans="1:36">
      <c r="A105" s="3867" t="s">
        <v>833</v>
      </c>
      <c r="B105" s="3867" t="s">
        <v>1173</v>
      </c>
      <c r="C105" s="1041" t="s">
        <v>1174</v>
      </c>
      <c r="D105" s="1042"/>
      <c r="E105" s="1042"/>
      <c r="F105" s="1042"/>
      <c r="G105" s="1042"/>
      <c r="H105" s="1042"/>
      <c r="I105" s="1042"/>
      <c r="J105" s="1043"/>
      <c r="K105" s="1035"/>
      <c r="L105" s="1035"/>
      <c r="M105" s="1035"/>
      <c r="N105" s="1035"/>
    </row>
    <row r="106" spans="1:36">
      <c r="A106" s="3867"/>
      <c r="B106" s="3867"/>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3237</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0"/>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71" t="s">
        <v>1175</v>
      </c>
      <c r="B114" s="3871"/>
      <c r="C114" s="3871"/>
      <c r="D114" s="3871"/>
      <c r="E114" s="3871"/>
      <c r="F114" s="3871"/>
      <c r="G114" s="3871"/>
      <c r="H114" s="3871"/>
      <c r="I114" s="3871"/>
      <c r="J114" s="3871"/>
      <c r="K114" s="3665"/>
      <c r="L114" s="3665"/>
      <c r="M114" s="3665"/>
      <c r="N114" s="3665"/>
    </row>
    <row r="116" spans="1:14" ht="12.75" thickBot="1"/>
    <row r="117" spans="1:14" ht="25.5" thickBot="1">
      <c r="A117" s="976" t="s">
        <v>831</v>
      </c>
      <c r="B117" s="2104">
        <f>G3</f>
        <v>2.5</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4">I119</f>
        <v>0.80359999999999998</v>
      </c>
      <c r="K119" s="3575">
        <f t="shared" si="34"/>
        <v>0.80359999999999998</v>
      </c>
      <c r="L119" s="3575">
        <f t="shared" si="34"/>
        <v>0.80359999999999998</v>
      </c>
      <c r="M119" s="3636">
        <f t="shared" si="34"/>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5">D120</f>
        <v>0.90600000000000003</v>
      </c>
      <c r="F120" s="3575">
        <f t="shared" si="35"/>
        <v>0.90600000000000003</v>
      </c>
      <c r="G120" s="3575">
        <f t="shared" si="35"/>
        <v>0.90600000000000003</v>
      </c>
      <c r="H120" s="3575">
        <f t="shared" si="35"/>
        <v>0.90600000000000003</v>
      </c>
      <c r="I120" s="3575">
        <f>ROUND(0.838-0.0182*B117,4)</f>
        <v>0.79249999999999998</v>
      </c>
      <c r="J120" s="3575">
        <f t="shared" si="34"/>
        <v>0.79249999999999998</v>
      </c>
      <c r="K120" s="3575">
        <f t="shared" si="34"/>
        <v>0.79249999999999998</v>
      </c>
      <c r="L120" s="3575">
        <f t="shared" si="34"/>
        <v>0.79249999999999998</v>
      </c>
      <c r="M120" s="3636">
        <f t="shared" si="34"/>
        <v>0.79249999999999998</v>
      </c>
    </row>
    <row r="121" spans="1:14" ht="12.75">
      <c r="A121" s="3633" t="s">
        <v>3240</v>
      </c>
      <c r="B121" s="3575">
        <f>ROUND(0.9448-0.0115*B117,4)</f>
        <v>0.91610000000000003</v>
      </c>
      <c r="C121" s="3575">
        <f>B121</f>
        <v>0.91610000000000003</v>
      </c>
      <c r="D121" s="3575">
        <f>ROUND(0.937-0.0145*B117,4)</f>
        <v>0.90080000000000005</v>
      </c>
      <c r="E121" s="3575">
        <f t="shared" si="35"/>
        <v>0.90080000000000005</v>
      </c>
      <c r="F121" s="3575">
        <f t="shared" si="35"/>
        <v>0.90080000000000005</v>
      </c>
      <c r="G121" s="3575">
        <f t="shared" si="35"/>
        <v>0.90080000000000005</v>
      </c>
      <c r="H121" s="3575">
        <f t="shared" si="35"/>
        <v>0.90080000000000005</v>
      </c>
      <c r="I121" s="3575">
        <f>ROUND(0.7965-0.0185*B117,4)</f>
        <v>0.75029999999999997</v>
      </c>
      <c r="J121" s="3575">
        <f t="shared" si="34"/>
        <v>0.75029999999999997</v>
      </c>
      <c r="K121" s="3575">
        <f t="shared" si="34"/>
        <v>0.75029999999999997</v>
      </c>
      <c r="L121" s="3575">
        <f t="shared" si="34"/>
        <v>0.75029999999999997</v>
      </c>
      <c r="M121" s="3636">
        <f t="shared" si="34"/>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4"/>
        <v>0.54300000000000004</v>
      </c>
      <c r="K122" s="3637">
        <f t="shared" si="34"/>
        <v>0.54300000000000004</v>
      </c>
      <c r="L122" s="3637">
        <f t="shared" si="34"/>
        <v>0.54300000000000004</v>
      </c>
      <c r="M122" s="3638">
        <f t="shared" si="34"/>
        <v>0.54300000000000004</v>
      </c>
    </row>
    <row r="123" spans="1:14" ht="12.75">
      <c r="A123" s="3635" t="s">
        <v>2457</v>
      </c>
      <c r="B123" s="3575">
        <f>ROUND(0.9404-0.0106*B117,4)</f>
        <v>0.91390000000000005</v>
      </c>
      <c r="C123" s="3575">
        <f>B123</f>
        <v>0.91390000000000005</v>
      </c>
      <c r="D123" s="3575">
        <f>ROUND(0.8955-0.0135*B117,4)</f>
        <v>0.86180000000000001</v>
      </c>
      <c r="E123" s="3575">
        <f t="shared" ref="E123:H123" si="36">D123</f>
        <v>0.86180000000000001</v>
      </c>
      <c r="F123" s="3575">
        <f t="shared" si="36"/>
        <v>0.86180000000000001</v>
      </c>
      <c r="G123" s="3575">
        <f t="shared" si="36"/>
        <v>0.86180000000000001</v>
      </c>
      <c r="H123" s="3575">
        <f t="shared" si="36"/>
        <v>0.86180000000000001</v>
      </c>
      <c r="I123" s="3575">
        <f>ROUND(0.7632-0.0166*B117,4)</f>
        <v>0.72170000000000001</v>
      </c>
      <c r="J123" s="3575">
        <f t="shared" si="34"/>
        <v>0.72170000000000001</v>
      </c>
      <c r="K123" s="3575">
        <f t="shared" si="34"/>
        <v>0.72170000000000001</v>
      </c>
      <c r="L123" s="3575">
        <f t="shared" si="34"/>
        <v>0.72170000000000001</v>
      </c>
      <c r="M123" s="3636">
        <f t="shared" si="34"/>
        <v>0.72170000000000001</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F33"/>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2741</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6991673</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15721</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39303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2620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13341750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2741</v>
      </c>
      <c r="D7" s="423"/>
      <c r="E7" s="423"/>
      <c r="F7" s="423"/>
      <c r="G7" s="423"/>
      <c r="H7" s="423"/>
      <c r="I7" s="423"/>
      <c r="J7" s="423"/>
      <c r="K7" s="424"/>
      <c r="AA7" s="1835"/>
      <c r="AB7" s="1835"/>
      <c r="AC7" s="1835"/>
      <c r="AD7" s="1835"/>
      <c r="AE7" s="1835"/>
    </row>
    <row r="8" spans="1:31" s="1838" customFormat="1" ht="13.5" customHeight="1">
      <c r="A8" s="769" t="s">
        <v>1374</v>
      </c>
      <c r="B8" s="252" t="s">
        <v>432</v>
      </c>
      <c r="C8" s="2314">
        <v>30000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4447250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13341750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2223625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111181</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88945</v>
      </c>
      <c r="D16" s="2324">
        <f ca="1">IF(B1="",'数据-汇总表'!E3,INDIRECT("'数据-取费表'!K"&amp;$K$1)+INDIRECT("'数据-取费表'!S"&amp;$K$1))</f>
        <v>4447250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33354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2457105</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4447250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88945</v>
      </c>
      <c r="D20" s="2334"/>
      <c r="E20" s="2288"/>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88945</v>
      </c>
      <c r="D22" s="2324">
        <f ca="1">IF(B1="",'数据-汇总表'!E6,IF(INDIRECT("'数据-取费表'!c"&amp;$K$1)="住宅",INDIRECT("'数据-取费表'!s"&amp;$K$1),INDIRECT("'数据-取费表'!k"&amp;$K$1)+INDIRECT("'数据-取费表'!s"&amp;$K$1)))</f>
        <v>4447250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50921</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266835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136031</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136031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698854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3698691</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3698691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572761</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572761</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6991673</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4447250</v>
      </c>
      <c r="E1" s="1261" t="s">
        <v>1779</v>
      </c>
      <c r="F1" s="2105">
        <f>'数据-汇总表'!D3</f>
        <v>1778900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7098700</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23973</v>
      </c>
      <c r="U2" s="2406"/>
      <c r="V2" s="2416">
        <f>ROUND(T2*U2/10000,0)</f>
        <v>0</v>
      </c>
      <c r="W2" s="1911"/>
      <c r="X2" s="1911"/>
      <c r="Y2" s="1911"/>
      <c r="Z2" s="1911"/>
      <c r="AA2" s="1911"/>
      <c r="AB2" s="1911"/>
      <c r="AC2" s="1912"/>
    </row>
    <row r="3" spans="1:39" ht="15.75">
      <c r="A3" s="1266" t="s">
        <v>1220</v>
      </c>
      <c r="B3" s="991">
        <f>ROUND(B2*10000/D1,0)</f>
        <v>15962</v>
      </c>
      <c r="C3" s="1262" t="s">
        <v>855</v>
      </c>
      <c r="D3" s="1263" t="s">
        <v>856</v>
      </c>
      <c r="E3" s="1267" t="s">
        <v>3383</v>
      </c>
      <c r="F3" s="1268" t="s">
        <v>3381</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18896</v>
      </c>
      <c r="U3" s="2406"/>
      <c r="V3" s="2416">
        <f t="shared" ref="V3:V16" si="1">ROUND(T3*U3/10000,0)</f>
        <v>0</v>
      </c>
      <c r="W3" s="1911"/>
      <c r="X3" s="1911"/>
      <c r="Y3" s="1911"/>
      <c r="Z3" s="1911"/>
      <c r="AA3" s="1911"/>
      <c r="AB3" s="1911"/>
      <c r="AC3" s="1912"/>
    </row>
    <row r="4" spans="1:39" ht="28.5">
      <c r="A4" s="1647" t="s">
        <v>1638</v>
      </c>
      <c r="B4" s="2106">
        <f>ROUND(B2*10000/F1,0)</f>
        <v>39905</v>
      </c>
      <c r="C4" s="1650" t="s">
        <v>1613</v>
      </c>
      <c r="D4" s="1650">
        <f>ROUND(B2/(F1/666.67),0)</f>
        <v>2660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15970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14130</v>
      </c>
      <c r="D5" s="2548">
        <f>ROUND(C6*C17+C20,0)</f>
        <v>14130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14085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14130</v>
      </c>
      <c r="D6" s="3523" t="s">
        <v>1228</v>
      </c>
      <c r="E6" s="1277"/>
      <c r="F6" s="1277"/>
      <c r="G6" s="3524"/>
      <c r="H6" s="3524"/>
      <c r="I6" s="3524"/>
      <c r="J6" s="3525"/>
      <c r="K6" s="2978"/>
      <c r="L6" s="1641" t="s">
        <v>1602</v>
      </c>
      <c r="M6" s="1642">
        <f>SUMPRODUCT((区片价!B127:B189=I2)*(区片价!C3:G3=E2)*(区片价!C127:G189))</f>
        <v>14130</v>
      </c>
      <c r="N6" s="1643">
        <f>SUMPRODUCT((因素修正幅度!B127:B189=I2)*(因素修正幅度!C3:G3=E2)*(因素修正幅度!C127:G189))</f>
        <v>0.105</v>
      </c>
      <c r="O6" s="2978"/>
      <c r="P6" s="2981"/>
      <c r="Q6" s="1911"/>
      <c r="R6" s="2416">
        <v>5</v>
      </c>
      <c r="S6" s="2416">
        <f>ROUND(SUMPRODUCT((B107:B111=R6)*(C106:N106=G2)*(C107:N111)),4)</f>
        <v>0.84799999999999998</v>
      </c>
      <c r="T6" s="2416">
        <f t="shared" si="0"/>
        <v>13536</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3382</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6"/>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1</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3384</v>
      </c>
      <c r="D15" s="3553" t="s">
        <v>3384</v>
      </c>
      <c r="E15" s="3554" t="s">
        <v>3385</v>
      </c>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0</v>
      </c>
      <c r="D20" s="3879" t="s">
        <v>879</v>
      </c>
      <c r="E20" s="3880"/>
      <c r="F20" s="3879" t="s">
        <v>876</v>
      </c>
      <c r="G20" s="3880"/>
      <c r="H20" s="1291" t="s">
        <v>2768</v>
      </c>
      <c r="I20" s="1291" t="s">
        <v>2769</v>
      </c>
      <c r="J20" s="1291" t="s">
        <v>2770</v>
      </c>
      <c r="K20" s="1291" t="s">
        <v>2771</v>
      </c>
      <c r="L20" s="1291" t="s">
        <v>2772</v>
      </c>
      <c r="M20" s="1291" t="s">
        <v>2773</v>
      </c>
      <c r="N20" s="1291" t="s">
        <v>2774</v>
      </c>
      <c r="O20" s="2606" t="s">
        <v>2775</v>
      </c>
      <c r="P20" s="1911"/>
      <c r="Q20" s="1914"/>
      <c r="R20" s="1917"/>
      <c r="S20" s="1917"/>
      <c r="T20" s="1917"/>
      <c r="U20" s="1917"/>
      <c r="V20" s="1917"/>
      <c r="W20" s="1917"/>
      <c r="X20" s="1917"/>
      <c r="Y20" s="1295"/>
      <c r="Z20" s="1295"/>
      <c r="AA20" s="1295"/>
      <c r="AB20" s="1295"/>
      <c r="AC20" s="1295"/>
      <c r="AD20" s="1295"/>
    </row>
    <row r="21" spans="1:40" s="1276" customFormat="1" ht="15" thickBot="1">
      <c r="A21" s="3878"/>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2247</v>
      </c>
      <c r="I23" s="2266" t="str">
        <f>IF(H23="季度增幅（自定义）",SUMIF(N25:N28,E2,O25:O28),"")</f>
        <v/>
      </c>
      <c r="J23" s="3567" t="s">
        <v>3386</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1.0523</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7098700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15962</v>
      </c>
      <c r="D33" s="1326">
        <f>'数据-汇总表'!E3</f>
        <v>4447250</v>
      </c>
      <c r="E33" s="1635">
        <f>ROUND(C33*D33/10000,0)</f>
        <v>7098700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3991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9577</v>
      </c>
      <c r="D37" s="1356"/>
      <c r="E37" s="996">
        <f>ROUND(C37*D37/10000,0)</f>
        <v>0</v>
      </c>
      <c r="F37" s="996">
        <f>SUMIF(修正!A57:A68,G2,修正!B57:B68)</f>
        <v>0.6</v>
      </c>
      <c r="G37" s="996">
        <f>ROUND(IF(E2="工业",C37*$M$42,C37*$M$41),0)</f>
        <v>2394</v>
      </c>
      <c r="H37" s="996">
        <f>D37</f>
        <v>0</v>
      </c>
      <c r="I37" s="996">
        <f>ROUND(G37*H37/10000,0)</f>
        <v>0</v>
      </c>
      <c r="J37" s="3872"/>
      <c r="K37" s="3642" t="s">
        <v>3246</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4789</v>
      </c>
      <c r="D38" s="1356"/>
      <c r="E38" s="996">
        <f t="shared" ref="E38:E42" si="4">ROUND(C38*D38/10000,0)</f>
        <v>0</v>
      </c>
      <c r="F38" s="996">
        <f>SUMIF(修正!A57:A68,G2,修正!C57:C68)</f>
        <v>0.3</v>
      </c>
      <c r="G38" s="996">
        <f>ROUND(IF(E2="工业",C38*$M$42,C38*$M$41),0)</f>
        <v>1197</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3219</v>
      </c>
      <c r="C39" s="1005">
        <f>ROUND(D5*C22*C23*C24*C28*F39,0)</f>
        <v>3990</v>
      </c>
      <c r="D39" s="1356"/>
      <c r="E39" s="996">
        <f t="shared" si="4"/>
        <v>0</v>
      </c>
      <c r="F39" s="996">
        <f>SUMIF(修正!A57:A68,G2,修正!D57:D68)</f>
        <v>0.25</v>
      </c>
      <c r="G39" s="996">
        <f>ROUND(IF(E2="工业",C39*$M$42,C39*$M$41),0)</f>
        <v>998</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3990</v>
      </c>
      <c r="D40" s="1356"/>
      <c r="E40" s="996">
        <f t="shared" si="4"/>
        <v>0</v>
      </c>
      <c r="F40" s="1005">
        <f>SUMIF(修正!A57:A68,G2,修正!E57:E68)</f>
        <v>0.25</v>
      </c>
      <c r="G40" s="996">
        <f>ROUND(IF(E2="工业",C40*$M$42,C40*$M$41),0)</f>
        <v>998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1.0523</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3387</v>
      </c>
      <c r="D72" s="3599">
        <f t="shared" ref="D72:D80" si="17">SUMIF($J$71:$N$71,C72,J72:N72)</f>
        <v>1.0500000000000001E-2</v>
      </c>
      <c r="E72" s="3600">
        <f>ROUND(SUM(D72:D80),4)</f>
        <v>5.2299999999999999E-2</v>
      </c>
      <c r="F72" s="3601">
        <f>IF(E2="住宅",SUMIF(L1:L12,G2,N1:N12),"——")</f>
        <v>0.105</v>
      </c>
      <c r="G72" s="3616">
        <f>H72</f>
        <v>1.0500000000000001E-2</v>
      </c>
      <c r="H72" s="3617">
        <f t="shared" ref="H72:H80" si="18">IFERROR(ROUNDDOWN($F$72*I72/2,4),"——")</f>
        <v>1.0500000000000001E-2</v>
      </c>
      <c r="I72" s="3577">
        <v>0.2</v>
      </c>
      <c r="J72" s="3604">
        <f t="shared" ref="J72:J80" si="19">K72+$G72</f>
        <v>2.1000000000000001E-2</v>
      </c>
      <c r="K72" s="3604">
        <f t="shared" ref="K72:K80" si="20">$L72+$G72</f>
        <v>1.0500000000000001E-2</v>
      </c>
      <c r="L72" s="3604">
        <v>0</v>
      </c>
      <c r="M72" s="3604">
        <f t="shared" ref="M72:N80" si="21">L72-$G72</f>
        <v>-1.0500000000000001E-2</v>
      </c>
      <c r="N72" s="3604">
        <f t="shared" si="21"/>
        <v>-2.1000000000000001E-2</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3387</v>
      </c>
      <c r="D73" s="3599">
        <f t="shared" si="17"/>
        <v>1.3599999999999999E-2</v>
      </c>
      <c r="E73" s="3605"/>
      <c r="F73" s="3601"/>
      <c r="G73" s="3616">
        <f t="shared" ref="G73:G80" si="22">H73</f>
        <v>1.3599999999999999E-2</v>
      </c>
      <c r="H73" s="3617">
        <f t="shared" si="18"/>
        <v>1.3599999999999999E-2</v>
      </c>
      <c r="I73" s="3577">
        <v>0.26</v>
      </c>
      <c r="J73" s="3604">
        <f t="shared" si="19"/>
        <v>2.7199999999999998E-2</v>
      </c>
      <c r="K73" s="3604">
        <f t="shared" si="20"/>
        <v>1.3599999999999999E-2</v>
      </c>
      <c r="L73" s="3604">
        <v>0</v>
      </c>
      <c r="M73" s="3604">
        <f t="shared" si="21"/>
        <v>-1.3599999999999999E-2</v>
      </c>
      <c r="N73" s="3604">
        <f t="shared" si="21"/>
        <v>-2.7199999999999998E-2</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t="s">
        <v>3387</v>
      </c>
      <c r="D74" s="3599">
        <f t="shared" si="17"/>
        <v>5.1999999999999998E-3</v>
      </c>
      <c r="E74" s="3605"/>
      <c r="F74" s="3601"/>
      <c r="G74" s="3616">
        <f t="shared" si="22"/>
        <v>5.1999999999999998E-3</v>
      </c>
      <c r="H74" s="3617">
        <f t="shared" si="18"/>
        <v>5.1999999999999998E-3</v>
      </c>
      <c r="I74" s="3577">
        <v>0.1</v>
      </c>
      <c r="J74" s="3604">
        <f t="shared" si="19"/>
        <v>1.04E-2</v>
      </c>
      <c r="K74" s="3604">
        <f t="shared" si="20"/>
        <v>5.1999999999999998E-3</v>
      </c>
      <c r="L74" s="3604">
        <v>0</v>
      </c>
      <c r="M74" s="3604">
        <f t="shared" si="21"/>
        <v>-5.1999999999999998E-3</v>
      </c>
      <c r="N74" s="3604">
        <f t="shared" si="21"/>
        <v>-1.04E-2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3387</v>
      </c>
      <c r="D75" s="3599">
        <f t="shared" si="17"/>
        <v>2.5999999999999999E-3</v>
      </c>
      <c r="E75" s="3605"/>
      <c r="F75" s="3601"/>
      <c r="G75" s="3616">
        <f t="shared" si="22"/>
        <v>2.5999999999999999E-3</v>
      </c>
      <c r="H75" s="3617">
        <f t="shared" si="18"/>
        <v>2.5999999999999999E-3</v>
      </c>
      <c r="I75" s="3577">
        <v>0.05</v>
      </c>
      <c r="J75" s="3604">
        <f t="shared" si="19"/>
        <v>5.1999999999999998E-3</v>
      </c>
      <c r="K75" s="3604">
        <f t="shared" si="20"/>
        <v>2.5999999999999999E-3</v>
      </c>
      <c r="L75" s="3604">
        <v>0</v>
      </c>
      <c r="M75" s="3604">
        <f t="shared" si="21"/>
        <v>-2.5999999999999999E-3</v>
      </c>
      <c r="N75" s="3604">
        <f t="shared" si="21"/>
        <v>-5.1999999999999998E-3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3387</v>
      </c>
      <c r="D76" s="3599">
        <f t="shared" si="17"/>
        <v>4.1999999999999997E-3</v>
      </c>
      <c r="E76" s="3605"/>
      <c r="F76" s="3601"/>
      <c r="G76" s="3616">
        <f t="shared" si="22"/>
        <v>4.1999999999999997E-3</v>
      </c>
      <c r="H76" s="3617">
        <f t="shared" si="18"/>
        <v>4.1999999999999997E-3</v>
      </c>
      <c r="I76" s="3577">
        <v>0.08</v>
      </c>
      <c r="J76" s="3604">
        <f t="shared" si="19"/>
        <v>8.3999999999999995E-3</v>
      </c>
      <c r="K76" s="3604">
        <f t="shared" si="20"/>
        <v>4.1999999999999997E-3</v>
      </c>
      <c r="L76" s="3604">
        <v>0</v>
      </c>
      <c r="M76" s="3604">
        <f t="shared" si="21"/>
        <v>-4.1999999999999997E-3</v>
      </c>
      <c r="N76" s="3604">
        <f t="shared" si="21"/>
        <v>-8.3999999999999995E-3</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3387</v>
      </c>
      <c r="D77" s="3599">
        <f t="shared" si="17"/>
        <v>4.7000000000000002E-3</v>
      </c>
      <c r="E77" s="3605"/>
      <c r="F77" s="3601"/>
      <c r="G77" s="3616">
        <f t="shared" si="22"/>
        <v>4.7000000000000002E-3</v>
      </c>
      <c r="H77" s="3617">
        <f t="shared" si="18"/>
        <v>4.7000000000000002E-3</v>
      </c>
      <c r="I77" s="3577">
        <v>0.09</v>
      </c>
      <c r="J77" s="3604">
        <f t="shared" si="19"/>
        <v>9.4000000000000004E-3</v>
      </c>
      <c r="K77" s="3604">
        <f t="shared" si="20"/>
        <v>4.7000000000000002E-3</v>
      </c>
      <c r="L77" s="3604">
        <v>0</v>
      </c>
      <c r="M77" s="3604">
        <f t="shared" si="21"/>
        <v>-4.7000000000000002E-3</v>
      </c>
      <c r="N77" s="3604">
        <f t="shared" si="21"/>
        <v>-9.4000000000000004E-3</v>
      </c>
      <c r="O77" s="3584"/>
      <c r="P77" s="1920"/>
      <c r="Q77" s="1920"/>
      <c r="AE77" s="3584"/>
      <c r="AF77" s="3584"/>
      <c r="AG77" s="3584"/>
      <c r="AH77" s="3584"/>
      <c r="AI77" s="3584"/>
      <c r="AJ77" s="3584"/>
    </row>
    <row r="78" spans="1:36" s="1348" customFormat="1" ht="24">
      <c r="A78" s="3590" t="s">
        <v>947</v>
      </c>
      <c r="B78" s="3607" t="s">
        <v>2199</v>
      </c>
      <c r="C78" s="3615" t="s">
        <v>3387</v>
      </c>
      <c r="D78" s="3599">
        <f t="shared" si="17"/>
        <v>2.5999999999999999E-3</v>
      </c>
      <c r="E78" s="3605"/>
      <c r="F78" s="3601"/>
      <c r="G78" s="3616">
        <f t="shared" si="22"/>
        <v>2.5999999999999999E-3</v>
      </c>
      <c r="H78" s="3617">
        <f t="shared" si="18"/>
        <v>2.5999999999999999E-3</v>
      </c>
      <c r="I78" s="3577">
        <v>0.05</v>
      </c>
      <c r="J78" s="3604">
        <f t="shared" si="19"/>
        <v>5.1999999999999998E-3</v>
      </c>
      <c r="K78" s="3604">
        <f t="shared" si="20"/>
        <v>2.5999999999999999E-3</v>
      </c>
      <c r="L78" s="3604">
        <v>0</v>
      </c>
      <c r="M78" s="3604">
        <f t="shared" si="21"/>
        <v>-2.5999999999999999E-3</v>
      </c>
      <c r="N78" s="3604">
        <f t="shared" si="21"/>
        <v>-5.1999999999999998E-3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3387</v>
      </c>
      <c r="D79" s="3599">
        <f t="shared" si="17"/>
        <v>6.3E-3</v>
      </c>
      <c r="E79" s="3605"/>
      <c r="F79" s="3601"/>
      <c r="G79" s="3616">
        <f t="shared" si="22"/>
        <v>6.3E-3</v>
      </c>
      <c r="H79" s="3617">
        <f t="shared" si="18"/>
        <v>6.3E-3</v>
      </c>
      <c r="I79" s="3577">
        <v>0.12</v>
      </c>
      <c r="J79" s="3604">
        <f t="shared" si="19"/>
        <v>1.26E-2</v>
      </c>
      <c r="K79" s="3604">
        <f t="shared" si="20"/>
        <v>6.3E-3</v>
      </c>
      <c r="L79" s="3604">
        <v>0</v>
      </c>
      <c r="M79" s="3604">
        <f t="shared" si="21"/>
        <v>-6.3E-3</v>
      </c>
      <c r="N79" s="3604">
        <f t="shared" si="21"/>
        <v>-1.26E-2</v>
      </c>
      <c r="P79" s="3618"/>
      <c r="Q79" s="3618"/>
      <c r="AE79" s="3584"/>
      <c r="AF79" s="3584"/>
      <c r="AG79" s="3584"/>
      <c r="AH79" s="3584"/>
      <c r="AI79" s="3584"/>
      <c r="AJ79" s="3584"/>
    </row>
    <row r="80" spans="1:36" s="1348" customFormat="1" ht="24.75" thickBot="1">
      <c r="A80" s="3610" t="s">
        <v>957</v>
      </c>
      <c r="B80" s="3619"/>
      <c r="C80" s="3615" t="s">
        <v>3387</v>
      </c>
      <c r="D80" s="3599">
        <f t="shared" si="17"/>
        <v>2.5999999999999999E-3</v>
      </c>
      <c r="E80" s="3612"/>
      <c r="F80" s="3601"/>
      <c r="G80" s="3616">
        <f t="shared" si="22"/>
        <v>2.5999999999999999E-3</v>
      </c>
      <c r="H80" s="3617">
        <f t="shared" si="18"/>
        <v>2.5999999999999999E-3</v>
      </c>
      <c r="I80" s="3579">
        <v>0.05</v>
      </c>
      <c r="J80" s="3604">
        <f t="shared" si="19"/>
        <v>5.1999999999999998E-3</v>
      </c>
      <c r="K80" s="3604">
        <f t="shared" si="20"/>
        <v>2.5999999999999999E-3</v>
      </c>
      <c r="L80" s="3604">
        <v>0</v>
      </c>
      <c r="M80" s="3604">
        <f t="shared" si="21"/>
        <v>-2.5999999999999999E-3</v>
      </c>
      <c r="N80" s="3604">
        <f t="shared" si="21"/>
        <v>-5.1999999999999998E-3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2199</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2103"/>
      <c r="L104" s="2103"/>
      <c r="M104" s="2103"/>
      <c r="N104" s="2103"/>
    </row>
    <row r="105" spans="1:36">
      <c r="A105" s="3867" t="s">
        <v>1161</v>
      </c>
      <c r="B105" s="3867" t="s">
        <v>1173</v>
      </c>
      <c r="C105" s="1041" t="s">
        <v>1174</v>
      </c>
      <c r="D105" s="1042"/>
      <c r="E105" s="1042"/>
      <c r="F105" s="1042"/>
      <c r="G105" s="1042"/>
      <c r="H105" s="1042"/>
      <c r="I105" s="1042"/>
      <c r="J105" s="1043"/>
      <c r="K105" s="1035"/>
      <c r="L105" s="1035"/>
      <c r="M105" s="1035"/>
      <c r="N105" s="1035"/>
    </row>
    <row r="106" spans="1:36">
      <c r="A106" s="3867"/>
      <c r="B106" s="386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71" t="s">
        <v>1175</v>
      </c>
      <c r="B114" s="3871"/>
      <c r="C114" s="3871"/>
      <c r="D114" s="3871"/>
      <c r="E114" s="3871"/>
      <c r="F114" s="3871"/>
      <c r="G114" s="3871"/>
      <c r="H114" s="3871"/>
      <c r="I114" s="3871"/>
      <c r="J114" s="3871"/>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2.75">
      <c r="A120" s="3633" t="s">
        <v>3239</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2.75">
      <c r="A121" s="3633" t="s">
        <v>3240</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5" thickBot="1">
      <c r="A122" s="3634" t="s">
        <v>3241</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2.75">
      <c r="A123" s="3635" t="s">
        <v>3222</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3380</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2223625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111181</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88945</v>
      </c>
      <c r="D16" s="437">
        <f ca="1">IF(B1="",'数据-汇总表'!E3,INDIRECT("'数据-取费表'!K"&amp;$K$1)+INDIRECT("'数据-取费表'!S"&amp;$K$1))</f>
        <v>4447250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33354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2457105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49142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119047</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501249</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2296</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2297</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2295</v>
      </c>
      <c r="B27" s="3884"/>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8" t="s">
        <v>471</v>
      </c>
      <c r="D6" s="3909"/>
      <c r="E6" s="3908" t="s">
        <v>472</v>
      </c>
      <c r="F6" s="3909"/>
      <c r="G6" s="3908" t="s">
        <v>473</v>
      </c>
      <c r="H6" s="3909"/>
      <c r="I6" s="3908" t="s">
        <v>474</v>
      </c>
      <c r="J6" s="3909"/>
      <c r="K6" s="484" t="s">
        <v>475</v>
      </c>
      <c r="L6" s="1856"/>
      <c r="M6" s="1855"/>
      <c r="N6" s="1855"/>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30" ht="20.25">
      <c r="A7" s="485"/>
      <c r="B7" s="486"/>
      <c r="C7" s="3919" t="s">
        <v>2192</v>
      </c>
      <c r="D7" s="3920"/>
      <c r="E7" s="3919" t="s">
        <v>2193</v>
      </c>
      <c r="F7" s="3920"/>
      <c r="G7" s="3919" t="s">
        <v>2194</v>
      </c>
      <c r="H7" s="3920"/>
      <c r="I7" s="3919" t="s">
        <v>2195</v>
      </c>
      <c r="J7" s="3920"/>
      <c r="K7" s="484"/>
      <c r="L7" s="1856"/>
      <c r="M7" s="1855"/>
      <c r="N7" s="1855"/>
      <c r="O7" s="1857"/>
      <c r="P7" s="3912"/>
      <c r="Q7" s="3913"/>
      <c r="R7" s="3896"/>
      <c r="S7" s="3897"/>
      <c r="T7" s="3896"/>
      <c r="U7" s="3897"/>
      <c r="V7" s="3916"/>
      <c r="W7" s="3916"/>
      <c r="X7" s="1380"/>
      <c r="Y7" s="3896"/>
      <c r="Z7" s="3897"/>
      <c r="AA7" s="3890"/>
      <c r="AB7" s="3890"/>
      <c r="AC7" s="3890"/>
    </row>
    <row r="8" spans="1:30" ht="21" thickBot="1">
      <c r="A8" s="485"/>
      <c r="B8" s="486"/>
      <c r="C8" s="3921" t="s">
        <v>2196</v>
      </c>
      <c r="D8" s="3922"/>
      <c r="E8" s="3921" t="s">
        <v>2196</v>
      </c>
      <c r="F8" s="3922"/>
      <c r="G8" s="3917" t="s">
        <v>2196</v>
      </c>
      <c r="H8" s="3918"/>
      <c r="I8" s="3917" t="s">
        <v>2196</v>
      </c>
      <c r="J8" s="3918"/>
      <c r="K8" s="484" t="s">
        <v>477</v>
      </c>
      <c r="L8" s="1856"/>
      <c r="M8" s="1855"/>
      <c r="N8" s="1855"/>
      <c r="O8" s="1857"/>
      <c r="P8" s="3914"/>
      <c r="Q8" s="3915"/>
      <c r="R8" s="3896"/>
      <c r="S8" s="3897"/>
      <c r="T8" s="3898"/>
      <c r="U8" s="3899"/>
      <c r="V8" s="3916"/>
      <c r="W8" s="3916"/>
      <c r="X8" s="1380"/>
      <c r="Y8" s="3898"/>
      <c r="Z8" s="3899"/>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0"/>
      <c r="Q14" s="1050" t="str">
        <f t="shared" si="6"/>
        <v>配建</v>
      </c>
      <c r="R14" s="1381" t="s">
        <v>5</v>
      </c>
      <c r="S14" s="1382">
        <f t="shared" si="0"/>
        <v>100</v>
      </c>
      <c r="T14" s="1381" t="s">
        <v>5</v>
      </c>
      <c r="U14" s="1382">
        <f t="shared" si="1"/>
        <v>100</v>
      </c>
      <c r="V14" s="1381" t="s">
        <v>5</v>
      </c>
      <c r="W14" s="1382">
        <f t="shared" si="2"/>
        <v>100</v>
      </c>
      <c r="X14" s="1383"/>
      <c r="Y14" s="383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2" t="s">
        <v>489</v>
      </c>
      <c r="Q17" s="1385" t="str">
        <f t="shared" si="6"/>
        <v>居住社区成熟度</v>
      </c>
      <c r="R17" s="1386" t="s">
        <v>5</v>
      </c>
      <c r="S17" s="1387">
        <f t="shared" si="0"/>
        <v>100</v>
      </c>
      <c r="T17" s="1386" t="s">
        <v>5</v>
      </c>
      <c r="U17" s="1387">
        <f t="shared" si="1"/>
        <v>100</v>
      </c>
      <c r="V17" s="1386" t="s">
        <v>5</v>
      </c>
      <c r="W17" s="1387">
        <f t="shared" si="2"/>
        <v>100</v>
      </c>
      <c r="X17" s="1380"/>
      <c r="Y17" s="390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3"/>
      <c r="Q18" s="1385"/>
      <c r="R18" s="1386"/>
      <c r="S18" s="1387"/>
      <c r="T18" s="1386"/>
      <c r="U18" s="1387"/>
      <c r="V18" s="1386"/>
      <c r="W18" s="1387"/>
      <c r="X18" s="1380"/>
      <c r="Y18" s="390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3"/>
      <c r="Q19" s="1385" t="str">
        <f>B19</f>
        <v>商业繁华度</v>
      </c>
      <c r="R19" s="1386" t="s">
        <v>5</v>
      </c>
      <c r="S19" s="1387">
        <f>F19</f>
        <v>100</v>
      </c>
      <c r="T19" s="1386" t="s">
        <v>5</v>
      </c>
      <c r="U19" s="1387">
        <f>H19</f>
        <v>100</v>
      </c>
      <c r="V19" s="1386" t="s">
        <v>5</v>
      </c>
      <c r="W19" s="1387">
        <f>J19</f>
        <v>100</v>
      </c>
      <c r="X19" s="1380"/>
      <c r="Y19" s="390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3"/>
      <c r="Q20" s="1385"/>
      <c r="R20" s="1386"/>
      <c r="S20" s="1387"/>
      <c r="T20" s="1386"/>
      <c r="U20" s="1387"/>
      <c r="V20" s="1386"/>
      <c r="W20" s="1387"/>
      <c r="X20" s="1380"/>
      <c r="Y20" s="390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3"/>
      <c r="Q21" s="1385" t="str">
        <f>B21</f>
        <v>办公集聚程度</v>
      </c>
      <c r="R21" s="1386" t="s">
        <v>5</v>
      </c>
      <c r="S21" s="1387">
        <f>F21</f>
        <v>100</v>
      </c>
      <c r="T21" s="1386" t="s">
        <v>5</v>
      </c>
      <c r="U21" s="1387">
        <f>H21</f>
        <v>100</v>
      </c>
      <c r="V21" s="1386" t="s">
        <v>5</v>
      </c>
      <c r="W21" s="1387">
        <f>J21</f>
        <v>100</v>
      </c>
      <c r="X21" s="1380"/>
      <c r="Y21" s="390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3"/>
      <c r="Q22" s="1385"/>
      <c r="R22" s="1386"/>
      <c r="S22" s="1387"/>
      <c r="T22" s="1386"/>
      <c r="U22" s="1387"/>
      <c r="V22" s="1386"/>
      <c r="W22" s="1387"/>
      <c r="X22" s="1380"/>
      <c r="Y22" s="390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3"/>
      <c r="Q23" s="1385" t="str">
        <f>B23</f>
        <v>交通便捷度</v>
      </c>
      <c r="R23" s="1386" t="s">
        <v>5</v>
      </c>
      <c r="S23" s="1387">
        <f>F23</f>
        <v>100</v>
      </c>
      <c r="T23" s="1386" t="s">
        <v>5</v>
      </c>
      <c r="U23" s="1387">
        <f>H23</f>
        <v>100</v>
      </c>
      <c r="V23" s="1386" t="s">
        <v>5</v>
      </c>
      <c r="W23" s="1387">
        <f>J23</f>
        <v>100</v>
      </c>
      <c r="X23" s="1380"/>
      <c r="Y23" s="390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3"/>
      <c r="Q24" s="1385"/>
      <c r="R24" s="1386"/>
      <c r="S24" s="1387"/>
      <c r="T24" s="1386"/>
      <c r="U24" s="1387"/>
      <c r="V24" s="1386"/>
      <c r="W24" s="1387"/>
      <c r="X24" s="1380"/>
      <c r="Y24" s="390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3"/>
      <c r="Q25" s="1385" t="str">
        <f t="shared" ref="Q25:Q39" si="8">B25</f>
        <v>区域土地利用方向</v>
      </c>
      <c r="R25" s="1386" t="s">
        <v>5</v>
      </c>
      <c r="S25" s="1387">
        <f>F25</f>
        <v>100</v>
      </c>
      <c r="T25" s="1386" t="s">
        <v>5</v>
      </c>
      <c r="U25" s="1387">
        <f>H25</f>
        <v>100</v>
      </c>
      <c r="V25" s="1386" t="s">
        <v>5</v>
      </c>
      <c r="W25" s="1387">
        <f>J25</f>
        <v>100</v>
      </c>
      <c r="X25" s="1380"/>
      <c r="Y25" s="390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3"/>
      <c r="Q26" s="1385"/>
      <c r="R26" s="1386"/>
      <c r="S26" s="1387"/>
      <c r="T26" s="1386"/>
      <c r="U26" s="1387"/>
      <c r="V26" s="1386"/>
      <c r="W26" s="1387"/>
      <c r="X26" s="1380"/>
      <c r="Y26" s="390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3"/>
      <c r="Q27" s="1385" t="str">
        <f t="shared" si="8"/>
        <v>自然及人文环境状况</v>
      </c>
      <c r="R27" s="1386" t="s">
        <v>5</v>
      </c>
      <c r="S27" s="1387">
        <f>F27</f>
        <v>100</v>
      </c>
      <c r="T27" s="1386" t="s">
        <v>5</v>
      </c>
      <c r="U27" s="1387">
        <f>H27</f>
        <v>100</v>
      </c>
      <c r="V27" s="1386" t="s">
        <v>5</v>
      </c>
      <c r="W27" s="1387">
        <f>J27</f>
        <v>100</v>
      </c>
      <c r="X27" s="1380"/>
      <c r="Y27" s="390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3"/>
      <c r="Q28" s="1385"/>
      <c r="R28" s="1386"/>
      <c r="S28" s="1387"/>
      <c r="T28" s="1386"/>
      <c r="U28" s="1387"/>
      <c r="V28" s="1386"/>
      <c r="W28" s="1387"/>
      <c r="X28" s="1380"/>
      <c r="Y28" s="390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3"/>
      <c r="Q29" s="1050" t="str">
        <f t="shared" si="8"/>
        <v>公共配套设施</v>
      </c>
      <c r="R29" s="1381" t="s">
        <v>5</v>
      </c>
      <c r="S29" s="1382">
        <f>F29</f>
        <v>100</v>
      </c>
      <c r="T29" s="1381" t="s">
        <v>5</v>
      </c>
      <c r="U29" s="1382">
        <f>H29</f>
        <v>100</v>
      </c>
      <c r="V29" s="1381" t="s">
        <v>5</v>
      </c>
      <c r="W29" s="1382">
        <f>J29</f>
        <v>100</v>
      </c>
      <c r="X29" s="1383"/>
      <c r="Y29" s="390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3"/>
      <c r="Q30" s="1050"/>
      <c r="R30" s="1381"/>
      <c r="S30" s="1382"/>
      <c r="T30" s="1381"/>
      <c r="U30" s="1382"/>
      <c r="V30" s="1381"/>
      <c r="W30" s="1382"/>
      <c r="X30" s="1383"/>
      <c r="Y30" s="390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3"/>
      <c r="Q31" s="2192" t="str">
        <f>B31</f>
        <v>基础设施水平</v>
      </c>
      <c r="R31" s="1381" t="s">
        <v>5</v>
      </c>
      <c r="S31" s="1382">
        <f>F31</f>
        <v>100</v>
      </c>
      <c r="T31" s="1381" t="s">
        <v>5</v>
      </c>
      <c r="U31" s="1382">
        <f>H31</f>
        <v>100</v>
      </c>
      <c r="V31" s="1381" t="s">
        <v>5</v>
      </c>
      <c r="W31" s="1382">
        <f>J31</f>
        <v>100</v>
      </c>
      <c r="X31" s="1383"/>
      <c r="Y31" s="390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03"/>
      <c r="Q32" s="2192"/>
      <c r="R32" s="1381"/>
      <c r="S32" s="1382"/>
      <c r="T32" s="1381"/>
      <c r="U32" s="1382"/>
      <c r="V32" s="1381"/>
      <c r="W32" s="1382"/>
      <c r="X32" s="1383"/>
      <c r="Y32" s="390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3"/>
      <c r="Q34" s="1385" t="str">
        <f t="shared" si="8"/>
        <v>毗邻道路的类型与等级</v>
      </c>
      <c r="R34" s="1386" t="s">
        <v>5</v>
      </c>
      <c r="S34" s="1387">
        <f t="shared" si="9"/>
        <v>100</v>
      </c>
      <c r="T34" s="1386" t="s">
        <v>5</v>
      </c>
      <c r="U34" s="1387">
        <f t="shared" si="10"/>
        <v>100</v>
      </c>
      <c r="V34" s="1386" t="s">
        <v>5</v>
      </c>
      <c r="W34" s="1387">
        <f t="shared" si="11"/>
        <v>100</v>
      </c>
      <c r="X34" s="1380"/>
      <c r="Y34" s="390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3"/>
      <c r="Q35" s="1385"/>
      <c r="R35" s="1386"/>
      <c r="S35" s="1387"/>
      <c r="T35" s="1386"/>
      <c r="U35" s="1387"/>
      <c r="V35" s="1386"/>
      <c r="W35" s="1387"/>
      <c r="X35" s="1380"/>
      <c r="Y35" s="390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3"/>
      <c r="Q36" s="1385" t="str">
        <f t="shared" si="8"/>
        <v>土地级别</v>
      </c>
      <c r="R36" s="1386" t="s">
        <v>5</v>
      </c>
      <c r="S36" s="1387">
        <f t="shared" si="9"/>
        <v>100</v>
      </c>
      <c r="T36" s="1386" t="s">
        <v>5</v>
      </c>
      <c r="U36" s="1387">
        <f t="shared" si="10"/>
        <v>100</v>
      </c>
      <c r="V36" s="1386" t="s">
        <v>5</v>
      </c>
      <c r="W36" s="1387">
        <f t="shared" si="11"/>
        <v>100</v>
      </c>
      <c r="X36" s="1380"/>
      <c r="Y36" s="390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3"/>
      <c r="Q37" s="1385">
        <f t="shared" si="8"/>
        <v>111</v>
      </c>
      <c r="R37" s="1386" t="s">
        <v>5</v>
      </c>
      <c r="S37" s="1387">
        <f t="shared" si="9"/>
        <v>100</v>
      </c>
      <c r="T37" s="1386" t="s">
        <v>5</v>
      </c>
      <c r="U37" s="1387">
        <f t="shared" si="10"/>
        <v>100</v>
      </c>
      <c r="V37" s="1386" t="s">
        <v>5</v>
      </c>
      <c r="W37" s="1387">
        <f t="shared" si="11"/>
        <v>100</v>
      </c>
      <c r="X37" s="1380"/>
      <c r="Y37" s="390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4" t="s">
        <v>499</v>
      </c>
      <c r="Q38" s="1385">
        <f t="shared" si="8"/>
        <v>111</v>
      </c>
      <c r="R38" s="1386" t="s">
        <v>5</v>
      </c>
      <c r="S38" s="1387">
        <f t="shared" si="9"/>
        <v>100</v>
      </c>
      <c r="T38" s="1386" t="s">
        <v>5</v>
      </c>
      <c r="U38" s="1387">
        <f t="shared" si="10"/>
        <v>100</v>
      </c>
      <c r="V38" s="1386" t="s">
        <v>5</v>
      </c>
      <c r="W38" s="1387">
        <f t="shared" si="11"/>
        <v>100</v>
      </c>
      <c r="X38" s="1380"/>
      <c r="Y38" s="390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5"/>
      <c r="Q39" s="1385">
        <f t="shared" si="8"/>
        <v>111</v>
      </c>
      <c r="R39" s="1390" t="s">
        <v>5</v>
      </c>
      <c r="S39" s="1391">
        <f t="shared" si="9"/>
        <v>100</v>
      </c>
      <c r="T39" s="1390" t="s">
        <v>5</v>
      </c>
      <c r="U39" s="1391">
        <f t="shared" si="10"/>
        <v>100</v>
      </c>
      <c r="V39" s="1390" t="s">
        <v>5</v>
      </c>
      <c r="W39" s="1391">
        <f t="shared" si="11"/>
        <v>100</v>
      </c>
      <c r="X39" s="1392"/>
      <c r="Y39" s="390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5"/>
      <c r="Q40" s="1385" t="str">
        <f>B40</f>
        <v>宗地面积</v>
      </c>
      <c r="R40" s="1386" t="s">
        <v>5</v>
      </c>
      <c r="S40" s="1387" t="e">
        <f t="shared" si="9"/>
        <v>#N/A</v>
      </c>
      <c r="T40" s="1386" t="s">
        <v>5</v>
      </c>
      <c r="U40" s="1387" t="e">
        <f t="shared" si="10"/>
        <v>#N/A</v>
      </c>
      <c r="V40" s="1386" t="s">
        <v>5</v>
      </c>
      <c r="W40" s="1387" t="e">
        <f t="shared" si="11"/>
        <v>#N/A</v>
      </c>
      <c r="X40" s="1380"/>
      <c r="Y40" s="390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5"/>
      <c r="Q41" s="1385" t="str">
        <f t="shared" ref="Q41:Q47" si="13">B41</f>
        <v>宗地形状</v>
      </c>
      <c r="R41" s="1386" t="s">
        <v>5</v>
      </c>
      <c r="S41" s="1387">
        <f t="shared" si="9"/>
        <v>100</v>
      </c>
      <c r="T41" s="1386" t="s">
        <v>5</v>
      </c>
      <c r="U41" s="1387">
        <f t="shared" si="10"/>
        <v>100</v>
      </c>
      <c r="V41" s="1386" t="s">
        <v>5</v>
      </c>
      <c r="W41" s="1387">
        <f t="shared" si="11"/>
        <v>100</v>
      </c>
      <c r="X41" s="1380"/>
      <c r="Y41" s="390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5"/>
      <c r="Q42" s="1385" t="str">
        <f t="shared" si="13"/>
        <v>临街宽度及深度</v>
      </c>
      <c r="R42" s="1386" t="s">
        <v>5</v>
      </c>
      <c r="S42" s="1387">
        <f t="shared" si="9"/>
        <v>100</v>
      </c>
      <c r="T42" s="1386" t="s">
        <v>5</v>
      </c>
      <c r="U42" s="1387">
        <f t="shared" si="10"/>
        <v>100</v>
      </c>
      <c r="V42" s="1386" t="s">
        <v>5</v>
      </c>
      <c r="W42" s="1387">
        <f t="shared" si="11"/>
        <v>100</v>
      </c>
      <c r="X42" s="1380"/>
      <c r="Y42" s="390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5"/>
      <c r="Q43" s="1385" t="str">
        <f t="shared" si="13"/>
        <v>宗地开发程度</v>
      </c>
      <c r="R43" s="1381" t="s">
        <v>5</v>
      </c>
      <c r="S43" s="1382">
        <f t="shared" si="9"/>
        <v>100</v>
      </c>
      <c r="T43" s="1381" t="s">
        <v>5</v>
      </c>
      <c r="U43" s="1382">
        <f t="shared" si="10"/>
        <v>100</v>
      </c>
      <c r="V43" s="1381" t="s">
        <v>5</v>
      </c>
      <c r="W43" s="1382">
        <f t="shared" si="11"/>
        <v>100</v>
      </c>
      <c r="X43" s="1383"/>
      <c r="Y43" s="390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5" t="s">
        <v>499</v>
      </c>
      <c r="Q44" s="1385" t="str">
        <f t="shared" si="13"/>
        <v>工程地质条件</v>
      </c>
      <c r="R44" s="1386" t="s">
        <v>5</v>
      </c>
      <c r="S44" s="1387">
        <f t="shared" si="9"/>
        <v>100</v>
      </c>
      <c r="T44" s="1386" t="s">
        <v>5</v>
      </c>
      <c r="U44" s="1387">
        <f t="shared" si="10"/>
        <v>100</v>
      </c>
      <c r="V44" s="1386" t="s">
        <v>5</v>
      </c>
      <c r="W44" s="1387">
        <f t="shared" si="11"/>
        <v>100</v>
      </c>
      <c r="X44" s="1380"/>
      <c r="Y44" s="390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5"/>
      <c r="Q45" s="1385">
        <f t="shared" si="13"/>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5"/>
      <c r="Q46" s="1385">
        <f t="shared" si="13"/>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5"/>
      <c r="Q47" s="1385">
        <f t="shared" si="13"/>
        <v>111</v>
      </c>
      <c r="R47" s="1390" t="s">
        <v>5</v>
      </c>
      <c r="S47" s="1391">
        <f t="shared" si="9"/>
        <v>100</v>
      </c>
      <c r="T47" s="1390" t="s">
        <v>5</v>
      </c>
      <c r="U47" s="1391">
        <f t="shared" si="10"/>
        <v>100</v>
      </c>
      <c r="V47" s="1390" t="s">
        <v>5</v>
      </c>
      <c r="W47" s="1391">
        <f t="shared" si="11"/>
        <v>100</v>
      </c>
      <c r="X47" s="1392"/>
      <c r="Y47" s="3905"/>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900" t="str">
        <f>A48</f>
        <v>成交单价</v>
      </c>
      <c r="Q48" s="3900"/>
      <c r="R48" s="3916">
        <f>E48</f>
        <v>0</v>
      </c>
      <c r="S48" s="3916"/>
      <c r="T48" s="3916">
        <f>G48</f>
        <v>0</v>
      </c>
      <c r="U48" s="3916"/>
      <c r="V48" s="3916">
        <f>I48</f>
        <v>0</v>
      </c>
      <c r="W48" s="3916"/>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00" t="str">
        <f>A49</f>
        <v>比较价格（元/平方米）</v>
      </c>
      <c r="Q49" s="3900"/>
      <c r="R49" s="3924" t="e">
        <f>ROUND(PRODUCT(R48,AA9:AA47),0)</f>
        <v>#DIV/0!</v>
      </c>
      <c r="S49" s="3924"/>
      <c r="T49" s="3924" t="e">
        <f>ROUND(PRODUCT(T48,AB9:AB47),0)</f>
        <v>#DIV/0!</v>
      </c>
      <c r="U49" s="3924"/>
      <c r="V49" s="3924" t="e">
        <f>ROUND(PRODUCT(V48,AC9:AC47),0)</f>
        <v>#DIV/0!</v>
      </c>
      <c r="W49" s="3924"/>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06" t="str">
        <f>A50</f>
        <v>估价对象XX用房的比较价格（楼面单价，元/平方米）</v>
      </c>
      <c r="Q50" s="3907"/>
      <c r="R50" s="3923" t="e">
        <f>ROUND(IF(D49="简单平均",AVERAGE(R49:W49),R49*F49+T49*H49+V49*J49),0)</f>
        <v>#DIV/0!</v>
      </c>
      <c r="S50" s="3923"/>
      <c r="T50" s="3923"/>
      <c r="U50" s="3923"/>
      <c r="V50" s="3923"/>
      <c r="W50" s="392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5" t="s">
        <v>1639</v>
      </c>
      <c r="H57" s="388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4447250</v>
      </c>
      <c r="F58" s="604" t="e">
        <f t="shared" ref="F58:F66" si="14">ROUND(B58*E58/10000,0)</f>
        <v>#DIV/0!</v>
      </c>
      <c r="G58" s="3887"/>
      <c r="H58" s="388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1778900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8" t="s">
        <v>471</v>
      </c>
      <c r="D6" s="3909"/>
      <c r="E6" s="3930" t="s">
        <v>472</v>
      </c>
      <c r="F6" s="3931"/>
      <c r="G6" s="3908" t="s">
        <v>473</v>
      </c>
      <c r="H6" s="3909"/>
      <c r="I6" s="3908" t="s">
        <v>474</v>
      </c>
      <c r="J6" s="3909"/>
      <c r="K6" s="484" t="s">
        <v>475</v>
      </c>
      <c r="L6" s="1856"/>
      <c r="M6" s="1857"/>
      <c r="N6" s="1857"/>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29" ht="15">
      <c r="A7" s="485"/>
      <c r="B7" s="486"/>
      <c r="C7" s="3919" t="s">
        <v>2192</v>
      </c>
      <c r="D7" s="3920"/>
      <c r="E7" s="3932" t="s">
        <v>2193</v>
      </c>
      <c r="F7" s="3933"/>
      <c r="G7" s="3919" t="s">
        <v>2194</v>
      </c>
      <c r="H7" s="3920"/>
      <c r="I7" s="3919" t="s">
        <v>2195</v>
      </c>
      <c r="J7" s="3920"/>
      <c r="K7" s="484"/>
      <c r="L7" s="1856"/>
      <c r="M7" s="1857"/>
      <c r="N7" s="1857"/>
      <c r="O7" s="1857"/>
      <c r="P7" s="3912"/>
      <c r="Q7" s="3913"/>
      <c r="R7" s="3896"/>
      <c r="S7" s="3897"/>
      <c r="T7" s="3896"/>
      <c r="U7" s="3897"/>
      <c r="V7" s="3916"/>
      <c r="W7" s="3916"/>
      <c r="X7" s="1380"/>
      <c r="Y7" s="3896"/>
      <c r="Z7" s="3897"/>
      <c r="AA7" s="3890"/>
      <c r="AB7" s="3890"/>
      <c r="AC7" s="3890"/>
    </row>
    <row r="8" spans="1:29" ht="15.75" thickBot="1">
      <c r="A8" s="487"/>
      <c r="B8" s="488"/>
      <c r="C8" s="3917" t="s">
        <v>2196</v>
      </c>
      <c r="D8" s="3918"/>
      <c r="E8" s="3934" t="s">
        <v>2196</v>
      </c>
      <c r="F8" s="3935"/>
      <c r="G8" s="3917" t="s">
        <v>2196</v>
      </c>
      <c r="H8" s="3918"/>
      <c r="I8" s="3917" t="s">
        <v>2196</v>
      </c>
      <c r="J8" s="3918"/>
      <c r="K8" s="484" t="s">
        <v>477</v>
      </c>
      <c r="L8" s="1856"/>
      <c r="M8" s="1857"/>
      <c r="N8" s="1857"/>
      <c r="O8" s="1857"/>
      <c r="P8" s="3914"/>
      <c r="Q8" s="3915"/>
      <c r="R8" s="3896"/>
      <c r="S8" s="3897"/>
      <c r="T8" s="3898"/>
      <c r="U8" s="3899"/>
      <c r="V8" s="3916"/>
      <c r="W8" s="3916"/>
      <c r="X8" s="1380"/>
      <c r="Y8" s="3898"/>
      <c r="Z8" s="3899"/>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2" t="s">
        <v>489</v>
      </c>
      <c r="Q17" s="1385" t="str">
        <f t="shared" si="6"/>
        <v>产业集聚程度</v>
      </c>
      <c r="R17" s="1386" t="s">
        <v>5</v>
      </c>
      <c r="S17" s="1387">
        <f t="shared" si="0"/>
        <v>100</v>
      </c>
      <c r="T17" s="1386" t="s">
        <v>5</v>
      </c>
      <c r="U17" s="1387">
        <f t="shared" si="1"/>
        <v>100</v>
      </c>
      <c r="V17" s="1386" t="s">
        <v>5</v>
      </c>
      <c r="W17" s="1387">
        <f t="shared" si="2"/>
        <v>100</v>
      </c>
      <c r="X17" s="1380"/>
      <c r="Y17" s="390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3"/>
      <c r="Q18" s="1385"/>
      <c r="R18" s="1386"/>
      <c r="S18" s="1387"/>
      <c r="T18" s="1386"/>
      <c r="U18" s="1387"/>
      <c r="V18" s="1386"/>
      <c r="W18" s="1387"/>
      <c r="X18" s="1380"/>
      <c r="Y18" s="390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3"/>
      <c r="Q19" s="1385" t="str">
        <f>B19</f>
        <v>交通便捷度</v>
      </c>
      <c r="R19" s="1386" t="s">
        <v>5</v>
      </c>
      <c r="S19" s="1387">
        <f>F19</f>
        <v>100</v>
      </c>
      <c r="T19" s="1386" t="s">
        <v>5</v>
      </c>
      <c r="U19" s="1387">
        <f>H19</f>
        <v>100</v>
      </c>
      <c r="V19" s="1386" t="s">
        <v>5</v>
      </c>
      <c r="W19" s="1387">
        <f>J19</f>
        <v>100</v>
      </c>
      <c r="X19" s="1380"/>
      <c r="Y19" s="390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3"/>
      <c r="Q21" s="1385" t="str">
        <f t="shared" ref="Q21:Q35" si="8">B21</f>
        <v>区域土地利用方向</v>
      </c>
      <c r="R21" s="1386" t="s">
        <v>5</v>
      </c>
      <c r="S21" s="1387">
        <f>F21</f>
        <v>100</v>
      </c>
      <c r="T21" s="1386" t="s">
        <v>5</v>
      </c>
      <c r="U21" s="1387">
        <f>H21</f>
        <v>100</v>
      </c>
      <c r="V21" s="1386" t="s">
        <v>5</v>
      </c>
      <c r="W21" s="1387">
        <f>J21</f>
        <v>100</v>
      </c>
      <c r="X21" s="1380"/>
      <c r="Y21" s="390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3"/>
      <c r="Q22" s="1385"/>
      <c r="R22" s="1386"/>
      <c r="S22" s="1387"/>
      <c r="T22" s="1386"/>
      <c r="U22" s="1387"/>
      <c r="V22" s="1386"/>
      <c r="W22" s="1387"/>
      <c r="X22" s="1380"/>
      <c r="Y22" s="390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3"/>
      <c r="Q23" s="1385" t="str">
        <f t="shared" si="8"/>
        <v>环境状况</v>
      </c>
      <c r="R23" s="1386" t="s">
        <v>5</v>
      </c>
      <c r="S23" s="1387">
        <f>F23</f>
        <v>100</v>
      </c>
      <c r="T23" s="1386" t="s">
        <v>5</v>
      </c>
      <c r="U23" s="1387">
        <f>H23</f>
        <v>100</v>
      </c>
      <c r="V23" s="1386" t="s">
        <v>5</v>
      </c>
      <c r="W23" s="1387">
        <f>J23</f>
        <v>100</v>
      </c>
      <c r="X23" s="1380"/>
      <c r="Y23" s="390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3"/>
      <c r="Q24" s="1385"/>
      <c r="R24" s="1386"/>
      <c r="S24" s="1387"/>
      <c r="T24" s="1386"/>
      <c r="U24" s="1387"/>
      <c r="V24" s="1386"/>
      <c r="W24" s="1387"/>
      <c r="X24" s="1380"/>
      <c r="Y24" s="390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3"/>
      <c r="Q25" s="1050" t="str">
        <f t="shared" si="8"/>
        <v>公共配套设施</v>
      </c>
      <c r="R25" s="1381" t="s">
        <v>5</v>
      </c>
      <c r="S25" s="1382">
        <f>F25</f>
        <v>100</v>
      </c>
      <c r="T25" s="1381" t="s">
        <v>5</v>
      </c>
      <c r="U25" s="1382">
        <f>H25</f>
        <v>100</v>
      </c>
      <c r="V25" s="1381" t="s">
        <v>5</v>
      </c>
      <c r="W25" s="1382">
        <f>J25</f>
        <v>100</v>
      </c>
      <c r="X25" s="1383"/>
      <c r="Y25" s="390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3"/>
      <c r="Q26" s="1050"/>
      <c r="R26" s="1381"/>
      <c r="S26" s="1382"/>
      <c r="T26" s="1381"/>
      <c r="U26" s="1382"/>
      <c r="V26" s="1381"/>
      <c r="W26" s="1382"/>
      <c r="X26" s="1383"/>
      <c r="Y26" s="390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3"/>
      <c r="Q27" s="2192" t="str">
        <f>B27</f>
        <v>基础设施水平</v>
      </c>
      <c r="R27" s="1381" t="s">
        <v>5</v>
      </c>
      <c r="S27" s="1382">
        <f>F27</f>
        <v>100</v>
      </c>
      <c r="T27" s="1381" t="s">
        <v>5</v>
      </c>
      <c r="U27" s="1382">
        <f>H27</f>
        <v>100</v>
      </c>
      <c r="V27" s="1381" t="s">
        <v>5</v>
      </c>
      <c r="W27" s="1382">
        <f>J27</f>
        <v>100</v>
      </c>
      <c r="X27" s="1383"/>
      <c r="Y27" s="390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3"/>
      <c r="Q28" s="2192"/>
      <c r="R28" s="1381"/>
      <c r="S28" s="1382"/>
      <c r="T28" s="1381"/>
      <c r="U28" s="1382"/>
      <c r="V28" s="1381"/>
      <c r="W28" s="1382"/>
      <c r="X28" s="1383"/>
      <c r="Y28" s="390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3"/>
      <c r="Q30" s="1385" t="str">
        <f t="shared" si="8"/>
        <v>毗邻道路的类型与等级</v>
      </c>
      <c r="R30" s="1386" t="s">
        <v>5</v>
      </c>
      <c r="S30" s="1387">
        <f t="shared" si="9"/>
        <v>100</v>
      </c>
      <c r="T30" s="1386" t="s">
        <v>5</v>
      </c>
      <c r="U30" s="1387">
        <f t="shared" si="10"/>
        <v>100</v>
      </c>
      <c r="V30" s="1386" t="s">
        <v>5</v>
      </c>
      <c r="W30" s="1387">
        <f t="shared" si="11"/>
        <v>100</v>
      </c>
      <c r="X30" s="1380"/>
      <c r="Y30" s="390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3"/>
      <c r="Q31" s="1385"/>
      <c r="R31" s="1386"/>
      <c r="S31" s="1387"/>
      <c r="T31" s="1386"/>
      <c r="U31" s="1387"/>
      <c r="V31" s="1386"/>
      <c r="W31" s="1387"/>
      <c r="X31" s="1380"/>
      <c r="Y31" s="390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3"/>
      <c r="Q32" s="1385" t="str">
        <f t="shared" si="8"/>
        <v>土地级别</v>
      </c>
      <c r="R32" s="1386" t="s">
        <v>5</v>
      </c>
      <c r="S32" s="1387">
        <f t="shared" si="9"/>
        <v>100</v>
      </c>
      <c r="T32" s="1386" t="s">
        <v>5</v>
      </c>
      <c r="U32" s="1387">
        <f t="shared" si="10"/>
        <v>100</v>
      </c>
      <c r="V32" s="1386" t="s">
        <v>5</v>
      </c>
      <c r="W32" s="1387">
        <f t="shared" si="11"/>
        <v>100</v>
      </c>
      <c r="X32" s="1380"/>
      <c r="Y32" s="390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3"/>
      <c r="Q33" s="1385">
        <f t="shared" si="8"/>
        <v>111</v>
      </c>
      <c r="R33" s="1386" t="s">
        <v>5</v>
      </c>
      <c r="S33" s="1387">
        <f t="shared" si="9"/>
        <v>100</v>
      </c>
      <c r="T33" s="1386" t="s">
        <v>5</v>
      </c>
      <c r="U33" s="1387">
        <f t="shared" si="10"/>
        <v>100</v>
      </c>
      <c r="V33" s="1386" t="s">
        <v>5</v>
      </c>
      <c r="W33" s="1387">
        <f t="shared" si="11"/>
        <v>100</v>
      </c>
      <c r="X33" s="1380"/>
      <c r="Y33" s="390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4" t="s">
        <v>499</v>
      </c>
      <c r="Q34" s="1385">
        <f t="shared" si="8"/>
        <v>111</v>
      </c>
      <c r="R34" s="1386" t="s">
        <v>5</v>
      </c>
      <c r="S34" s="1387">
        <f t="shared" si="9"/>
        <v>100</v>
      </c>
      <c r="T34" s="1386" t="s">
        <v>5</v>
      </c>
      <c r="U34" s="1387">
        <f t="shared" si="10"/>
        <v>100</v>
      </c>
      <c r="V34" s="1386" t="s">
        <v>5</v>
      </c>
      <c r="W34" s="1387">
        <f t="shared" si="11"/>
        <v>100</v>
      </c>
      <c r="X34" s="1380"/>
      <c r="Y34" s="390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5"/>
      <c r="Q35" s="1385">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5"/>
      <c r="Q36" s="1385" t="str">
        <f>B36</f>
        <v>宗地面积</v>
      </c>
      <c r="R36" s="1386" t="s">
        <v>5</v>
      </c>
      <c r="S36" s="1387" t="e">
        <f t="shared" si="9"/>
        <v>#N/A</v>
      </c>
      <c r="T36" s="1386" t="s">
        <v>5</v>
      </c>
      <c r="U36" s="1387" t="e">
        <f t="shared" si="10"/>
        <v>#N/A</v>
      </c>
      <c r="V36" s="1386" t="s">
        <v>5</v>
      </c>
      <c r="W36" s="1387" t="e">
        <f t="shared" si="11"/>
        <v>#N/A</v>
      </c>
      <c r="X36" s="1380"/>
      <c r="Y36" s="390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5"/>
      <c r="Q37" s="1385" t="str">
        <f t="shared" ref="Q37:Q42" si="13">B37</f>
        <v>宗地形状</v>
      </c>
      <c r="R37" s="1386" t="s">
        <v>5</v>
      </c>
      <c r="S37" s="1387">
        <f t="shared" si="9"/>
        <v>100</v>
      </c>
      <c r="T37" s="1386" t="s">
        <v>5</v>
      </c>
      <c r="U37" s="1387">
        <f t="shared" si="10"/>
        <v>100</v>
      </c>
      <c r="V37" s="1386" t="s">
        <v>5</v>
      </c>
      <c r="W37" s="1387">
        <f t="shared" si="11"/>
        <v>100</v>
      </c>
      <c r="X37" s="1380"/>
      <c r="Y37" s="390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5"/>
      <c r="Q38" s="1385" t="str">
        <f t="shared" si="13"/>
        <v>宗地开发程度</v>
      </c>
      <c r="R38" s="1381" t="s">
        <v>5</v>
      </c>
      <c r="S38" s="1382">
        <f t="shared" si="9"/>
        <v>100</v>
      </c>
      <c r="T38" s="1381" t="s">
        <v>5</v>
      </c>
      <c r="U38" s="1382">
        <f t="shared" si="10"/>
        <v>100</v>
      </c>
      <c r="V38" s="1381" t="s">
        <v>5</v>
      </c>
      <c r="W38" s="1382">
        <f t="shared" si="11"/>
        <v>100</v>
      </c>
      <c r="X38" s="1383"/>
      <c r="Y38" s="390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5" t="s">
        <v>549</v>
      </c>
      <c r="Q39" s="1385" t="str">
        <f t="shared" si="13"/>
        <v>工程地质条件</v>
      </c>
      <c r="R39" s="1386" t="s">
        <v>5</v>
      </c>
      <c r="S39" s="1387">
        <f t="shared" si="9"/>
        <v>100</v>
      </c>
      <c r="T39" s="1386" t="s">
        <v>5</v>
      </c>
      <c r="U39" s="1387">
        <f t="shared" si="10"/>
        <v>100</v>
      </c>
      <c r="V39" s="1386" t="s">
        <v>5</v>
      </c>
      <c r="W39" s="1387">
        <f t="shared" si="11"/>
        <v>100</v>
      </c>
      <c r="X39" s="1380"/>
      <c r="Y39" s="390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5"/>
      <c r="Q40" s="1385">
        <f t="shared" si="13"/>
        <v>111</v>
      </c>
      <c r="R40" s="1386" t="s">
        <v>5</v>
      </c>
      <c r="S40" s="1387">
        <f t="shared" si="9"/>
        <v>100</v>
      </c>
      <c r="T40" s="1386" t="s">
        <v>5</v>
      </c>
      <c r="U40" s="1387">
        <f t="shared" si="10"/>
        <v>100</v>
      </c>
      <c r="V40" s="1386" t="s">
        <v>5</v>
      </c>
      <c r="W40" s="1387">
        <f t="shared" si="11"/>
        <v>100</v>
      </c>
      <c r="X40" s="1380"/>
      <c r="Y40" s="390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5"/>
      <c r="Q41" s="1385">
        <f t="shared" si="13"/>
        <v>111</v>
      </c>
      <c r="R41" s="1386" t="s">
        <v>5</v>
      </c>
      <c r="S41" s="1387">
        <f t="shared" si="9"/>
        <v>100</v>
      </c>
      <c r="T41" s="1386" t="s">
        <v>5</v>
      </c>
      <c r="U41" s="1387">
        <f t="shared" si="10"/>
        <v>100</v>
      </c>
      <c r="V41" s="1386" t="s">
        <v>5</v>
      </c>
      <c r="W41" s="1387">
        <f t="shared" si="11"/>
        <v>100</v>
      </c>
      <c r="X41" s="1380"/>
      <c r="Y41" s="390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5"/>
      <c r="Q42" s="1385">
        <f t="shared" si="13"/>
        <v>111</v>
      </c>
      <c r="R42" s="1390" t="s">
        <v>5</v>
      </c>
      <c r="S42" s="1391">
        <f t="shared" si="9"/>
        <v>100</v>
      </c>
      <c r="T42" s="1390" t="s">
        <v>5</v>
      </c>
      <c r="U42" s="1391">
        <f t="shared" si="10"/>
        <v>100</v>
      </c>
      <c r="V42" s="1390" t="s">
        <v>5</v>
      </c>
      <c r="W42" s="1391">
        <f t="shared" si="11"/>
        <v>100</v>
      </c>
      <c r="X42" s="1392"/>
      <c r="Y42" s="3905"/>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900" t="str">
        <f>A43</f>
        <v>成交单价</v>
      </c>
      <c r="Q43" s="3900"/>
      <c r="R43" s="3916">
        <f>E43</f>
        <v>0</v>
      </c>
      <c r="S43" s="3916"/>
      <c r="T43" s="3916">
        <f>G43</f>
        <v>0</v>
      </c>
      <c r="U43" s="3916"/>
      <c r="V43" s="3916">
        <f>I43</f>
        <v>0</v>
      </c>
      <c r="W43" s="3916"/>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900" t="str">
        <f>A44</f>
        <v>比较价格（元/平方米）</v>
      </c>
      <c r="Q44" s="3900"/>
      <c r="R44" s="3924" t="e">
        <f>ROUND(PRODUCT(R43,AA9:AA42),0)</f>
        <v>#DIV/0!</v>
      </c>
      <c r="S44" s="3924"/>
      <c r="T44" s="3924" t="e">
        <f>ROUND(PRODUCT(T43,AB9:AB42),0)</f>
        <v>#DIV/0!</v>
      </c>
      <c r="U44" s="3924"/>
      <c r="V44" s="3924" t="e">
        <f>ROUND(PRODUCT(V43,AC9:AC42),0)</f>
        <v>#DIV/0!</v>
      </c>
      <c r="W44" s="3924"/>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06" t="str">
        <f>A45</f>
        <v>估价对象XX用房的比较价格（楼面单价，元/平方米）</v>
      </c>
      <c r="Q45" s="3907"/>
      <c r="R45" s="3929" t="e">
        <f>ROUND(IF(D44="简单平均",AVERAGE(R44:W44),R44*F44+T44*H44+V44*J44),0)</f>
        <v>#DIV/0!</v>
      </c>
      <c r="S45" s="3929"/>
      <c r="T45" s="3929"/>
      <c r="U45" s="3929"/>
      <c r="V45" s="3929"/>
      <c r="W45" s="392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5" t="s">
        <v>1642</v>
      </c>
      <c r="H52" s="392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4447250</v>
      </c>
      <c r="F53" s="1706" t="e">
        <f t="shared" ref="F53:F61" si="14">ROUND(B53*E53/10000,0)</f>
        <v>#DIV/0!</v>
      </c>
      <c r="G53" s="3927"/>
      <c r="H53" s="392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1778900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40" t="s">
        <v>2452</v>
      </c>
      <c r="B20" s="3943" t="s">
        <v>2462</v>
      </c>
      <c r="C20" s="3260" t="s">
        <v>2463</v>
      </c>
      <c r="D20" s="3261"/>
      <c r="E20" s="3262">
        <v>1</v>
      </c>
      <c r="F20" s="3263" t="s">
        <v>2464</v>
      </c>
      <c r="G20" s="1035"/>
      <c r="H20" s="1025"/>
      <c r="I20" s="1025"/>
    </row>
    <row r="21" spans="1:13" s="1408" customFormat="1">
      <c r="A21" s="3941"/>
      <c r="B21" s="3939"/>
      <c r="C21" s="3264" t="s">
        <v>2465</v>
      </c>
      <c r="D21" s="3265"/>
      <c r="E21" s="3266">
        <v>1</v>
      </c>
      <c r="F21" s="3263" t="s">
        <v>2466</v>
      </c>
      <c r="G21" s="1035"/>
      <c r="H21" s="1025"/>
      <c r="I21" s="1025"/>
    </row>
    <row r="22" spans="1:13" s="1408" customFormat="1">
      <c r="A22" s="3941"/>
      <c r="B22" s="3939"/>
      <c r="C22" s="3264" t="s">
        <v>2467</v>
      </c>
      <c r="D22" s="3265"/>
      <c r="E22" s="3266">
        <v>0.9</v>
      </c>
      <c r="F22" s="3263" t="s">
        <v>2468</v>
      </c>
      <c r="G22" s="1035"/>
      <c r="H22" s="1025"/>
      <c r="I22" s="1025"/>
    </row>
    <row r="23" spans="1:13" s="1408" customFormat="1">
      <c r="A23" s="3941"/>
      <c r="B23" s="3939"/>
      <c r="C23" s="3264" t="s">
        <v>2469</v>
      </c>
      <c r="D23" s="3265"/>
      <c r="E23" s="3266">
        <v>0.9</v>
      </c>
      <c r="F23" s="3263" t="s">
        <v>2470</v>
      </c>
      <c r="G23" s="1035"/>
      <c r="H23" s="1025"/>
      <c r="I23" s="1025"/>
    </row>
    <row r="24" spans="1:13" s="1408" customFormat="1">
      <c r="A24" s="3941"/>
      <c r="B24" s="3939"/>
      <c r="C24" s="3264" t="s">
        <v>2471</v>
      </c>
      <c r="D24" s="3265"/>
      <c r="E24" s="3266">
        <v>0.8</v>
      </c>
      <c r="F24" s="3263" t="s">
        <v>2472</v>
      </c>
      <c r="G24" s="1035"/>
      <c r="H24" s="1025"/>
      <c r="I24" s="1025"/>
    </row>
    <row r="25" spans="1:13" s="1408" customFormat="1" ht="14.25" thickBot="1">
      <c r="A25" s="3942"/>
      <c r="B25" s="3944"/>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45" t="s">
        <v>2457</v>
      </c>
      <c r="B27" s="3943" t="s">
        <v>2457</v>
      </c>
      <c r="C27" s="3260" t="s">
        <v>2477</v>
      </c>
      <c r="D27" s="3261"/>
      <c r="E27" s="3262">
        <v>1</v>
      </c>
      <c r="F27" s="3263" t="s">
        <v>2478</v>
      </c>
      <c r="G27" s="1035"/>
      <c r="H27" s="1025"/>
      <c r="I27" s="1025"/>
    </row>
    <row r="28" spans="1:13" s="1408" customFormat="1">
      <c r="A28" s="3946"/>
      <c r="B28" s="3939"/>
      <c r="C28" s="3264" t="s">
        <v>2479</v>
      </c>
      <c r="D28" s="3265"/>
      <c r="E28" s="3266">
        <v>1</v>
      </c>
      <c r="F28" s="3263" t="s">
        <v>2480</v>
      </c>
      <c r="G28" s="1035"/>
      <c r="H28" s="1025"/>
      <c r="I28" s="1025"/>
    </row>
    <row r="29" spans="1:13" s="1408" customFormat="1">
      <c r="A29" s="3946"/>
      <c r="B29" s="3939"/>
      <c r="C29" s="3264" t="s">
        <v>2481</v>
      </c>
      <c r="D29" s="3265"/>
      <c r="E29" s="3266">
        <v>0.8</v>
      </c>
      <c r="F29" s="3263" t="s">
        <v>2482</v>
      </c>
      <c r="G29" s="1035"/>
      <c r="H29" s="1025"/>
      <c r="I29" s="1025"/>
    </row>
    <row r="30" spans="1:13" s="1408" customFormat="1">
      <c r="A30" s="3946"/>
      <c r="B30" s="3939"/>
      <c r="C30" s="3264" t="s">
        <v>2483</v>
      </c>
      <c r="D30" s="3265"/>
      <c r="E30" s="3266">
        <v>0.8</v>
      </c>
      <c r="F30" s="3263" t="s">
        <v>2484</v>
      </c>
      <c r="G30" s="1035"/>
      <c r="H30" s="1025"/>
      <c r="I30" s="1025"/>
    </row>
    <row r="31" spans="1:13" s="1408" customFormat="1">
      <c r="A31" s="3946"/>
      <c r="B31" s="3939"/>
      <c r="C31" s="3264" t="s">
        <v>2485</v>
      </c>
      <c r="D31" s="3265"/>
      <c r="E31" s="3266">
        <v>0.8</v>
      </c>
      <c r="F31" s="3263" t="s">
        <v>2486</v>
      </c>
      <c r="G31" s="1035"/>
      <c r="H31" s="1025"/>
      <c r="I31" s="1025"/>
    </row>
    <row r="32" spans="1:13" s="1408" customFormat="1">
      <c r="A32" s="3946"/>
      <c r="B32" s="3939"/>
      <c r="C32" s="3264" t="s">
        <v>2487</v>
      </c>
      <c r="D32" s="3265"/>
      <c r="E32" s="3266">
        <v>0.7</v>
      </c>
      <c r="F32" s="3263" t="s">
        <v>2488</v>
      </c>
      <c r="G32" s="1035"/>
      <c r="H32" s="1025"/>
      <c r="I32" s="1025"/>
    </row>
    <row r="33" spans="1:9" s="1408" customFormat="1">
      <c r="A33" s="3946"/>
      <c r="B33" s="3939"/>
      <c r="C33" s="3264" t="s">
        <v>2489</v>
      </c>
      <c r="D33" s="3265"/>
      <c r="E33" s="3266">
        <v>0.8</v>
      </c>
      <c r="F33" s="3263" t="s">
        <v>2490</v>
      </c>
      <c r="G33" s="1035"/>
      <c r="H33" s="1025"/>
      <c r="I33" s="1025"/>
    </row>
    <row r="34" spans="1:9" s="1408" customFormat="1">
      <c r="A34" s="3946"/>
      <c r="B34" s="3939"/>
      <c r="C34" s="3264" t="s">
        <v>2491</v>
      </c>
      <c r="D34" s="3265"/>
      <c r="E34" s="3266">
        <v>0.6</v>
      </c>
      <c r="F34" s="3263" t="s">
        <v>2492</v>
      </c>
      <c r="G34" s="1035"/>
      <c r="H34" s="1025"/>
      <c r="I34" s="1025"/>
    </row>
    <row r="35" spans="1:9" s="1408" customFormat="1">
      <c r="A35" s="3946"/>
      <c r="B35" s="3939"/>
      <c r="C35" s="3264" t="s">
        <v>2493</v>
      </c>
      <c r="D35" s="3265"/>
      <c r="E35" s="3266">
        <v>0.2</v>
      </c>
      <c r="F35" s="3263" t="s">
        <v>2494</v>
      </c>
      <c r="G35" s="1035"/>
      <c r="H35" s="1025"/>
      <c r="I35" s="1025"/>
    </row>
    <row r="36" spans="1:9" s="1408" customFormat="1">
      <c r="A36" s="3946"/>
      <c r="B36" s="3939"/>
      <c r="C36" s="3264" t="s">
        <v>2495</v>
      </c>
      <c r="D36" s="3265"/>
      <c r="E36" s="3266">
        <v>0.2</v>
      </c>
      <c r="F36" s="3263" t="s">
        <v>2496</v>
      </c>
      <c r="G36" s="1035"/>
      <c r="H36" s="1025"/>
      <c r="I36" s="1025"/>
    </row>
    <row r="37" spans="1:9" s="1408" customFormat="1">
      <c r="A37" s="3946"/>
      <c r="B37" s="3937" t="s">
        <v>2497</v>
      </c>
      <c r="C37" s="3264" t="s">
        <v>2498</v>
      </c>
      <c r="D37" s="3265"/>
      <c r="E37" s="3266">
        <v>0.6</v>
      </c>
      <c r="F37" s="3263" t="s">
        <v>2499</v>
      </c>
      <c r="G37" s="1035"/>
      <c r="H37" s="1025"/>
      <c r="I37" s="1025"/>
    </row>
    <row r="38" spans="1:9" s="1408" customFormat="1">
      <c r="A38" s="3946"/>
      <c r="B38" s="3939"/>
      <c r="C38" s="3264" t="s">
        <v>2500</v>
      </c>
      <c r="D38" s="3265"/>
      <c r="E38" s="3266">
        <v>0.6</v>
      </c>
      <c r="F38" s="3263" t="s">
        <v>2501</v>
      </c>
      <c r="G38" s="1035"/>
      <c r="H38" s="1025"/>
      <c r="I38" s="1025"/>
    </row>
    <row r="39" spans="1:9" s="1408" customFormat="1" ht="14.25" thickBot="1">
      <c r="A39" s="3947"/>
      <c r="B39" s="3944"/>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40" t="s">
        <v>2455</v>
      </c>
      <c r="B41" s="3943" t="s">
        <v>2506</v>
      </c>
      <c r="C41" s="3260" t="s">
        <v>2507</v>
      </c>
      <c r="D41" s="3261"/>
      <c r="E41" s="3262">
        <v>1</v>
      </c>
      <c r="F41" s="3263" t="s">
        <v>2508</v>
      </c>
      <c r="G41" s="1035"/>
      <c r="H41" s="1025"/>
      <c r="I41" s="1025"/>
    </row>
    <row r="42" spans="1:9" s="1408" customFormat="1">
      <c r="A42" s="3941"/>
      <c r="B42" s="3939"/>
      <c r="C42" s="3264" t="s">
        <v>2509</v>
      </c>
      <c r="D42" s="3265"/>
      <c r="E42" s="3266">
        <v>1</v>
      </c>
      <c r="F42" s="3263" t="s">
        <v>2510</v>
      </c>
      <c r="G42" s="1035"/>
      <c r="H42" s="1025"/>
      <c r="I42" s="1025"/>
    </row>
    <row r="43" spans="1:9" s="1408" customFormat="1">
      <c r="A43" s="3941"/>
      <c r="B43" s="3938"/>
      <c r="C43" s="3264" t="s">
        <v>2511</v>
      </c>
      <c r="D43" s="3265"/>
      <c r="E43" s="3266">
        <v>1.5</v>
      </c>
      <c r="F43" s="3263" t="s">
        <v>2512</v>
      </c>
      <c r="G43" s="1035"/>
      <c r="H43" s="1025"/>
      <c r="I43" s="1025"/>
    </row>
    <row r="44" spans="1:9" s="1408" customFormat="1">
      <c r="A44" s="3941"/>
      <c r="B44" s="3275" t="s">
        <v>2457</v>
      </c>
      <c r="C44" s="3264" t="s">
        <v>2456</v>
      </c>
      <c r="D44" s="3265"/>
      <c r="E44" s="3266">
        <v>2</v>
      </c>
      <c r="F44" s="3263" t="s">
        <v>2513</v>
      </c>
      <c r="G44" s="1035"/>
      <c r="H44" s="1025"/>
      <c r="I44" s="1025"/>
    </row>
    <row r="45" spans="1:9" s="1408" customFormat="1">
      <c r="A45" s="3941"/>
      <c r="B45" s="3937" t="s">
        <v>2514</v>
      </c>
      <c r="C45" s="3264" t="s">
        <v>2515</v>
      </c>
      <c r="D45" s="3265"/>
      <c r="E45" s="3266">
        <v>1</v>
      </c>
      <c r="F45" s="3263" t="s">
        <v>2516</v>
      </c>
      <c r="G45" s="1035"/>
      <c r="H45" s="1025"/>
      <c r="I45" s="1025"/>
    </row>
    <row r="46" spans="1:9" s="1408" customFormat="1">
      <c r="A46" s="3941"/>
      <c r="B46" s="3939"/>
      <c r="C46" s="3264" t="s">
        <v>2517</v>
      </c>
      <c r="D46" s="3265"/>
      <c r="E46" s="3266">
        <v>1</v>
      </c>
      <c r="F46" s="3263" t="s">
        <v>2518</v>
      </c>
      <c r="G46" s="1035"/>
      <c r="H46" s="1025"/>
      <c r="I46" s="1025"/>
    </row>
    <row r="47" spans="1:9" s="1408" customFormat="1">
      <c r="A47" s="3941"/>
      <c r="B47" s="3939"/>
      <c r="C47" s="3264" t="s">
        <v>2519</v>
      </c>
      <c r="D47" s="3265"/>
      <c r="E47" s="3266">
        <v>1</v>
      </c>
      <c r="F47" s="3263" t="s">
        <v>2520</v>
      </c>
      <c r="G47" s="1035"/>
      <c r="H47" s="1025"/>
      <c r="I47" s="1025"/>
    </row>
    <row r="48" spans="1:9" s="1408" customFormat="1">
      <c r="A48" s="3941"/>
      <c r="B48" s="3939"/>
      <c r="C48" s="3264" t="s">
        <v>2521</v>
      </c>
      <c r="D48" s="3265"/>
      <c r="E48" s="3266">
        <v>1</v>
      </c>
      <c r="F48" s="3263" t="s">
        <v>2522</v>
      </c>
      <c r="G48" s="1035"/>
      <c r="H48" s="1025"/>
      <c r="I48" s="1025"/>
    </row>
    <row r="49" spans="1:9" s="1408" customFormat="1">
      <c r="A49" s="3941"/>
      <c r="B49" s="3939"/>
      <c r="C49" s="3264" t="s">
        <v>2523</v>
      </c>
      <c r="D49" s="3265"/>
      <c r="E49" s="3266">
        <v>1</v>
      </c>
      <c r="F49" s="3263" t="s">
        <v>2524</v>
      </c>
      <c r="G49" s="1035"/>
      <c r="H49" s="1025"/>
      <c r="I49" s="1025"/>
    </row>
    <row r="50" spans="1:9" s="1408" customFormat="1">
      <c r="A50" s="3941"/>
      <c r="B50" s="3939"/>
      <c r="C50" s="3264" t="s">
        <v>2525</v>
      </c>
      <c r="D50" s="3265"/>
      <c r="E50" s="3266">
        <v>1</v>
      </c>
      <c r="F50" s="3263" t="s">
        <v>2526</v>
      </c>
      <c r="G50" s="1035"/>
      <c r="H50" s="1025"/>
      <c r="I50" s="1025"/>
    </row>
    <row r="51" spans="1:9" s="1408" customFormat="1" ht="14.25" thickBot="1">
      <c r="A51" s="3942"/>
      <c r="B51" s="3944"/>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37" t="s">
        <v>2530</v>
      </c>
      <c r="C73" s="3253" t="s">
        <v>2531</v>
      </c>
      <c r="D73" s="3253" t="s">
        <v>2532</v>
      </c>
      <c r="E73" s="3276">
        <v>0.2</v>
      </c>
      <c r="F73" s="3275">
        <v>25</v>
      </c>
      <c r="H73" s="1025">
        <f>SUMIF(C71:C139,'基准地价-住宅'!C8,E71:E139)</f>
        <v>0</v>
      </c>
    </row>
    <row r="74" spans="1:8" s="1025" customFormat="1" ht="24">
      <c r="A74" s="3275">
        <v>2</v>
      </c>
      <c r="B74" s="3939"/>
      <c r="C74" s="3253" t="s">
        <v>2533</v>
      </c>
      <c r="D74" s="3253" t="s">
        <v>2534</v>
      </c>
      <c r="E74" s="3276">
        <v>0.2</v>
      </c>
      <c r="F74" s="3275">
        <v>25</v>
      </c>
    </row>
    <row r="75" spans="1:8" s="1025" customFormat="1" ht="24">
      <c r="A75" s="3275">
        <v>3</v>
      </c>
      <c r="B75" s="3939"/>
      <c r="C75" s="3253" t="s">
        <v>2535</v>
      </c>
      <c r="D75" s="3253" t="s">
        <v>2536</v>
      </c>
      <c r="E75" s="3276">
        <v>0.2</v>
      </c>
      <c r="F75" s="3275">
        <v>25</v>
      </c>
    </row>
    <row r="76" spans="1:8" s="1025" customFormat="1">
      <c r="A76" s="3275">
        <v>4</v>
      </c>
      <c r="B76" s="3939"/>
      <c r="C76" s="3253" t="s">
        <v>2537</v>
      </c>
      <c r="D76" s="3253" t="s">
        <v>2538</v>
      </c>
      <c r="E76" s="3276">
        <v>0.15</v>
      </c>
      <c r="F76" s="3275">
        <v>20</v>
      </c>
    </row>
    <row r="77" spans="1:8" s="1025" customFormat="1" ht="24">
      <c r="A77" s="3275">
        <v>5</v>
      </c>
      <c r="B77" s="3939"/>
      <c r="C77" s="3253" t="s">
        <v>2539</v>
      </c>
      <c r="D77" s="3253" t="s">
        <v>2540</v>
      </c>
      <c r="E77" s="3276">
        <v>0.15</v>
      </c>
      <c r="F77" s="3275">
        <v>20</v>
      </c>
    </row>
    <row r="78" spans="1:8" s="1025" customFormat="1" ht="24">
      <c r="A78" s="3275">
        <v>6</v>
      </c>
      <c r="B78" s="3939"/>
      <c r="C78" s="3253" t="s">
        <v>2541</v>
      </c>
      <c r="D78" s="3253" t="s">
        <v>2542</v>
      </c>
      <c r="E78" s="3276">
        <v>0.15</v>
      </c>
      <c r="F78" s="3275">
        <v>20</v>
      </c>
    </row>
    <row r="79" spans="1:8" s="1025" customFormat="1" ht="24">
      <c r="A79" s="3275">
        <v>7</v>
      </c>
      <c r="B79" s="3939"/>
      <c r="C79" s="3253" t="s">
        <v>2543</v>
      </c>
      <c r="D79" s="3253" t="s">
        <v>2544</v>
      </c>
      <c r="E79" s="3276">
        <v>0.15</v>
      </c>
      <c r="F79" s="3275">
        <v>20</v>
      </c>
    </row>
    <row r="80" spans="1:8" s="1025" customFormat="1" ht="24">
      <c r="A80" s="3275">
        <v>8</v>
      </c>
      <c r="B80" s="3939"/>
      <c r="C80" s="3253" t="s">
        <v>2545</v>
      </c>
      <c r="D80" s="3253" t="s">
        <v>2546</v>
      </c>
      <c r="E80" s="3276">
        <v>0.1</v>
      </c>
      <c r="F80" s="3275">
        <v>15</v>
      </c>
    </row>
    <row r="81" spans="1:6" s="1025" customFormat="1" ht="24">
      <c r="A81" s="3275">
        <v>9</v>
      </c>
      <c r="B81" s="3939"/>
      <c r="C81" s="3253" t="s">
        <v>2547</v>
      </c>
      <c r="D81" s="3253" t="s">
        <v>2548</v>
      </c>
      <c r="E81" s="3276">
        <v>0.1</v>
      </c>
      <c r="F81" s="3275">
        <v>15</v>
      </c>
    </row>
    <row r="82" spans="1:6" s="1025" customFormat="1" ht="24">
      <c r="A82" s="3275">
        <v>10</v>
      </c>
      <c r="B82" s="3939"/>
      <c r="C82" s="3253" t="s">
        <v>2549</v>
      </c>
      <c r="D82" s="3253" t="s">
        <v>2550</v>
      </c>
      <c r="E82" s="3276">
        <v>0.1</v>
      </c>
      <c r="F82" s="3275">
        <v>15</v>
      </c>
    </row>
    <row r="83" spans="1:6" s="1025" customFormat="1" ht="24">
      <c r="A83" s="3275">
        <v>11</v>
      </c>
      <c r="B83" s="3939"/>
      <c r="C83" s="3253" t="s">
        <v>2551</v>
      </c>
      <c r="D83" s="3253" t="s">
        <v>2552</v>
      </c>
      <c r="E83" s="3276">
        <v>0.1</v>
      </c>
      <c r="F83" s="3275">
        <v>15</v>
      </c>
    </row>
    <row r="84" spans="1:6" s="1025" customFormat="1" ht="24">
      <c r="A84" s="3275">
        <v>12</v>
      </c>
      <c r="B84" s="3939"/>
      <c r="C84" s="3253" t="s">
        <v>2553</v>
      </c>
      <c r="D84" s="3253" t="s">
        <v>2554</v>
      </c>
      <c r="E84" s="3276">
        <v>0.1</v>
      </c>
      <c r="F84" s="3275">
        <v>15</v>
      </c>
    </row>
    <row r="85" spans="1:6" s="1025" customFormat="1">
      <c r="A85" s="3275">
        <v>13</v>
      </c>
      <c r="B85" s="3939"/>
      <c r="C85" s="3253" t="s">
        <v>2555</v>
      </c>
      <c r="D85" s="3253" t="s">
        <v>2556</v>
      </c>
      <c r="E85" s="3276">
        <v>0.1</v>
      </c>
      <c r="F85" s="3275">
        <v>15</v>
      </c>
    </row>
    <row r="86" spans="1:6" s="1025" customFormat="1">
      <c r="A86" s="3275">
        <v>14</v>
      </c>
      <c r="B86" s="3939"/>
      <c r="C86" s="3253" t="s">
        <v>2557</v>
      </c>
      <c r="D86" s="3253" t="s">
        <v>2558</v>
      </c>
      <c r="E86" s="3276">
        <v>0.1</v>
      </c>
      <c r="F86" s="3275">
        <v>15</v>
      </c>
    </row>
    <row r="87" spans="1:6" s="1025" customFormat="1">
      <c r="A87" s="3275">
        <v>15</v>
      </c>
      <c r="B87" s="3939"/>
      <c r="C87" s="3253" t="s">
        <v>2559</v>
      </c>
      <c r="D87" s="3253" t="s">
        <v>2560</v>
      </c>
      <c r="E87" s="3276">
        <v>0.1</v>
      </c>
      <c r="F87" s="3275">
        <v>15</v>
      </c>
    </row>
    <row r="88" spans="1:6" s="1025" customFormat="1" ht="24">
      <c r="A88" s="3275">
        <v>16</v>
      </c>
      <c r="B88" s="3939"/>
      <c r="C88" s="3253" t="s">
        <v>2561</v>
      </c>
      <c r="D88" s="3253" t="s">
        <v>2562</v>
      </c>
      <c r="E88" s="3276">
        <v>0.1</v>
      </c>
      <c r="F88" s="3275">
        <v>15</v>
      </c>
    </row>
    <row r="89" spans="1:6" s="1025" customFormat="1" ht="24">
      <c r="A89" s="3275">
        <v>17</v>
      </c>
      <c r="B89" s="3938"/>
      <c r="C89" s="3253" t="s">
        <v>2563</v>
      </c>
      <c r="D89" s="3253" t="s">
        <v>2564</v>
      </c>
      <c r="E89" s="3276">
        <v>0.1</v>
      </c>
      <c r="F89" s="3275">
        <v>15</v>
      </c>
    </row>
    <row r="90" spans="1:6" s="1025" customFormat="1">
      <c r="A90" s="3275">
        <v>18</v>
      </c>
      <c r="B90" s="3937" t="s">
        <v>2565</v>
      </c>
      <c r="C90" s="3253" t="s">
        <v>2566</v>
      </c>
      <c r="D90" s="3253" t="s">
        <v>2567</v>
      </c>
      <c r="E90" s="3276">
        <v>0.2</v>
      </c>
      <c r="F90" s="3275">
        <v>25</v>
      </c>
    </row>
    <row r="91" spans="1:6" s="1025" customFormat="1" ht="24">
      <c r="A91" s="3275">
        <v>19</v>
      </c>
      <c r="B91" s="3939"/>
      <c r="C91" s="3253" t="s">
        <v>2568</v>
      </c>
      <c r="D91" s="3253" t="s">
        <v>2569</v>
      </c>
      <c r="E91" s="3276">
        <v>0.2</v>
      </c>
      <c r="F91" s="3275">
        <v>25</v>
      </c>
    </row>
    <row r="92" spans="1:6" s="1025" customFormat="1">
      <c r="A92" s="3275">
        <v>20</v>
      </c>
      <c r="B92" s="3939"/>
      <c r="C92" s="3253" t="s">
        <v>2570</v>
      </c>
      <c r="D92" s="3253" t="s">
        <v>2571</v>
      </c>
      <c r="E92" s="3276">
        <v>0.15</v>
      </c>
      <c r="F92" s="3275">
        <v>20</v>
      </c>
    </row>
    <row r="93" spans="1:6" s="1025" customFormat="1" ht="24">
      <c r="A93" s="3275">
        <v>21</v>
      </c>
      <c r="B93" s="3939"/>
      <c r="C93" s="3253" t="s">
        <v>2572</v>
      </c>
      <c r="D93" s="3253" t="s">
        <v>2573</v>
      </c>
      <c r="E93" s="3276">
        <v>0.15</v>
      </c>
      <c r="F93" s="3275">
        <v>20</v>
      </c>
    </row>
    <row r="94" spans="1:6" s="1025" customFormat="1" ht="24">
      <c r="A94" s="3275">
        <v>22</v>
      </c>
      <c r="B94" s="3939"/>
      <c r="C94" s="3253" t="s">
        <v>2574</v>
      </c>
      <c r="D94" s="3253" t="s">
        <v>2575</v>
      </c>
      <c r="E94" s="3276">
        <v>0.15</v>
      </c>
      <c r="F94" s="3275">
        <v>20</v>
      </c>
    </row>
    <row r="95" spans="1:6" s="1025" customFormat="1" ht="36">
      <c r="A95" s="3275">
        <v>23</v>
      </c>
      <c r="B95" s="3939"/>
      <c r="C95" s="3253" t="s">
        <v>2576</v>
      </c>
      <c r="D95" s="3253" t="s">
        <v>2577</v>
      </c>
      <c r="E95" s="3276">
        <v>0.15</v>
      </c>
      <c r="F95" s="3275">
        <v>20</v>
      </c>
    </row>
    <row r="96" spans="1:6" s="1025" customFormat="1">
      <c r="A96" s="3275">
        <v>24</v>
      </c>
      <c r="B96" s="3939"/>
      <c r="C96" s="3253" t="s">
        <v>2578</v>
      </c>
      <c r="D96" s="3253" t="s">
        <v>2579</v>
      </c>
      <c r="E96" s="3276">
        <v>0.1</v>
      </c>
      <c r="F96" s="3275">
        <v>15</v>
      </c>
    </row>
    <row r="97" spans="1:6" s="1025" customFormat="1" ht="24">
      <c r="A97" s="3275">
        <v>25</v>
      </c>
      <c r="B97" s="3939"/>
      <c r="C97" s="3253" t="s">
        <v>2580</v>
      </c>
      <c r="D97" s="3253" t="s">
        <v>2581</v>
      </c>
      <c r="E97" s="3276">
        <v>0.1</v>
      </c>
      <c r="F97" s="3275">
        <v>15</v>
      </c>
    </row>
    <row r="98" spans="1:6" s="1025" customFormat="1" ht="24">
      <c r="A98" s="3275">
        <v>26</v>
      </c>
      <c r="B98" s="3939"/>
      <c r="C98" s="3253" t="s">
        <v>2582</v>
      </c>
      <c r="D98" s="3253" t="s">
        <v>2583</v>
      </c>
      <c r="E98" s="3276">
        <v>0.1</v>
      </c>
      <c r="F98" s="3275">
        <v>15</v>
      </c>
    </row>
    <row r="99" spans="1:6" s="1025" customFormat="1" ht="24">
      <c r="A99" s="3275">
        <v>27</v>
      </c>
      <c r="B99" s="3939"/>
      <c r="C99" s="3253" t="s">
        <v>2584</v>
      </c>
      <c r="D99" s="3253" t="s">
        <v>2585</v>
      </c>
      <c r="E99" s="3276">
        <v>0.1</v>
      </c>
      <c r="F99" s="3275">
        <v>15</v>
      </c>
    </row>
    <row r="100" spans="1:6" s="1025" customFormat="1" ht="24">
      <c r="A100" s="3275">
        <v>28</v>
      </c>
      <c r="B100" s="3939"/>
      <c r="C100" s="3253" t="s">
        <v>2586</v>
      </c>
      <c r="D100" s="3253" t="s">
        <v>2587</v>
      </c>
      <c r="E100" s="3276">
        <v>0.1</v>
      </c>
      <c r="F100" s="3275">
        <v>15</v>
      </c>
    </row>
    <row r="101" spans="1:6" s="1025" customFormat="1" ht="24">
      <c r="A101" s="3275">
        <v>29</v>
      </c>
      <c r="B101" s="3939"/>
      <c r="C101" s="3253" t="s">
        <v>2588</v>
      </c>
      <c r="D101" s="3253" t="s">
        <v>2589</v>
      </c>
      <c r="E101" s="3276">
        <v>0.1</v>
      </c>
      <c r="F101" s="3275">
        <v>15</v>
      </c>
    </row>
    <row r="102" spans="1:6" s="1025" customFormat="1" ht="24">
      <c r="A102" s="3275">
        <v>30</v>
      </c>
      <c r="B102" s="3939"/>
      <c r="C102" s="3253" t="s">
        <v>2590</v>
      </c>
      <c r="D102" s="3253" t="s">
        <v>2591</v>
      </c>
      <c r="E102" s="3276">
        <v>0.1</v>
      </c>
      <c r="F102" s="3275">
        <v>15</v>
      </c>
    </row>
    <row r="103" spans="1:6" s="1025" customFormat="1" ht="24">
      <c r="A103" s="3275">
        <v>31</v>
      </c>
      <c r="B103" s="3939"/>
      <c r="C103" s="3253" t="s">
        <v>2592</v>
      </c>
      <c r="D103" s="3253" t="s">
        <v>2593</v>
      </c>
      <c r="E103" s="3276">
        <v>0.1</v>
      </c>
      <c r="F103" s="3275">
        <v>15</v>
      </c>
    </row>
    <row r="104" spans="1:6" s="1025" customFormat="1" ht="24">
      <c r="A104" s="3275">
        <v>32</v>
      </c>
      <c r="B104" s="3939"/>
      <c r="C104" s="3253" t="s">
        <v>2594</v>
      </c>
      <c r="D104" s="3253" t="s">
        <v>2595</v>
      </c>
      <c r="E104" s="3276">
        <v>0.1</v>
      </c>
      <c r="F104" s="3275">
        <v>15</v>
      </c>
    </row>
    <row r="105" spans="1:6" s="1025" customFormat="1" ht="24">
      <c r="A105" s="3275">
        <v>33</v>
      </c>
      <c r="B105" s="3939"/>
      <c r="C105" s="3253" t="s">
        <v>2596</v>
      </c>
      <c r="D105" s="3253" t="s">
        <v>2597</v>
      </c>
      <c r="E105" s="3276">
        <v>0.1</v>
      </c>
      <c r="F105" s="3275">
        <v>15</v>
      </c>
    </row>
    <row r="106" spans="1:6" s="1025" customFormat="1" ht="24">
      <c r="A106" s="3275">
        <v>34</v>
      </c>
      <c r="B106" s="3938"/>
      <c r="C106" s="3253" t="s">
        <v>2598</v>
      </c>
      <c r="D106" s="3253" t="s">
        <v>2599</v>
      </c>
      <c r="E106" s="3276">
        <v>0.1</v>
      </c>
      <c r="F106" s="3275">
        <v>15</v>
      </c>
    </row>
    <row r="107" spans="1:6" s="1025" customFormat="1" ht="24">
      <c r="A107" s="3275">
        <v>35</v>
      </c>
      <c r="B107" s="3937" t="s">
        <v>2600</v>
      </c>
      <c r="C107" s="3275" t="s">
        <v>2601</v>
      </c>
      <c r="D107" s="3253" t="s">
        <v>2602</v>
      </c>
      <c r="E107" s="3276">
        <v>0.15</v>
      </c>
      <c r="F107" s="3275">
        <v>20</v>
      </c>
    </row>
    <row r="108" spans="1:6" s="1025" customFormat="1" ht="24">
      <c r="A108" s="3275">
        <v>36</v>
      </c>
      <c r="B108" s="3939"/>
      <c r="C108" s="3275" t="s">
        <v>2603</v>
      </c>
      <c r="D108" s="3253" t="s">
        <v>2604</v>
      </c>
      <c r="E108" s="3276">
        <v>0.15</v>
      </c>
      <c r="F108" s="3275">
        <v>20</v>
      </c>
    </row>
    <row r="109" spans="1:6" s="1025" customFormat="1" ht="24">
      <c r="A109" s="3275">
        <v>37</v>
      </c>
      <c r="B109" s="3939"/>
      <c r="C109" s="3275" t="s">
        <v>2605</v>
      </c>
      <c r="D109" s="3253" t="s">
        <v>2606</v>
      </c>
      <c r="E109" s="3276">
        <v>0.15</v>
      </c>
      <c r="F109" s="3275">
        <v>20</v>
      </c>
    </row>
    <row r="110" spans="1:6" s="1025" customFormat="1">
      <c r="A110" s="3275">
        <v>38</v>
      </c>
      <c r="B110" s="3939"/>
      <c r="C110" s="3275" t="s">
        <v>2607</v>
      </c>
      <c r="D110" s="3253" t="s">
        <v>2608</v>
      </c>
      <c r="E110" s="3276">
        <v>0.1</v>
      </c>
      <c r="F110" s="3275">
        <v>15</v>
      </c>
    </row>
    <row r="111" spans="1:6" s="1025" customFormat="1" ht="24">
      <c r="A111" s="3275">
        <v>39</v>
      </c>
      <c r="B111" s="3939"/>
      <c r="C111" s="3275" t="s">
        <v>2609</v>
      </c>
      <c r="D111" s="3253" t="s">
        <v>2610</v>
      </c>
      <c r="E111" s="3276">
        <v>0.1</v>
      </c>
      <c r="F111" s="3275">
        <v>15</v>
      </c>
    </row>
    <row r="112" spans="1:6" s="1025" customFormat="1" ht="24">
      <c r="A112" s="3275">
        <v>40</v>
      </c>
      <c r="B112" s="3938"/>
      <c r="C112" s="3275" t="s">
        <v>2611</v>
      </c>
      <c r="D112" s="3253" t="s">
        <v>2612</v>
      </c>
      <c r="E112" s="3276">
        <v>0.1</v>
      </c>
      <c r="F112" s="3275">
        <v>15</v>
      </c>
    </row>
    <row r="113" spans="1:6" s="1025" customFormat="1" ht="24">
      <c r="A113" s="3275">
        <v>41</v>
      </c>
      <c r="B113" s="3936" t="s">
        <v>2613</v>
      </c>
      <c r="C113" s="3275" t="s">
        <v>2614</v>
      </c>
      <c r="D113" s="3253" t="s">
        <v>2615</v>
      </c>
      <c r="E113" s="3276">
        <v>0.1</v>
      </c>
      <c r="F113" s="3275">
        <v>15</v>
      </c>
    </row>
    <row r="114" spans="1:6" s="1025" customFormat="1">
      <c r="A114" s="3275">
        <v>42</v>
      </c>
      <c r="B114" s="3936"/>
      <c r="C114" s="3275" t="s">
        <v>2616</v>
      </c>
      <c r="D114" s="3253" t="s">
        <v>2617</v>
      </c>
      <c r="E114" s="3276">
        <v>0.1</v>
      </c>
      <c r="F114" s="3275">
        <v>15</v>
      </c>
    </row>
    <row r="115" spans="1:6" s="1025" customFormat="1" ht="24">
      <c r="A115" s="3275">
        <v>43</v>
      </c>
      <c r="B115" s="3936"/>
      <c r="C115" s="3275" t="s">
        <v>2618</v>
      </c>
      <c r="D115" s="3253" t="s">
        <v>2619</v>
      </c>
      <c r="E115" s="3276">
        <v>0.1</v>
      </c>
      <c r="F115" s="3275">
        <v>15</v>
      </c>
    </row>
    <row r="116" spans="1:6" s="1025" customFormat="1" ht="24">
      <c r="A116" s="3275">
        <v>44</v>
      </c>
      <c r="B116" s="3937" t="s">
        <v>2620</v>
      </c>
      <c r="C116" s="3275" t="s">
        <v>2621</v>
      </c>
      <c r="D116" s="3253" t="s">
        <v>2622</v>
      </c>
      <c r="E116" s="3276">
        <v>0.1</v>
      </c>
      <c r="F116" s="3275">
        <v>15</v>
      </c>
    </row>
    <row r="117" spans="1:6" s="1025" customFormat="1" ht="24">
      <c r="A117" s="3275">
        <v>45</v>
      </c>
      <c r="B117" s="3938"/>
      <c r="C117" s="3253" t="s">
        <v>2623</v>
      </c>
      <c r="D117" s="3253" t="s">
        <v>2624</v>
      </c>
      <c r="E117" s="3276">
        <v>0.1</v>
      </c>
      <c r="F117" s="3275">
        <v>15</v>
      </c>
    </row>
    <row r="118" spans="1:6" s="1025" customFormat="1" ht="24">
      <c r="A118" s="3275">
        <v>46</v>
      </c>
      <c r="B118" s="3937" t="s">
        <v>2625</v>
      </c>
      <c r="C118" s="3275" t="s">
        <v>2626</v>
      </c>
      <c r="D118" s="3253" t="s">
        <v>2627</v>
      </c>
      <c r="E118" s="3276">
        <v>0.1</v>
      </c>
      <c r="F118" s="3275">
        <v>15</v>
      </c>
    </row>
    <row r="119" spans="1:6" s="1025" customFormat="1" ht="24">
      <c r="A119" s="3275">
        <v>47</v>
      </c>
      <c r="B119" s="3938"/>
      <c r="C119" s="3275" t="s">
        <v>2628</v>
      </c>
      <c r="D119" s="3253" t="s">
        <v>2629</v>
      </c>
      <c r="E119" s="3276">
        <v>0.1</v>
      </c>
      <c r="F119" s="3275">
        <v>15</v>
      </c>
    </row>
    <row r="120" spans="1:6" s="1025" customFormat="1" ht="24">
      <c r="A120" s="3275">
        <v>48</v>
      </c>
      <c r="B120" s="3937" t="s">
        <v>2630</v>
      </c>
      <c r="C120" s="3275" t="s">
        <v>2631</v>
      </c>
      <c r="D120" s="3253" t="s">
        <v>2632</v>
      </c>
      <c r="E120" s="3276">
        <v>0.1</v>
      </c>
      <c r="F120" s="3275">
        <v>15</v>
      </c>
    </row>
    <row r="121" spans="1:6" s="1025" customFormat="1">
      <c r="A121" s="3275">
        <v>49</v>
      </c>
      <c r="B121" s="3938"/>
      <c r="C121" s="3275" t="s">
        <v>2633</v>
      </c>
      <c r="D121" s="3253" t="s">
        <v>2634</v>
      </c>
      <c r="E121" s="3276">
        <v>0.1</v>
      </c>
      <c r="F121" s="3275">
        <v>15</v>
      </c>
    </row>
    <row r="122" spans="1:6" s="1025" customFormat="1" ht="24">
      <c r="A122" s="3275">
        <v>50</v>
      </c>
      <c r="B122" s="3936" t="s">
        <v>2635</v>
      </c>
      <c r="C122" s="3275" t="s">
        <v>2636</v>
      </c>
      <c r="D122" s="3253" t="s">
        <v>2637</v>
      </c>
      <c r="E122" s="3276">
        <v>0.1</v>
      </c>
      <c r="F122" s="3275">
        <v>15</v>
      </c>
    </row>
    <row r="123" spans="1:6" s="1025" customFormat="1" ht="24">
      <c r="A123" s="3275">
        <v>51</v>
      </c>
      <c r="B123" s="3936"/>
      <c r="C123" s="3275" t="s">
        <v>2638</v>
      </c>
      <c r="D123" s="3253" t="s">
        <v>2639</v>
      </c>
      <c r="E123" s="3276">
        <v>0.1</v>
      </c>
      <c r="F123" s="3275">
        <v>15</v>
      </c>
    </row>
    <row r="124" spans="1:6" s="1025" customFormat="1" ht="24">
      <c r="A124" s="3275">
        <v>52</v>
      </c>
      <c r="B124" s="3936" t="s">
        <v>2640</v>
      </c>
      <c r="C124" s="3275" t="s">
        <v>2641</v>
      </c>
      <c r="D124" s="3253" t="s">
        <v>2642</v>
      </c>
      <c r="E124" s="3276">
        <v>0.1</v>
      </c>
      <c r="F124" s="3275">
        <v>15</v>
      </c>
    </row>
    <row r="125" spans="1:6" s="1025" customFormat="1" ht="24">
      <c r="A125" s="3275">
        <v>53</v>
      </c>
      <c r="B125" s="3936"/>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36" t="s">
        <v>2648</v>
      </c>
      <c r="C127" s="3275" t="s">
        <v>2649</v>
      </c>
      <c r="D127" s="3253" t="s">
        <v>2650</v>
      </c>
      <c r="E127" s="3276">
        <v>0.1</v>
      </c>
      <c r="F127" s="3275">
        <v>15</v>
      </c>
    </row>
    <row r="128" spans="1:6">
      <c r="A128" s="3275">
        <v>56</v>
      </c>
      <c r="B128" s="3936"/>
      <c r="C128" s="3275" t="s">
        <v>2651</v>
      </c>
      <c r="D128" s="3253" t="s">
        <v>2652</v>
      </c>
      <c r="E128" s="3276">
        <v>0.1</v>
      </c>
      <c r="F128" s="3275">
        <v>15</v>
      </c>
    </row>
    <row r="129" spans="1:14" ht="24">
      <c r="A129" s="3275">
        <v>57</v>
      </c>
      <c r="B129" s="3936"/>
      <c r="C129" s="3275" t="s">
        <v>2653</v>
      </c>
      <c r="D129" s="3253" t="s">
        <v>2654</v>
      </c>
      <c r="E129" s="3276">
        <v>0.1</v>
      </c>
      <c r="F129" s="3275">
        <v>15</v>
      </c>
    </row>
    <row r="130" spans="1:14" ht="24">
      <c r="A130" s="3275">
        <v>58</v>
      </c>
      <c r="B130" s="3936" t="s">
        <v>2655</v>
      </c>
      <c r="C130" s="3275" t="s">
        <v>2656</v>
      </c>
      <c r="D130" s="3253" t="s">
        <v>2657</v>
      </c>
      <c r="E130" s="3276">
        <v>0.1</v>
      </c>
      <c r="F130" s="3275">
        <v>15</v>
      </c>
    </row>
    <row r="131" spans="1:14" ht="24">
      <c r="A131" s="3275">
        <v>59</v>
      </c>
      <c r="B131" s="3936"/>
      <c r="C131" s="3275" t="s">
        <v>2658</v>
      </c>
      <c r="D131" s="3253" t="s">
        <v>2659</v>
      </c>
      <c r="E131" s="3276">
        <v>0.1</v>
      </c>
      <c r="F131" s="3275">
        <v>15</v>
      </c>
    </row>
    <row r="132" spans="1:14" ht="24">
      <c r="A132" s="3275">
        <v>60</v>
      </c>
      <c r="B132" s="3937" t="s">
        <v>2660</v>
      </c>
      <c r="C132" s="3275" t="s">
        <v>2661</v>
      </c>
      <c r="D132" s="3253" t="s">
        <v>2662</v>
      </c>
      <c r="E132" s="3276">
        <v>0.1</v>
      </c>
      <c r="F132" s="3275">
        <v>15</v>
      </c>
    </row>
    <row r="133" spans="1:14" ht="24">
      <c r="A133" s="3275">
        <v>61</v>
      </c>
      <c r="B133" s="3938"/>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36" t="s">
        <v>2668</v>
      </c>
      <c r="C135" s="3275" t="s">
        <v>2669</v>
      </c>
      <c r="D135" s="3253" t="s">
        <v>2670</v>
      </c>
      <c r="E135" s="3276">
        <v>0.1</v>
      </c>
      <c r="F135" s="3275">
        <v>15</v>
      </c>
    </row>
    <row r="136" spans="1:14">
      <c r="A136" s="3275">
        <v>64</v>
      </c>
      <c r="B136" s="3936"/>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2817</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50"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51"/>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SUMPRODUCT((B127:B189='基准地价-住宅'!I2)*(C3:G3='基准地价-住宅'!E2)*(C127:G189))</f>
        <v>14130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3192</v>
      </c>
      <c r="B1" s="3952"/>
      <c r="C1" s="3952"/>
      <c r="D1" s="3952"/>
      <c r="E1" s="3952"/>
      <c r="F1" s="3953"/>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3030</v>
      </c>
      <c r="B1" s="3954"/>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6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6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6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6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6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6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6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6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6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6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6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6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6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6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6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6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2793</v>
      </c>
      <c r="C1" s="3349"/>
      <c r="D1" s="3349"/>
      <c r="E1" s="3349"/>
      <c r="F1" s="3349"/>
      <c r="G1" s="3349"/>
      <c r="H1" s="3349"/>
      <c r="I1" s="3349"/>
      <c r="J1" s="3350"/>
      <c r="K1" s="3349" t="s">
        <v>2794</v>
      </c>
      <c r="L1" s="3349"/>
      <c r="M1" s="3349"/>
      <c r="N1" s="3349"/>
      <c r="O1" s="3349"/>
      <c r="P1" s="3349"/>
      <c r="Q1" s="3350"/>
      <c r="R1" s="3966" t="s">
        <v>2803</v>
      </c>
      <c r="S1" s="3967"/>
      <c r="T1" s="3967"/>
      <c r="U1" s="3967"/>
      <c r="V1" s="3967"/>
      <c r="W1" s="3967"/>
      <c r="X1" s="3350"/>
      <c r="Y1" s="3966" t="s">
        <v>2814</v>
      </c>
      <c r="Z1" s="3967"/>
      <c r="AA1" s="3967"/>
      <c r="AB1" s="3967"/>
      <c r="AC1" s="3967"/>
      <c r="AD1" s="3967"/>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66" t="s">
        <v>2810</v>
      </c>
      <c r="S21" s="3967"/>
      <c r="T21" s="3967"/>
      <c r="U21" s="3967"/>
      <c r="V21" s="3967"/>
      <c r="W21" s="3967"/>
      <c r="X21" s="3350"/>
      <c r="Y21" s="3966" t="s">
        <v>1925</v>
      </c>
      <c r="Z21" s="3967"/>
      <c r="AA21" s="3967"/>
      <c r="AB21" s="3967"/>
      <c r="AC21" s="3967"/>
      <c r="AD21" s="3967"/>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70</v>
      </c>
      <c r="K53" s="3975" t="s">
        <v>2226</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83" t="s">
        <v>2303</v>
      </c>
      <c r="K2" s="3984"/>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85" t="s">
        <v>2313</v>
      </c>
      <c r="K3" s="3986"/>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85" t="s">
        <v>2315</v>
      </c>
      <c r="K4" s="3986"/>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91" t="s">
        <v>2319</v>
      </c>
      <c r="B6" s="3992"/>
      <c r="C6" s="3993"/>
      <c r="D6" s="3098"/>
      <c r="E6" s="3099"/>
      <c r="F6" s="3100"/>
      <c r="G6" s="3101"/>
      <c r="H6" s="3076"/>
      <c r="I6" s="3077"/>
      <c r="J6" s="3977">
        <v>1</v>
      </c>
      <c r="K6" s="3978"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77"/>
      <c r="K7" s="3979"/>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94" t="s">
        <v>2333</v>
      </c>
      <c r="C8" s="3995"/>
      <c r="D8" s="3117" t="s">
        <v>2334</v>
      </c>
      <c r="E8" s="3118" t="s">
        <v>2335</v>
      </c>
      <c r="F8" s="3119" t="s">
        <v>2336</v>
      </c>
      <c r="G8" s="3120"/>
      <c r="H8" s="3076"/>
      <c r="I8" s="3077"/>
      <c r="J8" s="3977"/>
      <c r="K8" s="3979"/>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94" t="s">
        <v>2339</v>
      </c>
      <c r="C9" s="3995"/>
      <c r="D9" s="3117">
        <f>ROUND(D6*E9,0)</f>
        <v>0</v>
      </c>
      <c r="E9" s="3121"/>
      <c r="F9" s="3122" t="s">
        <v>2340</v>
      </c>
      <c r="G9" s="3101"/>
      <c r="H9" s="3076"/>
      <c r="I9" s="3077"/>
      <c r="J9" s="3977"/>
      <c r="K9" s="3979"/>
      <c r="L9" s="3111" t="s">
        <v>2341</v>
      </c>
      <c r="M9" s="3112"/>
      <c r="N9" s="3088"/>
      <c r="O9" s="3113"/>
      <c r="P9" s="3113"/>
      <c r="Q9" s="3114">
        <v>365</v>
      </c>
      <c r="R9" s="3115">
        <f t="shared" si="0"/>
        <v>0</v>
      </c>
      <c r="S9" s="3068"/>
      <c r="T9" s="3068"/>
      <c r="U9" s="3068"/>
      <c r="V9" s="3077"/>
    </row>
    <row r="10" spans="1:22" s="3081" customFormat="1" ht="13.15" customHeight="1">
      <c r="A10" s="3116">
        <v>2</v>
      </c>
      <c r="B10" s="3994" t="s">
        <v>2342</v>
      </c>
      <c r="C10" s="3995"/>
      <c r="D10" s="3117">
        <f>ROUND(D6*E10,0)</f>
        <v>0</v>
      </c>
      <c r="E10" s="3121"/>
      <c r="F10" s="3122" t="s">
        <v>2343</v>
      </c>
      <c r="G10" s="3101"/>
      <c r="H10" s="3076"/>
      <c r="I10" s="3077"/>
      <c r="J10" s="3977"/>
      <c r="K10" s="3979"/>
      <c r="L10" s="3111" t="s">
        <v>2344</v>
      </c>
      <c r="M10" s="3112"/>
      <c r="N10" s="3088"/>
      <c r="O10" s="3113"/>
      <c r="P10" s="3113"/>
      <c r="Q10" s="3114">
        <v>365</v>
      </c>
      <c r="R10" s="3115">
        <f t="shared" si="0"/>
        <v>0</v>
      </c>
      <c r="S10" s="3068"/>
      <c r="T10" s="3068"/>
      <c r="U10" s="3068"/>
      <c r="V10" s="3077"/>
    </row>
    <row r="11" spans="1:22" s="3081" customFormat="1" ht="13.15" customHeight="1">
      <c r="A11" s="3116">
        <v>3</v>
      </c>
      <c r="B11" s="3994" t="s">
        <v>2345</v>
      </c>
      <c r="C11" s="3995"/>
      <c r="D11" s="3117">
        <f>D12+D14+D15+D16</f>
        <v>0</v>
      </c>
      <c r="E11" s="3123" t="e">
        <f>D11/D6</f>
        <v>#DIV/0!</v>
      </c>
      <c r="F11" s="3119"/>
      <c r="G11" s="3120"/>
      <c r="H11" s="3076"/>
      <c r="I11" s="3077"/>
      <c r="J11" s="3977"/>
      <c r="K11" s="3979"/>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87" t="s">
        <v>2348</v>
      </c>
      <c r="C12" s="3988"/>
      <c r="D12" s="3125">
        <f>ROUND(D13*1.2%*(1-30%),0)</f>
        <v>0</v>
      </c>
      <c r="E12" s="3126">
        <v>1.2E-2</v>
      </c>
      <c r="F12" s="3119" t="s">
        <v>2349</v>
      </c>
      <c r="G12" s="3120"/>
      <c r="H12" s="3076"/>
      <c r="I12" s="3077"/>
      <c r="J12" s="3977"/>
      <c r="K12" s="3979"/>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77"/>
      <c r="K13" s="3979"/>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87" t="s">
        <v>2354</v>
      </c>
      <c r="C14" s="3988"/>
      <c r="D14" s="3125">
        <f>ROUND(E14*B5/10000,0)</f>
        <v>0</v>
      </c>
      <c r="E14" s="3114"/>
      <c r="F14" s="3119" t="s">
        <v>2355</v>
      </c>
      <c r="G14" s="3120"/>
      <c r="H14" s="3076"/>
      <c r="I14" s="3077"/>
      <c r="J14" s="3977"/>
      <c r="K14" s="3980"/>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87" t="s">
        <v>2358</v>
      </c>
      <c r="C15" s="3988"/>
      <c r="D15" s="3125">
        <f>ROUND(D6*E15,0)</f>
        <v>0</v>
      </c>
      <c r="E15" s="3126">
        <v>5.5E-2</v>
      </c>
      <c r="F15" s="3119" t="s">
        <v>2359</v>
      </c>
      <c r="G15" s="3101"/>
      <c r="H15" s="3076"/>
      <c r="I15" s="3077"/>
      <c r="J15" s="3977">
        <v>2</v>
      </c>
      <c r="K15" s="3978"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87" t="s">
        <v>2369</v>
      </c>
      <c r="C16" s="3988"/>
      <c r="D16" s="3136">
        <f>D6*E16</f>
        <v>0</v>
      </c>
      <c r="E16" s="3137"/>
      <c r="F16" s="3122" t="s">
        <v>2370</v>
      </c>
      <c r="G16" s="3101"/>
      <c r="H16" s="3076"/>
      <c r="I16" s="3077"/>
      <c r="J16" s="3977"/>
      <c r="K16" s="3979"/>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89" t="s">
        <v>2372</v>
      </c>
      <c r="C17" s="3990"/>
      <c r="D17" s="3139">
        <f>ROUND(D6*E17,0)</f>
        <v>0</v>
      </c>
      <c r="E17" s="3140"/>
      <c r="F17" s="3141" t="s">
        <v>2373</v>
      </c>
      <c r="G17" s="3101"/>
      <c r="H17" s="3076"/>
      <c r="I17" s="3077"/>
      <c r="J17" s="3977"/>
      <c r="K17" s="3979"/>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77"/>
      <c r="K18" s="3979"/>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77"/>
      <c r="K19" s="3980"/>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7">
        <v>3</v>
      </c>
      <c r="K20" s="3978"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77"/>
      <c r="K21" s="3979"/>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77"/>
      <c r="K22" s="3979"/>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77"/>
      <c r="K23" s="3979"/>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77"/>
      <c r="K24" s="3980"/>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81">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8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83" t="s">
        <v>2415</v>
      </c>
      <c r="K32" s="3984"/>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85" t="s">
        <v>2419</v>
      </c>
      <c r="K33" s="3986"/>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85" t="s">
        <v>2421</v>
      </c>
      <c r="K34" s="3986"/>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77">
        <v>1</v>
      </c>
      <c r="K36" s="3978"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77"/>
      <c r="K37" s="3979"/>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7"/>
      <c r="K38" s="3979"/>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77"/>
      <c r="K39" s="3979"/>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77"/>
      <c r="K40" s="3980"/>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1">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8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88945</v>
      </c>
      <c r="D13" s="3013">
        <f>'数据-汇总表'!E6</f>
        <v>4447250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8" t="s">
        <v>471</v>
      </c>
      <c r="D4" s="3909"/>
      <c r="E4" s="3930" t="s">
        <v>472</v>
      </c>
      <c r="F4" s="3931"/>
      <c r="G4" s="3908" t="s">
        <v>473</v>
      </c>
      <c r="H4" s="3909"/>
      <c r="I4" s="3908" t="s">
        <v>474</v>
      </c>
      <c r="J4" s="3909"/>
      <c r="K4" s="818"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2192</v>
      </c>
      <c r="D5" s="3920"/>
      <c r="E5" s="3932" t="s">
        <v>2193</v>
      </c>
      <c r="F5" s="3933"/>
      <c r="G5" s="3919" t="s">
        <v>2194</v>
      </c>
      <c r="H5" s="3920"/>
      <c r="I5" s="3919" t="s">
        <v>2195</v>
      </c>
      <c r="J5" s="3920"/>
      <c r="K5" s="819"/>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819"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2" t="s">
        <v>479</v>
      </c>
      <c r="Q7" s="3901"/>
      <c r="R7" s="1381" t="s">
        <v>10</v>
      </c>
      <c r="S7" s="1382">
        <f t="shared" ref="S7:S15" si="0">F7</f>
        <v>0</v>
      </c>
      <c r="T7" s="1381" t="s">
        <v>10</v>
      </c>
      <c r="U7" s="1382">
        <f t="shared" ref="U7:U15" si="1">H7</f>
        <v>0</v>
      </c>
      <c r="V7" s="1381" t="s">
        <v>10</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2" t="s">
        <v>482</v>
      </c>
      <c r="Q8" s="3893"/>
      <c r="R8" s="1381" t="s">
        <v>10</v>
      </c>
      <c r="S8" s="1382">
        <f t="shared" si="0"/>
        <v>0</v>
      </c>
      <c r="T8" s="1381" t="s">
        <v>10</v>
      </c>
      <c r="U8" s="1382">
        <f t="shared" si="1"/>
        <v>0</v>
      </c>
      <c r="V8" s="1381" t="s">
        <v>10</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0"/>
      <c r="Q11" s="1050" t="str">
        <f t="shared" si="6"/>
        <v>容积率</v>
      </c>
      <c r="R11" s="1381" t="s">
        <v>8</v>
      </c>
      <c r="S11" s="1382" t="e">
        <f t="shared" si="0"/>
        <v>#N/A</v>
      </c>
      <c r="T11" s="1381" t="s">
        <v>8</v>
      </c>
      <c r="U11" s="1382" t="e">
        <f t="shared" si="1"/>
        <v>#N/A</v>
      </c>
      <c r="V11" s="1381" t="s">
        <v>8</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0"/>
      <c r="Q12" s="1050">
        <f t="shared" si="6"/>
        <v>111</v>
      </c>
      <c r="R12" s="1381" t="s">
        <v>8</v>
      </c>
      <c r="S12" s="1382">
        <f t="shared" si="0"/>
        <v>100</v>
      </c>
      <c r="T12" s="1381" t="s">
        <v>8</v>
      </c>
      <c r="U12" s="1382">
        <f t="shared" si="1"/>
        <v>100</v>
      </c>
      <c r="V12" s="1381" t="s">
        <v>8</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0"/>
      <c r="Q13" s="1050">
        <f t="shared" si="6"/>
        <v>111</v>
      </c>
      <c r="R13" s="1381" t="s">
        <v>8</v>
      </c>
      <c r="S13" s="1382">
        <f t="shared" si="0"/>
        <v>100</v>
      </c>
      <c r="T13" s="1381" t="s">
        <v>8</v>
      </c>
      <c r="U13" s="1382">
        <f t="shared" si="1"/>
        <v>100</v>
      </c>
      <c r="V13" s="1381" t="s">
        <v>8</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0"/>
      <c r="Q14" s="1050">
        <f t="shared" si="6"/>
        <v>111</v>
      </c>
      <c r="R14" s="1381" t="s">
        <v>8</v>
      </c>
      <c r="S14" s="1382">
        <f t="shared" si="0"/>
        <v>100</v>
      </c>
      <c r="T14" s="1381" t="s">
        <v>8</v>
      </c>
      <c r="U14" s="1382">
        <f t="shared" si="1"/>
        <v>100</v>
      </c>
      <c r="V14" s="1381" t="s">
        <v>8</v>
      </c>
      <c r="W14" s="1382">
        <f t="shared" si="2"/>
        <v>100</v>
      </c>
      <c r="X14" s="1383"/>
      <c r="Y14" s="383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2" t="s">
        <v>489</v>
      </c>
      <c r="Q15" s="1385" t="str">
        <f t="shared" si="6"/>
        <v>居住社区成熟度</v>
      </c>
      <c r="R15" s="1386" t="s">
        <v>8</v>
      </c>
      <c r="S15" s="1387">
        <f t="shared" si="0"/>
        <v>100</v>
      </c>
      <c r="T15" s="1386" t="s">
        <v>8</v>
      </c>
      <c r="U15" s="1387">
        <f t="shared" si="1"/>
        <v>100</v>
      </c>
      <c r="V15" s="1386" t="s">
        <v>8</v>
      </c>
      <c r="W15" s="1387">
        <f t="shared" si="2"/>
        <v>100</v>
      </c>
      <c r="X15" s="1380"/>
      <c r="Y15" s="390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3"/>
      <c r="Q17" s="1385" t="str">
        <f>B17</f>
        <v>交通便捷度</v>
      </c>
      <c r="R17" s="1386" t="s">
        <v>8</v>
      </c>
      <c r="S17" s="1387">
        <f>F17</f>
        <v>100</v>
      </c>
      <c r="T17" s="1386" t="s">
        <v>8</v>
      </c>
      <c r="U17" s="1387">
        <f>H17</f>
        <v>100</v>
      </c>
      <c r="V17" s="1386" t="s">
        <v>8</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3"/>
      <c r="Q19" s="1385" t="str">
        <f>B19</f>
        <v>公共配套设施</v>
      </c>
      <c r="R19" s="1386" t="s">
        <v>8</v>
      </c>
      <c r="S19" s="1387">
        <f>F19</f>
        <v>100</v>
      </c>
      <c r="T19" s="1386" t="s">
        <v>8</v>
      </c>
      <c r="U19" s="1387">
        <f>H19</f>
        <v>100</v>
      </c>
      <c r="V19" s="1386" t="s">
        <v>8</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3"/>
      <c r="Q21" s="2193" t="str">
        <f>B21</f>
        <v>基础设施水平</v>
      </c>
      <c r="R21" s="1386" t="s">
        <v>8</v>
      </c>
      <c r="S21" s="1387">
        <f>F21</f>
        <v>100</v>
      </c>
      <c r="T21" s="1386" t="s">
        <v>8</v>
      </c>
      <c r="U21" s="1387">
        <f>H21</f>
        <v>100</v>
      </c>
      <c r="V21" s="1386" t="s">
        <v>8</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3"/>
      <c r="Q23" s="1385" t="str">
        <f>B23</f>
        <v>自然及人文环境</v>
      </c>
      <c r="R23" s="1386" t="s">
        <v>8</v>
      </c>
      <c r="S23" s="1387">
        <f>F23</f>
        <v>100</v>
      </c>
      <c r="T23" s="1386" t="s">
        <v>8</v>
      </c>
      <c r="U23" s="1387">
        <f>H23</f>
        <v>100</v>
      </c>
      <c r="V23" s="1386" t="s">
        <v>8</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3"/>
      <c r="Q25" s="1385" t="str">
        <f t="shared" ref="Q25:Q46" si="8">B25</f>
        <v>楼层-1</v>
      </c>
      <c r="R25" s="1386" t="s">
        <v>8</v>
      </c>
      <c r="S25" s="1387">
        <f>F25</f>
        <v>100</v>
      </c>
      <c r="T25" s="1386" t="s">
        <v>8</v>
      </c>
      <c r="U25" s="1387">
        <f>H25</f>
        <v>100</v>
      </c>
      <c r="V25" s="1386" t="s">
        <v>8</v>
      </c>
      <c r="W25" s="1387">
        <f>J25</f>
        <v>100</v>
      </c>
      <c r="X25" s="1380"/>
      <c r="Y25" s="390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3"/>
      <c r="Q26" s="1385" t="str">
        <f t="shared" si="8"/>
        <v>朝向</v>
      </c>
      <c r="R26" s="1386" t="s">
        <v>8</v>
      </c>
      <c r="S26" s="1387">
        <f>F26</f>
        <v>100</v>
      </c>
      <c r="T26" s="1386" t="s">
        <v>8</v>
      </c>
      <c r="U26" s="1387">
        <f>H26</f>
        <v>100</v>
      </c>
      <c r="V26" s="1386" t="s">
        <v>8</v>
      </c>
      <c r="W26" s="1387">
        <f>J26</f>
        <v>100</v>
      </c>
      <c r="X26" s="1380"/>
      <c r="Y26" s="390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3"/>
      <c r="Q27" s="1050" t="str">
        <f t="shared" si="8"/>
        <v>道路级别</v>
      </c>
      <c r="R27" s="1381" t="s">
        <v>8</v>
      </c>
      <c r="S27" s="1382">
        <f>F27</f>
        <v>100</v>
      </c>
      <c r="T27" s="1381" t="s">
        <v>8</v>
      </c>
      <c r="U27" s="1382">
        <f>H27</f>
        <v>100</v>
      </c>
      <c r="V27" s="1381" t="s">
        <v>8</v>
      </c>
      <c r="W27" s="1382">
        <f>J27</f>
        <v>100</v>
      </c>
      <c r="X27" s="1383"/>
      <c r="Y27" s="390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3"/>
      <c r="Q28" s="1385">
        <f t="shared" si="8"/>
        <v>111</v>
      </c>
      <c r="R28" s="1386" t="s">
        <v>8</v>
      </c>
      <c r="S28" s="1387">
        <f t="shared" ref="S28:S46" si="9">F28</f>
        <v>100</v>
      </c>
      <c r="T28" s="1386" t="s">
        <v>8</v>
      </c>
      <c r="U28" s="1387">
        <f t="shared" ref="U28:U46" si="10">H28</f>
        <v>100</v>
      </c>
      <c r="V28" s="1386" t="s">
        <v>8</v>
      </c>
      <c r="W28" s="1387">
        <f t="shared" ref="W28:W46" si="11">J28</f>
        <v>100</v>
      </c>
      <c r="X28" s="1380"/>
      <c r="Y28" s="390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3"/>
      <c r="Q29" s="1385">
        <f t="shared" si="8"/>
        <v>111</v>
      </c>
      <c r="R29" s="1386" t="s">
        <v>8</v>
      </c>
      <c r="S29" s="1387">
        <f t="shared" si="9"/>
        <v>100</v>
      </c>
      <c r="T29" s="1386" t="s">
        <v>8</v>
      </c>
      <c r="U29" s="1387">
        <f t="shared" si="10"/>
        <v>100</v>
      </c>
      <c r="V29" s="1386" t="s">
        <v>8</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3"/>
      <c r="Q30" s="1385">
        <f t="shared" si="8"/>
        <v>111</v>
      </c>
      <c r="R30" s="1386" t="s">
        <v>8</v>
      </c>
      <c r="S30" s="1387">
        <f t="shared" si="9"/>
        <v>100</v>
      </c>
      <c r="T30" s="1386" t="s">
        <v>8</v>
      </c>
      <c r="U30" s="1387">
        <f t="shared" si="10"/>
        <v>100</v>
      </c>
      <c r="V30" s="1386" t="s">
        <v>8</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3"/>
      <c r="Q31" s="1385">
        <f t="shared" si="8"/>
        <v>111</v>
      </c>
      <c r="R31" s="1386" t="s">
        <v>8</v>
      </c>
      <c r="S31" s="1387">
        <f t="shared" si="9"/>
        <v>100</v>
      </c>
      <c r="T31" s="1386" t="s">
        <v>8</v>
      </c>
      <c r="U31" s="1387">
        <f t="shared" si="10"/>
        <v>100</v>
      </c>
      <c r="V31" s="1386" t="s">
        <v>8</v>
      </c>
      <c r="W31" s="1387">
        <f t="shared" si="11"/>
        <v>100</v>
      </c>
      <c r="X31" s="1380"/>
      <c r="Y31" s="390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4" t="s">
        <v>499</v>
      </c>
      <c r="Q32" s="1385" t="str">
        <f t="shared" si="8"/>
        <v>建筑类型</v>
      </c>
      <c r="R32" s="1386" t="s">
        <v>8</v>
      </c>
      <c r="S32" s="1387">
        <f t="shared" si="9"/>
        <v>100</v>
      </c>
      <c r="T32" s="1386" t="s">
        <v>8</v>
      </c>
      <c r="U32" s="1387">
        <f t="shared" si="10"/>
        <v>100</v>
      </c>
      <c r="V32" s="1386" t="s">
        <v>8</v>
      </c>
      <c r="W32" s="1387">
        <f t="shared" si="11"/>
        <v>100</v>
      </c>
      <c r="X32" s="1380"/>
      <c r="Y32" s="390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5"/>
      <c r="Q33" s="1414" t="str">
        <f t="shared" si="8"/>
        <v>项目建筑规模</v>
      </c>
      <c r="R33" s="1390" t="s">
        <v>8</v>
      </c>
      <c r="S33" s="1391" t="e">
        <f t="shared" si="9"/>
        <v>#N/A</v>
      </c>
      <c r="T33" s="1390" t="s">
        <v>8</v>
      </c>
      <c r="U33" s="1391" t="e">
        <f t="shared" si="10"/>
        <v>#N/A</v>
      </c>
      <c r="V33" s="1390" t="s">
        <v>8</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5"/>
      <c r="Q34" s="1385" t="str">
        <f t="shared" si="8"/>
        <v>建筑结构</v>
      </c>
      <c r="R34" s="1386" t="s">
        <v>8</v>
      </c>
      <c r="S34" s="1387">
        <f t="shared" si="9"/>
        <v>100</v>
      </c>
      <c r="T34" s="1386" t="s">
        <v>8</v>
      </c>
      <c r="U34" s="1387">
        <f t="shared" si="10"/>
        <v>100</v>
      </c>
      <c r="V34" s="1386" t="s">
        <v>8</v>
      </c>
      <c r="W34" s="1387">
        <f t="shared" si="11"/>
        <v>100</v>
      </c>
      <c r="X34" s="1380"/>
      <c r="Y34" s="390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5"/>
      <c r="Q35" s="1385" t="str">
        <f t="shared" si="8"/>
        <v>建筑品质</v>
      </c>
      <c r="R35" s="1386" t="s">
        <v>8</v>
      </c>
      <c r="S35" s="1387">
        <f t="shared" si="9"/>
        <v>100</v>
      </c>
      <c r="T35" s="1386" t="s">
        <v>8</v>
      </c>
      <c r="U35" s="1387">
        <f t="shared" si="10"/>
        <v>100</v>
      </c>
      <c r="V35" s="1386" t="s">
        <v>8</v>
      </c>
      <c r="W35" s="1387">
        <f t="shared" si="11"/>
        <v>100</v>
      </c>
      <c r="X35" s="1380"/>
      <c r="Y35" s="390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5"/>
      <c r="Q36" s="1385" t="str">
        <f t="shared" si="8"/>
        <v>公共部分装修</v>
      </c>
      <c r="R36" s="1386" t="s">
        <v>8</v>
      </c>
      <c r="S36" s="1387">
        <f t="shared" si="9"/>
        <v>100</v>
      </c>
      <c r="T36" s="1386" t="s">
        <v>8</v>
      </c>
      <c r="U36" s="1387">
        <f t="shared" si="10"/>
        <v>100</v>
      </c>
      <c r="V36" s="1386" t="s">
        <v>8</v>
      </c>
      <c r="W36" s="1387">
        <f t="shared" si="11"/>
        <v>100</v>
      </c>
      <c r="X36" s="1380"/>
      <c r="Y36" s="390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5"/>
      <c r="Q37" s="1050" t="str">
        <f t="shared" si="8"/>
        <v>成新度</v>
      </c>
      <c r="R37" s="1381" t="s">
        <v>8</v>
      </c>
      <c r="S37" s="1382" t="e">
        <f t="shared" si="9"/>
        <v>#N/A</v>
      </c>
      <c r="T37" s="1381" t="s">
        <v>8</v>
      </c>
      <c r="U37" s="1382" t="e">
        <f t="shared" si="10"/>
        <v>#N/A</v>
      </c>
      <c r="V37" s="1381" t="s">
        <v>8</v>
      </c>
      <c r="W37" s="1382" t="e">
        <f t="shared" si="11"/>
        <v>#N/A</v>
      </c>
      <c r="X37" s="1383"/>
      <c r="Y37" s="390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5" t="s">
        <v>499</v>
      </c>
      <c r="Q38" s="1385" t="str">
        <f t="shared" si="8"/>
        <v>物业管理</v>
      </c>
      <c r="R38" s="1386" t="s">
        <v>8</v>
      </c>
      <c r="S38" s="1387">
        <f t="shared" si="9"/>
        <v>100</v>
      </c>
      <c r="T38" s="1386" t="s">
        <v>8</v>
      </c>
      <c r="U38" s="1387">
        <f t="shared" si="10"/>
        <v>100</v>
      </c>
      <c r="V38" s="1386" t="s">
        <v>8</v>
      </c>
      <c r="W38" s="1387">
        <f t="shared" si="11"/>
        <v>100</v>
      </c>
      <c r="X38" s="1380"/>
      <c r="Y38" s="390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5"/>
      <c r="Q39" s="1385" t="str">
        <f t="shared" si="8"/>
        <v>市政基础设施</v>
      </c>
      <c r="R39" s="1386" t="s">
        <v>8</v>
      </c>
      <c r="S39" s="1387">
        <f t="shared" si="9"/>
        <v>100</v>
      </c>
      <c r="T39" s="1386" t="s">
        <v>8</v>
      </c>
      <c r="U39" s="1387">
        <f t="shared" si="10"/>
        <v>100</v>
      </c>
      <c r="V39" s="1386" t="s">
        <v>8</v>
      </c>
      <c r="W39" s="1387">
        <f t="shared" si="11"/>
        <v>100</v>
      </c>
      <c r="X39" s="1380"/>
      <c r="Y39" s="390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5"/>
      <c r="Q40" s="1385" t="str">
        <f t="shared" si="8"/>
        <v>房型</v>
      </c>
      <c r="R40" s="1386" t="s">
        <v>8</v>
      </c>
      <c r="S40" s="1387">
        <f t="shared" si="9"/>
        <v>100</v>
      </c>
      <c r="T40" s="1386" t="s">
        <v>8</v>
      </c>
      <c r="U40" s="1387">
        <f t="shared" si="10"/>
        <v>100</v>
      </c>
      <c r="V40" s="1386" t="s">
        <v>8</v>
      </c>
      <c r="W40" s="1387">
        <f t="shared" si="11"/>
        <v>100</v>
      </c>
      <c r="X40" s="1380"/>
      <c r="Y40" s="390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5"/>
      <c r="Q41" s="1414" t="str">
        <f t="shared" si="8"/>
        <v>单套/主力户型建筑面积</v>
      </c>
      <c r="R41" s="1390" t="s">
        <v>8</v>
      </c>
      <c r="S41" s="1391">
        <f t="shared" si="9"/>
        <v>100</v>
      </c>
      <c r="T41" s="1390" t="s">
        <v>8</v>
      </c>
      <c r="U41" s="1391">
        <f t="shared" si="10"/>
        <v>100</v>
      </c>
      <c r="V41" s="1390" t="s">
        <v>8</v>
      </c>
      <c r="W41" s="1391">
        <f t="shared" si="11"/>
        <v>100</v>
      </c>
      <c r="X41" s="1392"/>
      <c r="Y41" s="390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5"/>
      <c r="Q42" s="1385" t="str">
        <f t="shared" si="8"/>
        <v>内部装修</v>
      </c>
      <c r="R42" s="1386" t="s">
        <v>8</v>
      </c>
      <c r="S42" s="1387">
        <f t="shared" si="9"/>
        <v>100</v>
      </c>
      <c r="T42" s="1386" t="s">
        <v>8</v>
      </c>
      <c r="U42" s="1387">
        <f t="shared" si="10"/>
        <v>100</v>
      </c>
      <c r="V42" s="1386" t="s">
        <v>8</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5"/>
      <c r="Q43" s="1385" t="str">
        <f t="shared" si="8"/>
        <v>内部装修维护情况</v>
      </c>
      <c r="R43" s="1386" t="s">
        <v>8</v>
      </c>
      <c r="S43" s="1387">
        <f t="shared" si="9"/>
        <v>100</v>
      </c>
      <c r="T43" s="1386" t="s">
        <v>8</v>
      </c>
      <c r="U43" s="1387">
        <f t="shared" si="10"/>
        <v>100</v>
      </c>
      <c r="V43" s="1386" t="s">
        <v>8</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5"/>
      <c r="Q44" s="1050">
        <f t="shared" si="8"/>
        <v>111</v>
      </c>
      <c r="R44" s="1381" t="s">
        <v>8</v>
      </c>
      <c r="S44" s="1382">
        <f t="shared" si="9"/>
        <v>100</v>
      </c>
      <c r="T44" s="1381" t="s">
        <v>8</v>
      </c>
      <c r="U44" s="1382">
        <f t="shared" si="10"/>
        <v>100</v>
      </c>
      <c r="V44" s="1381" t="s">
        <v>8</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5"/>
      <c r="Q45" s="1385">
        <f t="shared" si="8"/>
        <v>111</v>
      </c>
      <c r="R45" s="1386" t="s">
        <v>8</v>
      </c>
      <c r="S45" s="1387">
        <f t="shared" si="9"/>
        <v>100</v>
      </c>
      <c r="T45" s="1386" t="s">
        <v>8</v>
      </c>
      <c r="U45" s="1387">
        <f t="shared" si="10"/>
        <v>100</v>
      </c>
      <c r="V45" s="1386" t="s">
        <v>8</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916"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916"/>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916"/>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2" t="s">
        <v>489</v>
      </c>
      <c r="Q15" s="1385" t="str">
        <f t="shared" si="6"/>
        <v>商业繁华度</v>
      </c>
      <c r="R15" s="1386" t="s">
        <v>5</v>
      </c>
      <c r="S15" s="1387">
        <f t="shared" si="0"/>
        <v>100</v>
      </c>
      <c r="T15" s="1386" t="s">
        <v>5</v>
      </c>
      <c r="U15" s="1387">
        <f t="shared" si="1"/>
        <v>100</v>
      </c>
      <c r="V15" s="1386" t="s">
        <v>5</v>
      </c>
      <c r="W15" s="1387">
        <f t="shared" si="2"/>
        <v>100</v>
      </c>
      <c r="X15" s="1380"/>
      <c r="Y15" s="390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3"/>
      <c r="Q23" s="1385" t="str">
        <f>B23</f>
        <v>自然及人文环境</v>
      </c>
      <c r="R23" s="1386" t="s">
        <v>5</v>
      </c>
      <c r="S23" s="1387">
        <f>F23</f>
        <v>100</v>
      </c>
      <c r="T23" s="1386" t="s">
        <v>5</v>
      </c>
      <c r="U23" s="1387">
        <f>H23</f>
        <v>100</v>
      </c>
      <c r="V23" s="1386" t="s">
        <v>5</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3"/>
      <c r="Q25" s="1385" t="str">
        <f t="shared" ref="Q25:Q46" si="8">B25</f>
        <v>临街状况</v>
      </c>
      <c r="R25" s="1386" t="s">
        <v>5</v>
      </c>
      <c r="S25" s="1387">
        <f>F25</f>
        <v>100</v>
      </c>
      <c r="T25" s="1386" t="s">
        <v>5</v>
      </c>
      <c r="U25" s="1387">
        <f>H25</f>
        <v>100</v>
      </c>
      <c r="V25" s="1386" t="s">
        <v>5</v>
      </c>
      <c r="W25" s="1387">
        <f>J25</f>
        <v>100</v>
      </c>
      <c r="X25" s="1380"/>
      <c r="Y25" s="390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3"/>
      <c r="Q26" s="1385" t="str">
        <f t="shared" si="8"/>
        <v>平面位置/可视性</v>
      </c>
      <c r="R26" s="1386" t="s">
        <v>5</v>
      </c>
      <c r="S26" s="1387">
        <f>F26</f>
        <v>100</v>
      </c>
      <c r="T26" s="1386" t="s">
        <v>5</v>
      </c>
      <c r="U26" s="1387">
        <f>H26</f>
        <v>100</v>
      </c>
      <c r="V26" s="1386" t="s">
        <v>5</v>
      </c>
      <c r="W26" s="1387">
        <f>J26</f>
        <v>100</v>
      </c>
      <c r="X26" s="1380"/>
      <c r="Y26" s="390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3"/>
      <c r="Q27" s="1050" t="str">
        <f t="shared" si="8"/>
        <v>人流量</v>
      </c>
      <c r="R27" s="1381" t="s">
        <v>5</v>
      </c>
      <c r="S27" s="1382">
        <f>F27</f>
        <v>100</v>
      </c>
      <c r="T27" s="1381" t="s">
        <v>5</v>
      </c>
      <c r="U27" s="1382">
        <f>H27</f>
        <v>100</v>
      </c>
      <c r="V27" s="1381" t="s">
        <v>5</v>
      </c>
      <c r="W27" s="1382">
        <f>J27</f>
        <v>100</v>
      </c>
      <c r="X27" s="1383"/>
      <c r="Y27" s="390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3"/>
      <c r="Q29" s="1385">
        <f t="shared" si="8"/>
        <v>111</v>
      </c>
      <c r="R29" s="1386" t="s">
        <v>5</v>
      </c>
      <c r="S29" s="1387">
        <f t="shared" si="9"/>
        <v>100</v>
      </c>
      <c r="T29" s="1386" t="s">
        <v>5</v>
      </c>
      <c r="U29" s="1387">
        <f t="shared" si="10"/>
        <v>100</v>
      </c>
      <c r="V29" s="1386" t="s">
        <v>5</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4" t="s">
        <v>499</v>
      </c>
      <c r="Q32" s="1385" t="str">
        <f t="shared" si="8"/>
        <v>商业类型</v>
      </c>
      <c r="R32" s="1386" t="s">
        <v>5</v>
      </c>
      <c r="S32" s="1387">
        <f t="shared" si="9"/>
        <v>100</v>
      </c>
      <c r="T32" s="1386" t="s">
        <v>5</v>
      </c>
      <c r="U32" s="1387">
        <f t="shared" si="10"/>
        <v>100</v>
      </c>
      <c r="V32" s="1386" t="s">
        <v>5</v>
      </c>
      <c r="W32" s="1387">
        <f t="shared" si="11"/>
        <v>100</v>
      </c>
      <c r="X32" s="1380"/>
      <c r="Y32" s="390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5"/>
      <c r="Q33" s="1414" t="str">
        <f t="shared" si="8"/>
        <v>项目建筑规模</v>
      </c>
      <c r="R33" s="1390" t="s">
        <v>5</v>
      </c>
      <c r="S33" s="1391" t="e">
        <f t="shared" si="9"/>
        <v>#N/A</v>
      </c>
      <c r="T33" s="1390" t="s">
        <v>5</v>
      </c>
      <c r="U33" s="1391" t="e">
        <f t="shared" si="10"/>
        <v>#N/A</v>
      </c>
      <c r="V33" s="1390" t="s">
        <v>5</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5"/>
      <c r="Q34" s="1385" t="str">
        <f t="shared" si="8"/>
        <v>建筑结构</v>
      </c>
      <c r="R34" s="1386" t="s">
        <v>5</v>
      </c>
      <c r="S34" s="1387">
        <f t="shared" si="9"/>
        <v>100</v>
      </c>
      <c r="T34" s="1386" t="s">
        <v>5</v>
      </c>
      <c r="U34" s="1387">
        <f t="shared" si="10"/>
        <v>100</v>
      </c>
      <c r="V34" s="1386" t="s">
        <v>5</v>
      </c>
      <c r="W34" s="1387">
        <f t="shared" si="11"/>
        <v>100</v>
      </c>
      <c r="X34" s="1380"/>
      <c r="Y34" s="390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5"/>
      <c r="Q35" s="1385" t="str">
        <f t="shared" si="8"/>
        <v>公共部分装修</v>
      </c>
      <c r="R35" s="1386" t="s">
        <v>5</v>
      </c>
      <c r="S35" s="1387">
        <f t="shared" si="9"/>
        <v>100</v>
      </c>
      <c r="T35" s="1386" t="s">
        <v>5</v>
      </c>
      <c r="U35" s="1387">
        <f t="shared" si="10"/>
        <v>100</v>
      </c>
      <c r="V35" s="1386" t="s">
        <v>5</v>
      </c>
      <c r="W35" s="1387">
        <f t="shared" si="11"/>
        <v>100</v>
      </c>
      <c r="X35" s="1380"/>
      <c r="Y35" s="390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5"/>
      <c r="Q36" s="1385" t="str">
        <f t="shared" si="8"/>
        <v>成新度</v>
      </c>
      <c r="R36" s="1386" t="s">
        <v>5</v>
      </c>
      <c r="S36" s="1387" t="e">
        <f t="shared" si="9"/>
        <v>#N/A</v>
      </c>
      <c r="T36" s="1386" t="s">
        <v>5</v>
      </c>
      <c r="U36" s="1387" t="e">
        <f t="shared" si="10"/>
        <v>#N/A</v>
      </c>
      <c r="V36" s="1386" t="s">
        <v>5</v>
      </c>
      <c r="W36" s="1387" t="e">
        <f t="shared" si="11"/>
        <v>#N/A</v>
      </c>
      <c r="X36" s="1380"/>
      <c r="Y36" s="390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5"/>
      <c r="Q37" s="1050" t="str">
        <f t="shared" si="8"/>
        <v>市政基础设施</v>
      </c>
      <c r="R37" s="1381" t="s">
        <v>5</v>
      </c>
      <c r="S37" s="1382">
        <f t="shared" si="9"/>
        <v>100</v>
      </c>
      <c r="T37" s="1381" t="s">
        <v>5</v>
      </c>
      <c r="U37" s="1382">
        <f t="shared" si="10"/>
        <v>100</v>
      </c>
      <c r="V37" s="1381" t="s">
        <v>5</v>
      </c>
      <c r="W37" s="1382">
        <f t="shared" si="11"/>
        <v>100</v>
      </c>
      <c r="X37" s="1383"/>
      <c r="Y37" s="390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5" t="s">
        <v>706</v>
      </c>
      <c r="Q38" s="1385" t="str">
        <f t="shared" si="8"/>
        <v>业态</v>
      </c>
      <c r="R38" s="1386" t="s">
        <v>5</v>
      </c>
      <c r="S38" s="1387">
        <f t="shared" si="9"/>
        <v>100</v>
      </c>
      <c r="T38" s="1386" t="s">
        <v>5</v>
      </c>
      <c r="U38" s="1387">
        <f t="shared" si="10"/>
        <v>100</v>
      </c>
      <c r="V38" s="1386" t="s">
        <v>5</v>
      </c>
      <c r="W38" s="1387">
        <f t="shared" si="11"/>
        <v>100</v>
      </c>
      <c r="X38" s="1380"/>
      <c r="Y38" s="390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5"/>
      <c r="Q39" s="1385" t="str">
        <f t="shared" si="8"/>
        <v>层高</v>
      </c>
      <c r="R39" s="1386" t="s">
        <v>5</v>
      </c>
      <c r="S39" s="1387">
        <f t="shared" si="9"/>
        <v>100</v>
      </c>
      <c r="T39" s="1386" t="s">
        <v>5</v>
      </c>
      <c r="U39" s="1387">
        <f t="shared" si="10"/>
        <v>100</v>
      </c>
      <c r="V39" s="1386" t="s">
        <v>5</v>
      </c>
      <c r="W39" s="1387">
        <f t="shared" si="11"/>
        <v>100</v>
      </c>
      <c r="X39" s="1380"/>
      <c r="Y39" s="390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5"/>
      <c r="Q40" s="1385" t="str">
        <f t="shared" si="8"/>
        <v>单套建筑面积</v>
      </c>
      <c r="R40" s="1386" t="s">
        <v>5</v>
      </c>
      <c r="S40" s="1387">
        <f t="shared" si="9"/>
        <v>100</v>
      </c>
      <c r="T40" s="1386" t="s">
        <v>5</v>
      </c>
      <c r="U40" s="1387">
        <f t="shared" si="10"/>
        <v>100</v>
      </c>
      <c r="V40" s="1386" t="s">
        <v>5</v>
      </c>
      <c r="W40" s="1387">
        <f t="shared" si="11"/>
        <v>100</v>
      </c>
      <c r="X40" s="1380"/>
      <c r="Y40" s="390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5"/>
      <c r="Q41" s="1414" t="str">
        <f t="shared" si="8"/>
        <v>进深比</v>
      </c>
      <c r="R41" s="1390" t="s">
        <v>5</v>
      </c>
      <c r="S41" s="1391">
        <f t="shared" si="9"/>
        <v>100</v>
      </c>
      <c r="T41" s="1390" t="s">
        <v>5</v>
      </c>
      <c r="U41" s="1391">
        <f t="shared" si="10"/>
        <v>100</v>
      </c>
      <c r="V41" s="1390" t="s">
        <v>5</v>
      </c>
      <c r="W41" s="1391">
        <f t="shared" si="11"/>
        <v>100</v>
      </c>
      <c r="X41" s="1392"/>
      <c r="Y41" s="390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5"/>
      <c r="Q42" s="1385" t="str">
        <f t="shared" si="8"/>
        <v>内部装修</v>
      </c>
      <c r="R42" s="1386" t="s">
        <v>5</v>
      </c>
      <c r="S42" s="1387">
        <f t="shared" si="9"/>
        <v>100</v>
      </c>
      <c r="T42" s="1386" t="s">
        <v>5</v>
      </c>
      <c r="U42" s="1387">
        <f t="shared" si="10"/>
        <v>100</v>
      </c>
      <c r="V42" s="1386" t="s">
        <v>5</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5"/>
      <c r="Q43" s="1385" t="str">
        <f t="shared" si="8"/>
        <v>内部装修维护情况</v>
      </c>
      <c r="R43" s="1386" t="s">
        <v>5</v>
      </c>
      <c r="S43" s="1387">
        <f t="shared" si="9"/>
        <v>100</v>
      </c>
      <c r="T43" s="1386" t="s">
        <v>5</v>
      </c>
      <c r="U43" s="1387">
        <f t="shared" si="10"/>
        <v>100</v>
      </c>
      <c r="V43" s="1386" t="s">
        <v>5</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5"/>
      <c r="Q44" s="1050">
        <f t="shared" si="8"/>
        <v>111</v>
      </c>
      <c r="R44" s="1381" t="s">
        <v>5</v>
      </c>
      <c r="S44" s="1382">
        <f t="shared" si="9"/>
        <v>100</v>
      </c>
      <c r="T44" s="1381" t="s">
        <v>5</v>
      </c>
      <c r="U44" s="1382">
        <f t="shared" si="10"/>
        <v>100</v>
      </c>
      <c r="V44" s="1381" t="s">
        <v>5</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5"/>
      <c r="Q45" s="1385">
        <f t="shared" si="8"/>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1778900平方米。根据《建设工程规划许可证》[]、《出让合同》[]，估价对象规划建筑面积为4447250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根据《国有土地使用证》[]，估价对象（分摊）出让国有建设用地使用权面积为1778900平方米。根据《建设工程规划许可证》[]、《出让合同》[]，估价对象规划建筑面积为4447250平方米。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8" t="s">
        <v>471</v>
      </c>
      <c r="D4" s="3909"/>
      <c r="E4" s="3930" t="s">
        <v>472</v>
      </c>
      <c r="F4" s="3931"/>
      <c r="G4" s="3908" t="s">
        <v>473</v>
      </c>
      <c r="H4" s="3909"/>
      <c r="I4" s="3908" t="s">
        <v>474</v>
      </c>
      <c r="J4" s="3909"/>
      <c r="K4" s="484" t="s">
        <v>475</v>
      </c>
      <c r="L4" s="1856"/>
      <c r="M4" s="1857"/>
      <c r="N4" s="1857"/>
      <c r="O4" s="1857"/>
      <c r="P4" s="3999"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4000"/>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4001"/>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1"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1" t="s">
        <v>482</v>
      </c>
      <c r="Q8" s="3893"/>
      <c r="R8" s="1381" t="s">
        <v>5</v>
      </c>
      <c r="S8" s="1382">
        <f t="shared" si="0"/>
        <v>0</v>
      </c>
      <c r="T8" s="1381" t="s">
        <v>5</v>
      </c>
      <c r="U8" s="1382">
        <f t="shared" si="1"/>
        <v>0</v>
      </c>
      <c r="V8" s="1381" t="s">
        <v>5</v>
      </c>
      <c r="W8" s="1382">
        <f t="shared" si="2"/>
        <v>0</v>
      </c>
      <c r="X8" s="1383"/>
      <c r="Y8" s="3892" t="s">
        <v>482</v>
      </c>
      <c r="Z8" s="3893"/>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2" t="s">
        <v>489</v>
      </c>
      <c r="Q15" s="1385" t="str">
        <f t="shared" si="6"/>
        <v>办公集聚程度</v>
      </c>
      <c r="R15" s="1386" t="s">
        <v>5</v>
      </c>
      <c r="S15" s="1387">
        <f t="shared" si="0"/>
        <v>100</v>
      </c>
      <c r="T15" s="1386" t="s">
        <v>5</v>
      </c>
      <c r="U15" s="1387">
        <f t="shared" si="1"/>
        <v>100</v>
      </c>
      <c r="V15" s="1386" t="s">
        <v>5</v>
      </c>
      <c r="W15" s="1387">
        <f t="shared" si="2"/>
        <v>100</v>
      </c>
      <c r="X15" s="1380"/>
      <c r="Y15" s="390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3"/>
      <c r="Q16" s="1385"/>
      <c r="R16" s="1386"/>
      <c r="S16" s="1387"/>
      <c r="T16" s="1386"/>
      <c r="U16" s="1387"/>
      <c r="V16" s="1386"/>
      <c r="W16" s="1387"/>
      <c r="X16" s="1380"/>
      <c r="Y16" s="390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3"/>
      <c r="Q18" s="1385"/>
      <c r="R18" s="1386"/>
      <c r="S18" s="1387"/>
      <c r="T18" s="1386"/>
      <c r="U18" s="1387"/>
      <c r="V18" s="1386"/>
      <c r="W18" s="1387"/>
      <c r="X18" s="1380"/>
      <c r="Y18" s="390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3"/>
      <c r="Q20" s="1385"/>
      <c r="R20" s="1386"/>
      <c r="S20" s="1387"/>
      <c r="T20" s="1386"/>
      <c r="U20" s="1387"/>
      <c r="V20" s="1386"/>
      <c r="W20" s="1387"/>
      <c r="X20" s="1380"/>
      <c r="Y20" s="390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3"/>
      <c r="Q22" s="2193"/>
      <c r="R22" s="1386"/>
      <c r="S22" s="1387"/>
      <c r="T22" s="1386"/>
      <c r="U22" s="1387"/>
      <c r="V22" s="1386"/>
      <c r="W22" s="1387"/>
      <c r="X22" s="2195"/>
      <c r="Y22" s="390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3"/>
      <c r="Q24" s="1385"/>
      <c r="R24" s="1386"/>
      <c r="S24" s="1387"/>
      <c r="T24" s="1386"/>
      <c r="U24" s="1387"/>
      <c r="V24" s="1386"/>
      <c r="W24" s="1387"/>
      <c r="X24" s="1380"/>
      <c r="Y24" s="390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3"/>
      <c r="Q25" s="1385" t="str">
        <f>B25</f>
        <v>毗邻道路的类型与等级</v>
      </c>
      <c r="R25" s="1386" t="s">
        <v>5</v>
      </c>
      <c r="S25" s="1387">
        <f>F25</f>
        <v>100</v>
      </c>
      <c r="T25" s="1386" t="s">
        <v>5</v>
      </c>
      <c r="U25" s="1387">
        <f>H25</f>
        <v>100</v>
      </c>
      <c r="V25" s="1386" t="s">
        <v>5</v>
      </c>
      <c r="W25" s="1387">
        <f>J25</f>
        <v>100</v>
      </c>
      <c r="X25" s="1380"/>
      <c r="Y25" s="390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3"/>
      <c r="Q26" s="1385"/>
      <c r="R26" s="1386"/>
      <c r="S26" s="1387"/>
      <c r="T26" s="1386"/>
      <c r="U26" s="1387"/>
      <c r="V26" s="1386"/>
      <c r="W26" s="1387"/>
      <c r="X26" s="1380"/>
      <c r="Y26" s="390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3"/>
      <c r="Q27" s="1385" t="str">
        <f t="shared" ref="Q27:Q47" si="8">B27</f>
        <v>楼层</v>
      </c>
      <c r="R27" s="1386" t="s">
        <v>5</v>
      </c>
      <c r="S27" s="1387">
        <f>F27</f>
        <v>100</v>
      </c>
      <c r="T27" s="1386" t="s">
        <v>5</v>
      </c>
      <c r="U27" s="1387">
        <f>H27</f>
        <v>100</v>
      </c>
      <c r="V27" s="1386" t="s">
        <v>5</v>
      </c>
      <c r="W27" s="1387">
        <f>J27</f>
        <v>100</v>
      </c>
      <c r="X27" s="1380"/>
      <c r="Y27" s="390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3"/>
      <c r="Q28" s="1050" t="str">
        <f t="shared" si="8"/>
        <v>朝向</v>
      </c>
      <c r="R28" s="1381" t="s">
        <v>5</v>
      </c>
      <c r="S28" s="1382">
        <f>F28</f>
        <v>100</v>
      </c>
      <c r="T28" s="1381" t="s">
        <v>5</v>
      </c>
      <c r="U28" s="1382">
        <f>H28</f>
        <v>100</v>
      </c>
      <c r="V28" s="1381" t="s">
        <v>5</v>
      </c>
      <c r="W28" s="1382">
        <f>J28</f>
        <v>100</v>
      </c>
      <c r="X28" s="1383"/>
      <c r="Y28" s="390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3"/>
      <c r="Q29" s="1385">
        <f t="shared" si="8"/>
        <v>111</v>
      </c>
      <c r="R29" s="1386" t="s">
        <v>5</v>
      </c>
      <c r="S29" s="1387">
        <f t="shared" ref="S29:S47" si="9">F29</f>
        <v>100</v>
      </c>
      <c r="T29" s="1386" t="s">
        <v>5</v>
      </c>
      <c r="U29" s="1387">
        <f t="shared" ref="U29:U47" si="10">H29</f>
        <v>100</v>
      </c>
      <c r="V29" s="1386" t="s">
        <v>5</v>
      </c>
      <c r="W29" s="1387">
        <f t="shared" ref="W29:W47" si="11">J29</f>
        <v>100</v>
      </c>
      <c r="X29" s="1380"/>
      <c r="Y29" s="390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3"/>
      <c r="Q32" s="1385">
        <f t="shared" si="8"/>
        <v>111</v>
      </c>
      <c r="R32" s="1386" t="s">
        <v>5</v>
      </c>
      <c r="S32" s="1387">
        <f t="shared" si="9"/>
        <v>100</v>
      </c>
      <c r="T32" s="1386" t="s">
        <v>5</v>
      </c>
      <c r="U32" s="1387">
        <f t="shared" si="10"/>
        <v>100</v>
      </c>
      <c r="V32" s="1386" t="s">
        <v>5</v>
      </c>
      <c r="W32" s="1387">
        <f t="shared" si="11"/>
        <v>100</v>
      </c>
      <c r="X32" s="1380"/>
      <c r="Y32" s="390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4" t="s">
        <v>499</v>
      </c>
      <c r="Q33" s="1385" t="str">
        <f t="shared" si="8"/>
        <v>建筑类型</v>
      </c>
      <c r="R33" s="1386" t="s">
        <v>5</v>
      </c>
      <c r="S33" s="1387">
        <f t="shared" si="9"/>
        <v>100</v>
      </c>
      <c r="T33" s="1386" t="s">
        <v>5</v>
      </c>
      <c r="U33" s="1387">
        <f t="shared" si="10"/>
        <v>100</v>
      </c>
      <c r="V33" s="1386" t="s">
        <v>5</v>
      </c>
      <c r="W33" s="1387">
        <f t="shared" si="11"/>
        <v>100</v>
      </c>
      <c r="X33" s="1380"/>
      <c r="Y33" s="390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5"/>
      <c r="Q34" s="1414" t="str">
        <f t="shared" si="8"/>
        <v>项目建筑规模</v>
      </c>
      <c r="R34" s="1390" t="s">
        <v>5</v>
      </c>
      <c r="S34" s="1391" t="e">
        <f t="shared" si="9"/>
        <v>#N/A</v>
      </c>
      <c r="T34" s="1390" t="s">
        <v>5</v>
      </c>
      <c r="U34" s="1391" t="e">
        <f t="shared" si="10"/>
        <v>#N/A</v>
      </c>
      <c r="V34" s="1390" t="s">
        <v>5</v>
      </c>
      <c r="W34" s="1391" t="e">
        <f t="shared" si="11"/>
        <v>#N/A</v>
      </c>
      <c r="X34" s="1392"/>
      <c r="Y34" s="390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5"/>
      <c r="Q35" s="1385" t="str">
        <f t="shared" si="8"/>
        <v>建筑结构</v>
      </c>
      <c r="R35" s="1386" t="s">
        <v>5</v>
      </c>
      <c r="S35" s="1387">
        <f t="shared" si="9"/>
        <v>100</v>
      </c>
      <c r="T35" s="1386" t="s">
        <v>5</v>
      </c>
      <c r="U35" s="1387">
        <f t="shared" si="10"/>
        <v>100</v>
      </c>
      <c r="V35" s="1386" t="s">
        <v>5</v>
      </c>
      <c r="W35" s="1387">
        <f t="shared" si="11"/>
        <v>100</v>
      </c>
      <c r="X35" s="1380"/>
      <c r="Y35" s="390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5"/>
      <c r="Q36" s="1385" t="str">
        <f t="shared" si="8"/>
        <v>公共部分装修</v>
      </c>
      <c r="R36" s="1386" t="s">
        <v>5</v>
      </c>
      <c r="S36" s="1387">
        <f t="shared" si="9"/>
        <v>100</v>
      </c>
      <c r="T36" s="1386" t="s">
        <v>5</v>
      </c>
      <c r="U36" s="1387">
        <f t="shared" si="10"/>
        <v>100</v>
      </c>
      <c r="V36" s="1386" t="s">
        <v>5</v>
      </c>
      <c r="W36" s="1387">
        <f t="shared" si="11"/>
        <v>100</v>
      </c>
      <c r="X36" s="1380"/>
      <c r="Y36" s="390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5"/>
      <c r="Q37" s="1385" t="str">
        <f t="shared" si="8"/>
        <v>成新度</v>
      </c>
      <c r="R37" s="1386" t="s">
        <v>5</v>
      </c>
      <c r="S37" s="1387" t="e">
        <f t="shared" si="9"/>
        <v>#N/A</v>
      </c>
      <c r="T37" s="1386" t="s">
        <v>5</v>
      </c>
      <c r="U37" s="1387" t="e">
        <f t="shared" si="10"/>
        <v>#N/A</v>
      </c>
      <c r="V37" s="1386" t="s">
        <v>5</v>
      </c>
      <c r="W37" s="1387" t="e">
        <f t="shared" si="11"/>
        <v>#N/A</v>
      </c>
      <c r="X37" s="1380"/>
      <c r="Y37" s="390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5"/>
      <c r="Q38" s="1050" t="str">
        <f t="shared" si="8"/>
        <v>写字楼等级</v>
      </c>
      <c r="R38" s="1381" t="s">
        <v>5</v>
      </c>
      <c r="S38" s="1382">
        <f t="shared" si="9"/>
        <v>100</v>
      </c>
      <c r="T38" s="1381" t="s">
        <v>5</v>
      </c>
      <c r="U38" s="1382">
        <f t="shared" si="10"/>
        <v>100</v>
      </c>
      <c r="V38" s="1381" t="s">
        <v>5</v>
      </c>
      <c r="W38" s="1382">
        <f t="shared" si="11"/>
        <v>100</v>
      </c>
      <c r="X38" s="1383"/>
      <c r="Y38" s="390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5" t="s">
        <v>499</v>
      </c>
      <c r="Q39" s="1385" t="str">
        <f t="shared" si="8"/>
        <v>物业管理</v>
      </c>
      <c r="R39" s="1386" t="s">
        <v>5</v>
      </c>
      <c r="S39" s="1387">
        <f t="shared" si="9"/>
        <v>100</v>
      </c>
      <c r="T39" s="1386" t="s">
        <v>5</v>
      </c>
      <c r="U39" s="1387">
        <f t="shared" si="10"/>
        <v>100</v>
      </c>
      <c r="V39" s="1386" t="s">
        <v>5</v>
      </c>
      <c r="W39" s="1387">
        <f t="shared" si="11"/>
        <v>100</v>
      </c>
      <c r="X39" s="1380"/>
      <c r="Y39" s="390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5"/>
      <c r="Q40" s="1385" t="str">
        <f t="shared" si="8"/>
        <v>市政基础设施</v>
      </c>
      <c r="R40" s="1386" t="s">
        <v>5</v>
      </c>
      <c r="S40" s="1387">
        <f t="shared" si="9"/>
        <v>100</v>
      </c>
      <c r="T40" s="1386" t="s">
        <v>5</v>
      </c>
      <c r="U40" s="1387">
        <f t="shared" si="10"/>
        <v>100</v>
      </c>
      <c r="V40" s="1386" t="s">
        <v>5</v>
      </c>
      <c r="W40" s="1387">
        <f t="shared" si="11"/>
        <v>100</v>
      </c>
      <c r="X40" s="1380"/>
      <c r="Y40" s="390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5"/>
      <c r="Q41" s="1385" t="str">
        <f t="shared" si="8"/>
        <v>层高</v>
      </c>
      <c r="R41" s="1386" t="s">
        <v>5</v>
      </c>
      <c r="S41" s="1387">
        <f t="shared" si="9"/>
        <v>100</v>
      </c>
      <c r="T41" s="1386" t="s">
        <v>5</v>
      </c>
      <c r="U41" s="1387">
        <f t="shared" si="10"/>
        <v>100</v>
      </c>
      <c r="V41" s="1386" t="s">
        <v>5</v>
      </c>
      <c r="W41" s="1387">
        <f t="shared" si="11"/>
        <v>100</v>
      </c>
      <c r="X41" s="1380"/>
      <c r="Y41" s="390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5"/>
      <c r="Q42" s="1414" t="str">
        <f t="shared" si="8"/>
        <v>单套建筑面积</v>
      </c>
      <c r="R42" s="1390" t="s">
        <v>5</v>
      </c>
      <c r="S42" s="1391">
        <f t="shared" si="9"/>
        <v>100</v>
      </c>
      <c r="T42" s="1390" t="s">
        <v>5</v>
      </c>
      <c r="U42" s="1391">
        <f t="shared" si="10"/>
        <v>100</v>
      </c>
      <c r="V42" s="1390" t="s">
        <v>5</v>
      </c>
      <c r="W42" s="1391">
        <f t="shared" si="11"/>
        <v>100</v>
      </c>
      <c r="X42" s="1392"/>
      <c r="Y42" s="390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5"/>
      <c r="Q43" s="1385" t="str">
        <f t="shared" si="8"/>
        <v>内部装修</v>
      </c>
      <c r="R43" s="1386" t="s">
        <v>5</v>
      </c>
      <c r="S43" s="1387">
        <f t="shared" si="9"/>
        <v>100</v>
      </c>
      <c r="T43" s="1386" t="s">
        <v>5</v>
      </c>
      <c r="U43" s="1387">
        <f t="shared" si="10"/>
        <v>100</v>
      </c>
      <c r="V43" s="1386" t="s">
        <v>5</v>
      </c>
      <c r="W43" s="1387">
        <f t="shared" si="11"/>
        <v>100</v>
      </c>
      <c r="X43" s="1380"/>
      <c r="Y43" s="390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5"/>
      <c r="Q44" s="1385" t="str">
        <f t="shared" si="8"/>
        <v>内部装修维护情况</v>
      </c>
      <c r="R44" s="1386" t="s">
        <v>5</v>
      </c>
      <c r="S44" s="1387">
        <f t="shared" si="9"/>
        <v>100</v>
      </c>
      <c r="T44" s="1386" t="s">
        <v>5</v>
      </c>
      <c r="U44" s="1387">
        <f t="shared" si="10"/>
        <v>100</v>
      </c>
      <c r="V44" s="1386" t="s">
        <v>5</v>
      </c>
      <c r="W44" s="1387">
        <f t="shared" si="11"/>
        <v>100</v>
      </c>
      <c r="X44" s="1380"/>
      <c r="Y44" s="390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5"/>
      <c r="Q45" s="1050">
        <f t="shared" si="8"/>
        <v>111</v>
      </c>
      <c r="R45" s="1381" t="s">
        <v>5</v>
      </c>
      <c r="S45" s="1382">
        <f t="shared" si="9"/>
        <v>100</v>
      </c>
      <c r="T45" s="1381" t="s">
        <v>5</v>
      </c>
      <c r="U45" s="1382">
        <f t="shared" si="10"/>
        <v>100</v>
      </c>
      <c r="V45" s="1381" t="s">
        <v>5</v>
      </c>
      <c r="W45" s="1382">
        <f t="shared" si="11"/>
        <v>100</v>
      </c>
      <c r="X45" s="1383"/>
      <c r="Y45" s="390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5"/>
      <c r="Q46" s="1385">
        <f t="shared" si="8"/>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07" t="str">
        <f>A48</f>
        <v>成交单价（元/平方米）</v>
      </c>
      <c r="Q48" s="3900"/>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07" t="str">
        <f>A49</f>
        <v>比较价格（元/平方米）</v>
      </c>
      <c r="Q49" s="3900"/>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02"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90" t="s">
        <v>473</v>
      </c>
      <c r="AC4" s="3889" t="s">
        <v>474</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2" t="s">
        <v>489</v>
      </c>
      <c r="Q15" s="1385" t="str">
        <f t="shared" si="6"/>
        <v>产业集聚程度</v>
      </c>
      <c r="R15" s="1386" t="s">
        <v>5</v>
      </c>
      <c r="S15" s="1387">
        <f t="shared" si="0"/>
        <v>100</v>
      </c>
      <c r="T15" s="1386" t="s">
        <v>5</v>
      </c>
      <c r="U15" s="1387">
        <f t="shared" si="1"/>
        <v>100</v>
      </c>
      <c r="V15" s="1386" t="s">
        <v>5</v>
      </c>
      <c r="W15" s="1387">
        <f t="shared" si="2"/>
        <v>100</v>
      </c>
      <c r="X15" s="1380"/>
      <c r="Y15" s="390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3"/>
      <c r="Q25" s="1385">
        <f>B25</f>
        <v>111</v>
      </c>
      <c r="R25" s="1386" t="s">
        <v>5</v>
      </c>
      <c r="S25" s="1387">
        <f>F25</f>
        <v>100</v>
      </c>
      <c r="T25" s="1386" t="s">
        <v>5</v>
      </c>
      <c r="U25" s="1387">
        <f>H25</f>
        <v>100</v>
      </c>
      <c r="V25" s="1386" t="s">
        <v>5</v>
      </c>
      <c r="W25" s="1387">
        <f>J25</f>
        <v>100</v>
      </c>
      <c r="X25" s="1380"/>
      <c r="Y25" s="390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3"/>
      <c r="Q26" s="1385">
        <f t="shared" ref="Q26:Q40" si="8">B26</f>
        <v>111</v>
      </c>
      <c r="R26" s="1386" t="s">
        <v>5</v>
      </c>
      <c r="S26" s="1387">
        <f>F26</f>
        <v>100</v>
      </c>
      <c r="T26" s="1386" t="s">
        <v>5</v>
      </c>
      <c r="U26" s="1387">
        <f>H26</f>
        <v>100</v>
      </c>
      <c r="V26" s="1386" t="s">
        <v>5</v>
      </c>
      <c r="W26" s="1387">
        <f>J26</f>
        <v>100</v>
      </c>
      <c r="X26" s="1380"/>
      <c r="Y26" s="390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3"/>
      <c r="Q27" s="1050">
        <f t="shared" si="8"/>
        <v>111</v>
      </c>
      <c r="R27" s="1381" t="s">
        <v>5</v>
      </c>
      <c r="S27" s="1382">
        <f>F27</f>
        <v>100</v>
      </c>
      <c r="T27" s="1381" t="s">
        <v>5</v>
      </c>
      <c r="U27" s="1382">
        <f>H27</f>
        <v>100</v>
      </c>
      <c r="V27" s="1381" t="s">
        <v>5</v>
      </c>
      <c r="W27" s="1382">
        <f>J27</f>
        <v>100</v>
      </c>
      <c r="X27" s="1383"/>
      <c r="Y27" s="390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3"/>
      <c r="Q28" s="1385">
        <f t="shared" si="8"/>
        <v>111</v>
      </c>
      <c r="R28" s="1386" t="s">
        <v>5</v>
      </c>
      <c r="S28" s="1387">
        <f t="shared" ref="S28:S40" si="9">F28</f>
        <v>100</v>
      </c>
      <c r="T28" s="1386" t="s">
        <v>5</v>
      </c>
      <c r="U28" s="1387">
        <f t="shared" ref="U28:U40" si="10">H28</f>
        <v>100</v>
      </c>
      <c r="V28" s="1386" t="s">
        <v>5</v>
      </c>
      <c r="W28" s="1387">
        <f t="shared" ref="W28:W40" si="11">J28</f>
        <v>100</v>
      </c>
      <c r="X28" s="1380"/>
      <c r="Y28" s="390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4" t="s">
        <v>499</v>
      </c>
      <c r="Q29" s="1385" t="str">
        <f t="shared" si="8"/>
        <v>建筑类型</v>
      </c>
      <c r="R29" s="1386" t="s">
        <v>5</v>
      </c>
      <c r="S29" s="1387">
        <f t="shared" si="9"/>
        <v>100</v>
      </c>
      <c r="T29" s="1386" t="s">
        <v>5</v>
      </c>
      <c r="U29" s="1387">
        <f t="shared" si="10"/>
        <v>100</v>
      </c>
      <c r="V29" s="1386" t="s">
        <v>5</v>
      </c>
      <c r="W29" s="1387">
        <f t="shared" si="11"/>
        <v>100</v>
      </c>
      <c r="X29" s="1380"/>
      <c r="Y29" s="390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5"/>
      <c r="Q30" s="1414" t="str">
        <f t="shared" si="8"/>
        <v>项目建筑规模</v>
      </c>
      <c r="R30" s="1390" t="s">
        <v>5</v>
      </c>
      <c r="S30" s="1391" t="e">
        <f t="shared" si="9"/>
        <v>#N/A</v>
      </c>
      <c r="T30" s="1390" t="s">
        <v>5</v>
      </c>
      <c r="U30" s="1391" t="e">
        <f t="shared" si="10"/>
        <v>#N/A</v>
      </c>
      <c r="V30" s="1390" t="s">
        <v>5</v>
      </c>
      <c r="W30" s="1391" t="e">
        <f t="shared" si="11"/>
        <v>#N/A</v>
      </c>
      <c r="X30" s="1392"/>
      <c r="Y30" s="390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5"/>
      <c r="Q31" s="1385" t="str">
        <f t="shared" si="8"/>
        <v>建筑结构</v>
      </c>
      <c r="R31" s="1386" t="s">
        <v>5</v>
      </c>
      <c r="S31" s="1387">
        <f t="shared" si="9"/>
        <v>100</v>
      </c>
      <c r="T31" s="1386" t="s">
        <v>5</v>
      </c>
      <c r="U31" s="1387">
        <f t="shared" si="10"/>
        <v>100</v>
      </c>
      <c r="V31" s="1386" t="s">
        <v>5</v>
      </c>
      <c r="W31" s="1387">
        <f t="shared" si="11"/>
        <v>100</v>
      </c>
      <c r="X31" s="1380"/>
      <c r="Y31" s="390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5"/>
      <c r="Q32" s="1385" t="str">
        <f t="shared" si="8"/>
        <v>公共部分装修</v>
      </c>
      <c r="R32" s="1386" t="s">
        <v>5</v>
      </c>
      <c r="S32" s="1387">
        <f t="shared" si="9"/>
        <v>100</v>
      </c>
      <c r="T32" s="1386" t="s">
        <v>5</v>
      </c>
      <c r="U32" s="1387">
        <f t="shared" si="10"/>
        <v>100</v>
      </c>
      <c r="V32" s="1386" t="s">
        <v>5</v>
      </c>
      <c r="W32" s="1387">
        <f t="shared" si="11"/>
        <v>100</v>
      </c>
      <c r="X32" s="1380"/>
      <c r="Y32" s="390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5"/>
      <c r="Q33" s="1385" t="str">
        <f t="shared" si="8"/>
        <v>成新度</v>
      </c>
      <c r="R33" s="1386" t="s">
        <v>5</v>
      </c>
      <c r="S33" s="1387" t="e">
        <f t="shared" si="9"/>
        <v>#N/A</v>
      </c>
      <c r="T33" s="1386" t="s">
        <v>5</v>
      </c>
      <c r="U33" s="1387" t="e">
        <f t="shared" si="10"/>
        <v>#N/A</v>
      </c>
      <c r="V33" s="1386" t="s">
        <v>5</v>
      </c>
      <c r="W33" s="1387" t="e">
        <f t="shared" si="11"/>
        <v>#N/A</v>
      </c>
      <c r="X33" s="1380"/>
      <c r="Y33" s="390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5"/>
      <c r="Q34" s="1050" t="str">
        <f t="shared" si="8"/>
        <v>物业管理</v>
      </c>
      <c r="R34" s="1381" t="s">
        <v>5</v>
      </c>
      <c r="S34" s="1382">
        <f t="shared" si="9"/>
        <v>100</v>
      </c>
      <c r="T34" s="1381" t="s">
        <v>5</v>
      </c>
      <c r="U34" s="1382">
        <f t="shared" si="10"/>
        <v>100</v>
      </c>
      <c r="V34" s="1381" t="s">
        <v>5</v>
      </c>
      <c r="W34" s="1382">
        <f t="shared" si="11"/>
        <v>100</v>
      </c>
      <c r="X34" s="1383"/>
      <c r="Y34" s="390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5" t="s">
        <v>499</v>
      </c>
      <c r="Q35" s="1385" t="str">
        <f t="shared" si="8"/>
        <v>市政基础设施</v>
      </c>
      <c r="R35" s="1386" t="s">
        <v>5</v>
      </c>
      <c r="S35" s="1387">
        <f t="shared" si="9"/>
        <v>100</v>
      </c>
      <c r="T35" s="1386" t="s">
        <v>5</v>
      </c>
      <c r="U35" s="1387">
        <f t="shared" si="10"/>
        <v>100</v>
      </c>
      <c r="V35" s="1386" t="s">
        <v>5</v>
      </c>
      <c r="W35" s="1387">
        <f t="shared" si="11"/>
        <v>100</v>
      </c>
      <c r="X35" s="1380"/>
      <c r="Y35" s="390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5"/>
      <c r="Q36" s="1385" t="str">
        <f t="shared" si="8"/>
        <v>内部装修</v>
      </c>
      <c r="R36" s="1386" t="s">
        <v>5</v>
      </c>
      <c r="S36" s="1387">
        <f t="shared" si="9"/>
        <v>100</v>
      </c>
      <c r="T36" s="1386" t="s">
        <v>5</v>
      </c>
      <c r="U36" s="1387">
        <f t="shared" si="10"/>
        <v>100</v>
      </c>
      <c r="V36" s="1386" t="s">
        <v>5</v>
      </c>
      <c r="W36" s="1387">
        <f t="shared" si="11"/>
        <v>100</v>
      </c>
      <c r="X36" s="1380"/>
      <c r="Y36" s="390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5"/>
      <c r="Q37" s="1385" t="str">
        <f t="shared" si="8"/>
        <v>内部装修状况</v>
      </c>
      <c r="R37" s="1386" t="s">
        <v>5</v>
      </c>
      <c r="S37" s="1387">
        <f t="shared" si="9"/>
        <v>100</v>
      </c>
      <c r="T37" s="1386" t="s">
        <v>5</v>
      </c>
      <c r="U37" s="1387">
        <f t="shared" si="10"/>
        <v>100</v>
      </c>
      <c r="V37" s="1386" t="s">
        <v>5</v>
      </c>
      <c r="W37" s="1387">
        <f t="shared" si="11"/>
        <v>100</v>
      </c>
      <c r="X37" s="1380"/>
      <c r="Y37" s="390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5"/>
      <c r="Q38" s="1414">
        <f t="shared" si="8"/>
        <v>111</v>
      </c>
      <c r="R38" s="1390" t="s">
        <v>5</v>
      </c>
      <c r="S38" s="1391">
        <f t="shared" si="9"/>
        <v>100</v>
      </c>
      <c r="T38" s="1390" t="s">
        <v>5</v>
      </c>
      <c r="U38" s="1391">
        <f t="shared" si="10"/>
        <v>100</v>
      </c>
      <c r="V38" s="1390" t="s">
        <v>5</v>
      </c>
      <c r="W38" s="1391">
        <f t="shared" si="11"/>
        <v>100</v>
      </c>
      <c r="X38" s="1392"/>
      <c r="Y38" s="390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5"/>
      <c r="Q39" s="1385">
        <f t="shared" si="8"/>
        <v>111</v>
      </c>
      <c r="R39" s="1386" t="s">
        <v>5</v>
      </c>
      <c r="S39" s="1387">
        <f t="shared" si="9"/>
        <v>100</v>
      </c>
      <c r="T39" s="1386" t="s">
        <v>5</v>
      </c>
      <c r="U39" s="1387">
        <f t="shared" si="10"/>
        <v>100</v>
      </c>
      <c r="V39" s="1386" t="s">
        <v>5</v>
      </c>
      <c r="W39" s="1387">
        <f t="shared" si="11"/>
        <v>100</v>
      </c>
      <c r="X39" s="1380"/>
      <c r="Y39" s="390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0" t="str">
        <f>A41</f>
        <v>成交单价（元/平方米）</v>
      </c>
      <c r="Q41" s="3900"/>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00" t="str">
        <f>A42</f>
        <v>比较价格（元/平方米）</v>
      </c>
      <c r="Q42" s="3900"/>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20" sqref="D20"/>
    </sheetView>
  </sheetViews>
  <sheetFormatPr defaultColWidth="14.625" defaultRowHeight="13.5"/>
  <cols>
    <col min="1" max="1" width="24.375" style="2929" customWidth="1"/>
    <col min="2" max="16384" width="14.625" style="2929"/>
  </cols>
  <sheetData>
    <row r="1" spans="1:10" ht="16.5">
      <c r="A1" s="2928" t="s">
        <v>2118</v>
      </c>
      <c r="B1" s="2928">
        <f>SUM(B14:B23)</f>
        <v>5124000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7409816.4100000001</v>
      </c>
      <c r="C5" s="2928">
        <f>ROUND(B5*10000/$B$1,0)</f>
        <v>14461</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v>4447250</v>
      </c>
      <c r="C14" s="2934"/>
      <c r="D14" s="2934">
        <f>ROUND(14461*B14/10000,2)</f>
        <v>6431168.2300000004</v>
      </c>
      <c r="E14" s="2934">
        <f>ROUND(D14*10000/B14,0)</f>
        <v>14461</v>
      </c>
      <c r="F14" s="2934" t="e">
        <f>ROUND(D14*10000/C14,0)</f>
        <v>#DIV/0!</v>
      </c>
      <c r="G14" s="2934"/>
      <c r="H14" s="2934"/>
      <c r="I14" s="2934"/>
      <c r="J14" s="2938"/>
    </row>
    <row r="15" spans="1:10" ht="16.5">
      <c r="A15" s="2933" t="s">
        <v>2135</v>
      </c>
      <c r="B15" s="2935">
        <v>607500</v>
      </c>
      <c r="C15" s="2935"/>
      <c r="D15" s="2934">
        <f t="shared" ref="D15:D17" si="0">ROUND(14461*B15/10000,2)</f>
        <v>878505.75</v>
      </c>
      <c r="E15" s="2934">
        <f t="shared" ref="E15:E23" si="1">ROUND(D15*10000/B15,0)</f>
        <v>14461</v>
      </c>
      <c r="F15" s="2934" t="e">
        <f t="shared" ref="F15:F23" si="2">ROUND(D15*10000/C15,0)</f>
        <v>#DIV/0!</v>
      </c>
      <c r="G15" s="2514"/>
      <c r="H15" s="2514"/>
      <c r="I15" s="2935"/>
      <c r="J15" s="2938"/>
    </row>
    <row r="16" spans="1:10" ht="16.5">
      <c r="A16" s="2933" t="s">
        <v>2136</v>
      </c>
      <c r="B16" s="2935">
        <v>0</v>
      </c>
      <c r="C16" s="2935"/>
      <c r="D16" s="2934">
        <f t="shared" si="0"/>
        <v>0</v>
      </c>
      <c r="E16" s="2934" t="e">
        <f t="shared" si="1"/>
        <v>#DIV/0!</v>
      </c>
      <c r="F16" s="2934" t="e">
        <f t="shared" si="2"/>
        <v>#DIV/0!</v>
      </c>
      <c r="G16" s="2514"/>
      <c r="H16" s="2514"/>
      <c r="I16" s="2935"/>
      <c r="J16" s="2938"/>
    </row>
    <row r="17" spans="1:10" ht="16.5">
      <c r="A17" s="2933" t="s">
        <v>2137</v>
      </c>
      <c r="B17" s="2935">
        <v>69250</v>
      </c>
      <c r="C17" s="2935"/>
      <c r="D17" s="2934">
        <f t="shared" si="0"/>
        <v>100142.43</v>
      </c>
      <c r="E17" s="2934">
        <f t="shared" si="1"/>
        <v>14461</v>
      </c>
      <c r="F17" s="2934" t="e">
        <f t="shared" si="2"/>
        <v>#DIV/0!</v>
      </c>
      <c r="G17" s="2514"/>
      <c r="H17" s="2514"/>
      <c r="I17" s="2935"/>
      <c r="J17" s="2938"/>
    </row>
    <row r="18" spans="1:10" ht="16.5">
      <c r="A18" s="2933" t="s">
        <v>2138</v>
      </c>
      <c r="B18" s="2935">
        <v>0</v>
      </c>
      <c r="C18" s="2935"/>
      <c r="D18" s="2934">
        <f>ROUND(14461*B18/10000,2)</f>
        <v>0</v>
      </c>
      <c r="E18" s="2934" t="e">
        <f t="shared" si="1"/>
        <v>#DIV/0!</v>
      </c>
      <c r="F18" s="2934" t="e">
        <f t="shared" si="2"/>
        <v>#DIV/0!</v>
      </c>
      <c r="G18" s="2935"/>
      <c r="H18" s="2935"/>
      <c r="I18" s="2935"/>
      <c r="J18" s="2938"/>
    </row>
    <row r="19" spans="1:10" ht="16.5">
      <c r="A19" s="2933" t="s">
        <v>2139</v>
      </c>
      <c r="B19" s="2935"/>
      <c r="C19" s="2935"/>
      <c r="D19" s="2935"/>
      <c r="E19" s="2934" t="e">
        <f t="shared" si="1"/>
        <v>#DIV/0!</v>
      </c>
      <c r="F19" s="2934" t="e">
        <f t="shared" si="2"/>
        <v>#DIV/0!</v>
      </c>
      <c r="G19" s="2935"/>
      <c r="H19" s="2935"/>
      <c r="I19" s="2935"/>
      <c r="J19" s="2938"/>
    </row>
    <row r="20" spans="1:10" ht="16.5">
      <c r="A20" s="2933" t="s">
        <v>2140</v>
      </c>
      <c r="B20" s="2935"/>
      <c r="C20" s="2935"/>
      <c r="D20" s="2935"/>
      <c r="E20" s="2934" t="e">
        <f t="shared" si="1"/>
        <v>#DIV/0!</v>
      </c>
      <c r="F20" s="2934" t="e">
        <f t="shared" si="2"/>
        <v>#DIV/0!</v>
      </c>
      <c r="G20" s="2935"/>
      <c r="H20" s="2935"/>
      <c r="I20" s="2935"/>
      <c r="J20" s="2938"/>
    </row>
    <row r="21" spans="1:10" ht="16.5">
      <c r="A21" s="2933" t="s">
        <v>2141</v>
      </c>
      <c r="B21" s="2935"/>
      <c r="C21" s="2935"/>
      <c r="D21" s="2935"/>
      <c r="E21" s="2934" t="e">
        <f t="shared" si="1"/>
        <v>#DIV/0!</v>
      </c>
      <c r="F21" s="2934" t="e">
        <f t="shared" si="2"/>
        <v>#DIV/0!</v>
      </c>
      <c r="G21" s="2935"/>
      <c r="H21" s="2935"/>
      <c r="I21" s="2935"/>
      <c r="J21" s="2938"/>
    </row>
    <row r="22" spans="1:10" ht="16.5">
      <c r="A22" s="2933" t="s">
        <v>2142</v>
      </c>
      <c r="B22" s="2935"/>
      <c r="C22" s="2935"/>
      <c r="D22" s="2935"/>
      <c r="E22" s="2934" t="e">
        <f t="shared" si="1"/>
        <v>#DIV/0!</v>
      </c>
      <c r="F22" s="2934" t="e">
        <f t="shared" si="2"/>
        <v>#DIV/0!</v>
      </c>
      <c r="G22" s="2935"/>
      <c r="H22" s="2935"/>
      <c r="I22" s="2935"/>
      <c r="J22" s="2938"/>
    </row>
    <row r="23" spans="1:10" ht="16.5">
      <c r="A23" s="2933" t="s">
        <v>2143</v>
      </c>
      <c r="B23" s="2935"/>
      <c r="C23" s="2935"/>
      <c r="D23" s="2935"/>
      <c r="E23" s="2936" t="e">
        <f t="shared" si="1"/>
        <v>#DIV/0!</v>
      </c>
      <c r="F23" s="2936" t="e">
        <f t="shared" si="2"/>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08" t="s">
        <v>739</v>
      </c>
      <c r="F4" s="3909"/>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2192</v>
      </c>
      <c r="D5" s="3920"/>
      <c r="E5" s="3919" t="s">
        <v>2193</v>
      </c>
      <c r="F5" s="3920"/>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21" t="s">
        <v>2196</v>
      </c>
      <c r="F6" s="3922"/>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3"/>
      <c r="Q24" s="1385">
        <f t="shared" ref="Q24:Q36"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5"/>
      <c r="Q27" s="1414" t="str">
        <f t="shared" si="8"/>
        <v>项目停车位配比</v>
      </c>
      <c r="R27" s="1390" t="s">
        <v>5</v>
      </c>
      <c r="S27" s="1391">
        <f t="shared" si="9"/>
        <v>100</v>
      </c>
      <c r="T27" s="1390" t="s">
        <v>5</v>
      </c>
      <c r="U27" s="1391">
        <f t="shared" si="10"/>
        <v>100</v>
      </c>
      <c r="V27" s="1390" t="s">
        <v>5</v>
      </c>
      <c r="W27" s="1391">
        <f t="shared" si="11"/>
        <v>100</v>
      </c>
      <c r="X27" s="1392"/>
      <c r="Y27" s="390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5"/>
      <c r="Q28" s="1385" t="str">
        <f t="shared" si="8"/>
        <v>公共部分装修</v>
      </c>
      <c r="R28" s="1386" t="s">
        <v>5</v>
      </c>
      <c r="S28" s="1387">
        <f t="shared" si="9"/>
        <v>100</v>
      </c>
      <c r="T28" s="1386" t="s">
        <v>5</v>
      </c>
      <c r="U28" s="1387">
        <f t="shared" si="10"/>
        <v>100</v>
      </c>
      <c r="V28" s="1386" t="s">
        <v>5</v>
      </c>
      <c r="W28" s="1387">
        <f t="shared" si="11"/>
        <v>100</v>
      </c>
      <c r="X28" s="1380"/>
      <c r="Y28" s="390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5"/>
      <c r="Q29" s="1385" t="str">
        <f t="shared" si="8"/>
        <v>成新率</v>
      </c>
      <c r="R29" s="1386" t="s">
        <v>5</v>
      </c>
      <c r="S29" s="1387" t="e">
        <f t="shared" si="9"/>
        <v>#N/A</v>
      </c>
      <c r="T29" s="1386" t="s">
        <v>5</v>
      </c>
      <c r="U29" s="1387" t="e">
        <f t="shared" si="10"/>
        <v>#N/A</v>
      </c>
      <c r="V29" s="1386" t="s">
        <v>5</v>
      </c>
      <c r="W29" s="1387" t="e">
        <f t="shared" si="11"/>
        <v>#N/A</v>
      </c>
      <c r="X29" s="1380"/>
      <c r="Y29" s="390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5"/>
      <c r="Q30" s="1385" t="str">
        <f t="shared" si="8"/>
        <v>物业等级</v>
      </c>
      <c r="R30" s="1386" t="s">
        <v>5</v>
      </c>
      <c r="S30" s="1387">
        <f t="shared" si="9"/>
        <v>100</v>
      </c>
      <c r="T30" s="1386" t="s">
        <v>5</v>
      </c>
      <c r="U30" s="1387">
        <f t="shared" si="10"/>
        <v>100</v>
      </c>
      <c r="V30" s="1386" t="s">
        <v>5</v>
      </c>
      <c r="W30" s="1387">
        <f t="shared" si="11"/>
        <v>100</v>
      </c>
      <c r="X30" s="1380"/>
      <c r="Y30" s="390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5"/>
      <c r="Q31" s="1050" t="str">
        <f t="shared" si="8"/>
        <v>停车位面积</v>
      </c>
      <c r="R31" s="1381" t="s">
        <v>5</v>
      </c>
      <c r="S31" s="1382" t="e">
        <f t="shared" si="9"/>
        <v>#N/A</v>
      </c>
      <c r="T31" s="1381" t="s">
        <v>5</v>
      </c>
      <c r="U31" s="1382" t="e">
        <f t="shared" si="10"/>
        <v>#N/A</v>
      </c>
      <c r="V31" s="1381" t="s">
        <v>5</v>
      </c>
      <c r="W31" s="1382" t="e">
        <f t="shared" si="11"/>
        <v>#N/A</v>
      </c>
      <c r="X31" s="1383"/>
      <c r="Y31" s="390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5" t="s">
        <v>499</v>
      </c>
      <c r="Q32" s="1385" t="str">
        <f t="shared" si="8"/>
        <v>车位类型</v>
      </c>
      <c r="R32" s="1386" t="s">
        <v>5</v>
      </c>
      <c r="S32" s="1387">
        <f t="shared" si="9"/>
        <v>100</v>
      </c>
      <c r="T32" s="1386" t="s">
        <v>5</v>
      </c>
      <c r="U32" s="1387">
        <f t="shared" si="10"/>
        <v>100</v>
      </c>
      <c r="V32" s="1386" t="s">
        <v>5</v>
      </c>
      <c r="W32" s="1387">
        <f t="shared" si="11"/>
        <v>100</v>
      </c>
      <c r="X32" s="1380"/>
      <c r="Y32" s="390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5"/>
      <c r="Q33" s="1385" t="str">
        <f t="shared" si="8"/>
        <v>是否直接入户</v>
      </c>
      <c r="R33" s="1386" t="s">
        <v>5</v>
      </c>
      <c r="S33" s="1387">
        <f t="shared" si="9"/>
        <v>100</v>
      </c>
      <c r="T33" s="1386" t="s">
        <v>5</v>
      </c>
      <c r="U33" s="1387">
        <f t="shared" si="10"/>
        <v>100</v>
      </c>
      <c r="V33" s="1386" t="s">
        <v>5</v>
      </c>
      <c r="W33" s="1387">
        <f t="shared" si="11"/>
        <v>100</v>
      </c>
      <c r="X33" s="1380"/>
      <c r="Y33" s="390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5"/>
      <c r="Q35" s="1414">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5"/>
      <c r="Q36" s="1385">
        <f t="shared" si="8"/>
        <v>111</v>
      </c>
      <c r="R36" s="1386" t="s">
        <v>5</v>
      </c>
      <c r="S36" s="1387">
        <f t="shared" si="9"/>
        <v>100</v>
      </c>
      <c r="T36" s="1386" t="s">
        <v>5</v>
      </c>
      <c r="U36" s="1387">
        <f t="shared" si="10"/>
        <v>100</v>
      </c>
      <c r="V36" s="1386" t="s">
        <v>5</v>
      </c>
      <c r="W36" s="1387">
        <f t="shared" si="11"/>
        <v>100</v>
      </c>
      <c r="X36" s="1380"/>
      <c r="Y36" s="390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00" t="str">
        <f>A37</f>
        <v>成交单价</v>
      </c>
      <c r="Q37" s="3900"/>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00" t="str">
        <f>A38</f>
        <v>比较价格（元/平方米）</v>
      </c>
      <c r="Q38" s="3900"/>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06" t="str">
        <f>A39</f>
        <v>估价对象XX用房的比较价格（楼面单价，元/平方米）</v>
      </c>
      <c r="Q39" s="3907"/>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30" t="s">
        <v>739</v>
      </c>
      <c r="F4" s="3931"/>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2192</v>
      </c>
      <c r="D5" s="3920"/>
      <c r="E5" s="3932" t="s">
        <v>2193</v>
      </c>
      <c r="F5" s="3933"/>
      <c r="G5" s="3919" t="s">
        <v>2194</v>
      </c>
      <c r="H5" s="3920"/>
      <c r="I5" s="3919" t="s">
        <v>2195</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2196</v>
      </c>
      <c r="D6" s="3918"/>
      <c r="E6" s="3934" t="s">
        <v>2196</v>
      </c>
      <c r="F6" s="3935"/>
      <c r="G6" s="3917" t="s">
        <v>2196</v>
      </c>
      <c r="H6" s="3918"/>
      <c r="I6" s="3917" t="s">
        <v>2196</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3"/>
      <c r="Q24" s="1385">
        <f t="shared" ref="Q24:Q34"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5"/>
      <c r="Q27" s="1414" t="str">
        <f t="shared" si="8"/>
        <v>成新率</v>
      </c>
      <c r="R27" s="1390" t="s">
        <v>5</v>
      </c>
      <c r="S27" s="1391" t="e">
        <f t="shared" si="9"/>
        <v>#N/A</v>
      </c>
      <c r="T27" s="1390" t="s">
        <v>5</v>
      </c>
      <c r="U27" s="1391" t="e">
        <f t="shared" si="10"/>
        <v>#N/A</v>
      </c>
      <c r="V27" s="1390" t="s">
        <v>5</v>
      </c>
      <c r="W27" s="1391" t="e">
        <f t="shared" si="11"/>
        <v>#N/A</v>
      </c>
      <c r="X27" s="1392"/>
      <c r="Y27" s="390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5"/>
      <c r="Q28" s="1385" t="str">
        <f t="shared" si="8"/>
        <v>物业等级</v>
      </c>
      <c r="R28" s="1386" t="s">
        <v>5</v>
      </c>
      <c r="S28" s="1387">
        <f t="shared" si="9"/>
        <v>100</v>
      </c>
      <c r="T28" s="1386" t="s">
        <v>5</v>
      </c>
      <c r="U28" s="1387">
        <f t="shared" si="10"/>
        <v>100</v>
      </c>
      <c r="V28" s="1386" t="s">
        <v>5</v>
      </c>
      <c r="W28" s="1387">
        <f t="shared" si="11"/>
        <v>100</v>
      </c>
      <c r="X28" s="1380"/>
      <c r="Y28" s="390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5"/>
      <c r="Q29" s="1385" t="str">
        <f t="shared" si="8"/>
        <v>有无电梯</v>
      </c>
      <c r="R29" s="1386" t="s">
        <v>5</v>
      </c>
      <c r="S29" s="1387">
        <f t="shared" si="9"/>
        <v>100</v>
      </c>
      <c r="T29" s="1386" t="s">
        <v>5</v>
      </c>
      <c r="U29" s="1387">
        <f t="shared" si="10"/>
        <v>100</v>
      </c>
      <c r="V29" s="1386" t="s">
        <v>5</v>
      </c>
      <c r="W29" s="1387">
        <f t="shared" si="11"/>
        <v>100</v>
      </c>
      <c r="X29" s="1380"/>
      <c r="Y29" s="390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5"/>
      <c r="Q30" s="1385" t="str">
        <f t="shared" si="8"/>
        <v>建筑面积</v>
      </c>
      <c r="R30" s="1386" t="s">
        <v>5</v>
      </c>
      <c r="S30" s="1387" t="e">
        <f t="shared" si="9"/>
        <v>#N/A</v>
      </c>
      <c r="T30" s="1386" t="s">
        <v>5</v>
      </c>
      <c r="U30" s="1387" t="e">
        <f t="shared" si="10"/>
        <v>#N/A</v>
      </c>
      <c r="V30" s="1386" t="s">
        <v>5</v>
      </c>
      <c r="W30" s="1387" t="e">
        <f t="shared" si="11"/>
        <v>#N/A</v>
      </c>
      <c r="X30" s="1380"/>
      <c r="Y30" s="390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5"/>
      <c r="Q31" s="1050" t="str">
        <f t="shared" si="8"/>
        <v>是否封闭</v>
      </c>
      <c r="R31" s="1381" t="s">
        <v>5</v>
      </c>
      <c r="S31" s="1382">
        <f t="shared" si="9"/>
        <v>100</v>
      </c>
      <c r="T31" s="1381" t="s">
        <v>5</v>
      </c>
      <c r="U31" s="1382">
        <f t="shared" si="10"/>
        <v>100</v>
      </c>
      <c r="V31" s="1381" t="s">
        <v>5</v>
      </c>
      <c r="W31" s="1382">
        <f t="shared" si="11"/>
        <v>100</v>
      </c>
      <c r="X31" s="1383"/>
      <c r="Y31" s="390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5" t="s">
        <v>499</v>
      </c>
      <c r="Q32" s="1385">
        <f t="shared" si="8"/>
        <v>111</v>
      </c>
      <c r="R32" s="1386" t="s">
        <v>5</v>
      </c>
      <c r="S32" s="1387">
        <f t="shared" si="9"/>
        <v>100</v>
      </c>
      <c r="T32" s="1386" t="s">
        <v>5</v>
      </c>
      <c r="U32" s="1387">
        <f t="shared" si="10"/>
        <v>100</v>
      </c>
      <c r="V32" s="1386" t="s">
        <v>5</v>
      </c>
      <c r="W32" s="1387">
        <f t="shared" si="11"/>
        <v>100</v>
      </c>
      <c r="X32" s="1380"/>
      <c r="Y32" s="390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5"/>
      <c r="Q33" s="1385">
        <f t="shared" si="8"/>
        <v>111</v>
      </c>
      <c r="R33" s="1386" t="s">
        <v>5</v>
      </c>
      <c r="S33" s="1387">
        <f t="shared" si="9"/>
        <v>100</v>
      </c>
      <c r="T33" s="1386" t="s">
        <v>5</v>
      </c>
      <c r="U33" s="1387">
        <f t="shared" si="10"/>
        <v>100</v>
      </c>
      <c r="V33" s="1386" t="s">
        <v>5</v>
      </c>
      <c r="W33" s="1387">
        <f t="shared" si="11"/>
        <v>100</v>
      </c>
      <c r="X33" s="1380"/>
      <c r="Y33" s="390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0" t="str">
        <f>A35</f>
        <v>成交单价（元/平方米）</v>
      </c>
      <c r="Q35" s="3900"/>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00" t="str">
        <f>A36</f>
        <v>比较价格（元/平方米）</v>
      </c>
      <c r="Q36" s="3900"/>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0" t="s">
        <v>1556</v>
      </c>
      <c r="B1" s="3690"/>
      <c r="C1" s="3690"/>
      <c r="D1" s="3690"/>
      <c r="E1" s="3690"/>
      <c r="F1" s="3690"/>
      <c r="G1" s="3690"/>
      <c r="H1" s="3690"/>
      <c r="I1" s="3690"/>
      <c r="J1" s="3690"/>
      <c r="K1" s="3690"/>
      <c r="L1" s="3690"/>
      <c r="M1" s="3690"/>
      <c r="N1" s="3690"/>
      <c r="O1" s="3690"/>
      <c r="P1" s="3690"/>
      <c r="Q1" s="3690"/>
      <c r="R1" s="3690"/>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1" t="s">
        <v>1547</v>
      </c>
      <c r="B3" s="3691" t="s">
        <v>2013</v>
      </c>
      <c r="C3" s="3692" t="s">
        <v>1548</v>
      </c>
      <c r="D3" s="3691" t="s">
        <v>2017</v>
      </c>
      <c r="E3" s="3694" t="s">
        <v>1549</v>
      </c>
      <c r="F3" s="3694"/>
      <c r="G3" s="3694"/>
      <c r="H3" s="3694" t="s">
        <v>1550</v>
      </c>
      <c r="I3" s="3694"/>
      <c r="J3" s="3694"/>
      <c r="K3" s="3692" t="s">
        <v>1551</v>
      </c>
      <c r="L3" s="3692" t="s">
        <v>1552</v>
      </c>
      <c r="M3" s="3691" t="s">
        <v>2014</v>
      </c>
      <c r="N3" s="3693" t="str">
        <f>"（分摊）"&amp;项目基本情况!A17&amp;"国有建设用地使用权面积/㎡"</f>
        <v>（分摊）出让国有建设用地使用权面积/㎡</v>
      </c>
      <c r="O3" s="3691" t="s">
        <v>1581</v>
      </c>
      <c r="P3" s="3692" t="s">
        <v>1561</v>
      </c>
      <c r="Q3" s="3692" t="s">
        <v>1582</v>
      </c>
      <c r="R3" s="3692" t="s">
        <v>1553</v>
      </c>
    </row>
    <row r="4" spans="1:18" ht="36.75" customHeight="1">
      <c r="A4" s="3691"/>
      <c r="B4" s="3691"/>
      <c r="C4" s="3692"/>
      <c r="D4" s="3691"/>
      <c r="E4" s="2254" t="s">
        <v>1560</v>
      </c>
      <c r="F4" s="2254" t="s">
        <v>2026</v>
      </c>
      <c r="G4" s="2254" t="s">
        <v>1554</v>
      </c>
      <c r="H4" s="2254" t="s">
        <v>1555</v>
      </c>
      <c r="I4" s="2254" t="s">
        <v>2027</v>
      </c>
      <c r="J4" s="2254" t="s">
        <v>1554</v>
      </c>
      <c r="K4" s="3692"/>
      <c r="L4" s="3692"/>
      <c r="M4" s="3691"/>
      <c r="N4" s="3693"/>
      <c r="O4" s="3691"/>
      <c r="P4" s="3692"/>
      <c r="Q4" s="3692"/>
      <c r="R4" s="369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1778900</v>
      </c>
      <c r="O5" s="1598">
        <f>项目基本情况!C21</f>
        <v>4447250</v>
      </c>
      <c r="P5" s="1598">
        <f ca="1">结果表!E42</f>
        <v>36152</v>
      </c>
      <c r="Q5" s="1598">
        <f ca="1">结果表!D42</f>
        <v>14461</v>
      </c>
      <c r="R5" s="1599">
        <f ca="1">结果表!C42</f>
        <v>6431141</v>
      </c>
    </row>
    <row r="6" spans="1:18">
      <c r="A6" s="3687" t="str">
        <f>IF(项目基本情况!B9="市场价格","——","抵押价格")</f>
        <v>——</v>
      </c>
      <c r="B6" s="3688"/>
      <c r="C6" s="3688"/>
      <c r="D6" s="3688"/>
      <c r="E6" s="3688"/>
      <c r="F6" s="3688"/>
      <c r="G6" s="3688"/>
      <c r="H6" s="3688"/>
      <c r="I6" s="3688"/>
      <c r="J6" s="3688"/>
      <c r="K6" s="3688"/>
      <c r="L6" s="3688"/>
      <c r="M6" s="3688"/>
      <c r="N6" s="3688"/>
      <c r="O6" s="3688"/>
      <c r="P6" s="3688"/>
      <c r="Q6" s="3689"/>
      <c r="R6" s="1600" t="str">
        <f>结果表!O39</f>
        <v>——</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1600" t="str">
        <f>结果表!O40</f>
        <v>——</v>
      </c>
    </row>
    <row r="8" spans="1:18">
      <c r="A8" s="3687" t="str">
        <f>IF(项目基本情况!B9="市场价格","——",项目基本情况!E9)</f>
        <v>——</v>
      </c>
      <c r="B8" s="3688"/>
      <c r="C8" s="3688"/>
      <c r="D8" s="3688"/>
      <c r="E8" s="3688"/>
      <c r="F8" s="3688"/>
      <c r="G8" s="3688"/>
      <c r="H8" s="3688"/>
      <c r="I8" s="3688"/>
      <c r="J8" s="3688"/>
      <c r="K8" s="3688"/>
      <c r="L8" s="3688"/>
      <c r="M8" s="3688"/>
      <c r="N8" s="3688"/>
      <c r="O8" s="3688"/>
      <c r="P8" s="3688"/>
      <c r="Q8" s="368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5" t="s">
        <v>1583</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1584</v>
      </c>
      <c r="B5" s="3698"/>
      <c r="C5" s="3698"/>
      <c r="D5" s="3698"/>
    </row>
    <row r="6" spans="1:4">
      <c r="A6" s="3695" t="s">
        <v>1562</v>
      </c>
      <c r="B6" s="3695"/>
      <c r="C6" s="3695"/>
      <c r="D6" s="3695"/>
    </row>
    <row r="7" spans="1:4" ht="33" customHeight="1">
      <c r="A7" s="3695" t="s">
        <v>1857</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5"/>
      <c r="C8" s="3695"/>
      <c r="D8" s="3695"/>
    </row>
    <row r="9" spans="1:4" ht="33.75" customHeight="1">
      <c r="A9" s="3695" t="str">
        <f>IF(项目基本情况!B8="抵押","3.抵押双方在办理抵押登记手续时，应使用本公司出具的正式《土地估价报告》，特提请报告使用者注意。","——")</f>
        <v>——</v>
      </c>
      <c r="B9" s="3695"/>
      <c r="C9" s="3695"/>
      <c r="D9" s="3695"/>
    </row>
    <row r="10" spans="1:4">
      <c r="A10" s="3695" t="str">
        <f>IF(项目基本情况!B8="抵押","4.估价师所知悉的法定优先受偿款情况为：","——")</f>
        <v>——</v>
      </c>
      <c r="B10" s="3695"/>
      <c r="C10" s="3695"/>
      <c r="D10" s="3695"/>
    </row>
    <row r="11" spans="1:4" ht="37.5" customHeight="1">
      <c r="A11" s="3697" t="str">
        <f>IF(项目基本情况!B8="抵押","（1）"&amp;CONCATENATE(项目基本情况!L24,项目基本情况!L25,项目基本情况!L26),"——")</f>
        <v>——</v>
      </c>
      <c r="B11" s="3697"/>
      <c r="C11" s="3697"/>
      <c r="D11" s="3697"/>
    </row>
    <row r="12" spans="1:4" ht="168" customHeight="1">
      <c r="A12" s="3698" t="s">
        <v>1586</v>
      </c>
      <c r="B12" s="3698"/>
      <c r="C12" s="3698"/>
      <c r="D12" s="3698"/>
    </row>
    <row r="13" spans="1:4">
      <c r="A13" s="3696" t="s">
        <v>2028</v>
      </c>
      <c r="B13" s="3696"/>
      <c r="C13" s="3696"/>
      <c r="D13" s="3696"/>
    </row>
    <row r="14" spans="1:4">
      <c r="A14" s="3697" t="str">
        <f>IF(项目基本情况!B8="抵押","综上，"&amp;结果表!K47,"——")</f>
        <v>——</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1984</v>
      </c>
      <c r="B17" s="3695"/>
      <c r="C17" s="3695"/>
      <c r="D17" s="3695"/>
    </row>
    <row r="18" spans="1:4">
      <c r="A18" s="3695" t="s">
        <v>1976</v>
      </c>
      <c r="B18" s="3695"/>
      <c r="C18" s="3695"/>
      <c r="D18" s="369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5" t="s">
        <v>1981</v>
      </c>
      <c r="B23" s="3695"/>
      <c r="C23" s="3695"/>
      <c r="D23" s="369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3682" t="s">
        <v>3368</v>
      </c>
      <c r="C22" s="1371"/>
    </row>
    <row r="23" spans="1:3">
      <c r="A23" s="6" t="s">
        <v>92</v>
      </c>
      <c r="B23" s="3682" t="s">
        <v>3369</v>
      </c>
      <c r="C23" s="1371"/>
    </row>
    <row r="24" spans="1:3">
      <c r="A24" s="6" t="s">
        <v>9</v>
      </c>
      <c r="B24" s="3682" t="s">
        <v>3370</v>
      </c>
      <c r="C24" s="1371"/>
    </row>
    <row r="25" spans="1:3">
      <c r="A25" s="6" t="s">
        <v>93</v>
      </c>
      <c r="B25" s="3682" t="s">
        <v>3371</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2023-07-07T06:39:09Z</dcterms:modified>
</cp:coreProperties>
</file>