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P3" i="78" l="1"/>
  <c r="P4" i="78"/>
  <c r="P5" i="78"/>
  <c r="P6" i="78"/>
  <c r="P7" i="78"/>
  <c r="P8" i="78"/>
  <c r="P9" i="78"/>
  <c r="P10" i="78"/>
  <c r="P11" i="78"/>
  <c r="P12" i="78"/>
  <c r="P13" i="78"/>
  <c r="P14" i="78"/>
  <c r="P15" i="78"/>
  <c r="P2" i="78"/>
  <c r="D9" i="68"/>
  <c r="C9" i="68"/>
  <c r="D10" i="68"/>
  <c r="C10" i="68"/>
  <c r="C8" i="68"/>
  <c r="C5" i="68"/>
  <c r="C20" i="68"/>
  <c r="D5" i="73"/>
  <c r="G1" i="73"/>
  <c r="B40" i="1"/>
  <c r="F22" i="68"/>
  <c r="C23" i="68"/>
  <c r="C24" i="68"/>
  <c r="C25" i="68"/>
  <c r="C22" i="68"/>
  <c r="F27" i="68"/>
  <c r="C28" i="68"/>
  <c r="C27" i="68"/>
  <c r="C26" i="68"/>
  <c r="D22" i="68"/>
  <c r="C29" i="68"/>
  <c r="D27" i="68"/>
  <c r="C31" i="68"/>
  <c r="F34" i="68"/>
  <c r="M6" i="1"/>
  <c r="C34" i="68"/>
  <c r="C35" i="68"/>
  <c r="C36" i="68"/>
  <c r="D19" i="68"/>
  <c r="D37" i="68"/>
  <c r="C37" i="68"/>
  <c r="C38" i="68"/>
  <c r="C33" i="68"/>
  <c r="C39" i="68"/>
  <c r="C42" i="68"/>
  <c r="C43" i="68"/>
  <c r="C41" i="68"/>
  <c r="C46" i="68"/>
  <c r="C45" i="68"/>
  <c r="C44" i="68"/>
  <c r="D41" i="68"/>
  <c r="C47" i="68"/>
  <c r="D45" i="68"/>
  <c r="C49" i="68"/>
  <c r="M16" i="1"/>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J20" i="9"/>
  <c r="I5" i="40"/>
  <c r="G5" i="40"/>
  <c r="E5" i="40"/>
  <c r="D76" i="40"/>
  <c r="E76" i="40"/>
  <c r="F76" i="40"/>
  <c r="F11" i="40"/>
  <c r="AA11" i="40"/>
  <c r="F34" i="40"/>
  <c r="AA34" i="40"/>
  <c r="R42" i="40"/>
  <c r="G76" i="40"/>
  <c r="H11" i="40"/>
  <c r="AB11" i="40"/>
  <c r="H34" i="40"/>
  <c r="AB34" i="40"/>
  <c r="T42" i="40"/>
  <c r="J11" i="40"/>
  <c r="AC11" i="40"/>
  <c r="J34" i="40"/>
  <c r="AC34" i="40"/>
  <c r="V42" i="40"/>
  <c r="R43" i="40"/>
  <c r="C43" i="40"/>
  <c r="F61" i="40"/>
  <c r="B2" i="40"/>
  <c r="C6" i="68"/>
  <c r="I41" i="40"/>
  <c r="G41" i="40"/>
  <c r="E41" i="40"/>
  <c r="N3" i="78"/>
  <c r="N4" i="78"/>
  <c r="N2" i="78"/>
  <c r="I34" i="40"/>
  <c r="G34" i="40"/>
  <c r="E34" i="40"/>
  <c r="C34" i="40"/>
  <c r="C11" i="40"/>
  <c r="I7" i="40"/>
  <c r="G7" i="40"/>
  <c r="E7" i="40"/>
  <c r="B29" i="1"/>
  <c r="D4" i="73"/>
  <c r="E20" i="43"/>
  <c r="P28" i="43"/>
  <c r="G20" i="43"/>
  <c r="C20" i="43"/>
  <c r="C29" i="43"/>
  <c r="E29" i="43"/>
  <c r="C33" i="43"/>
  <c r="E33" i="43"/>
  <c r="C34" i="43"/>
  <c r="E34" i="43"/>
  <c r="C35" i="43"/>
  <c r="E35" i="43"/>
  <c r="C36" i="43"/>
  <c r="E36" i="43"/>
  <c r="C37" i="43"/>
  <c r="E37" i="43"/>
  <c r="E41" i="43"/>
  <c r="C41" i="43"/>
  <c r="C38" i="43"/>
  <c r="E38" i="43"/>
  <c r="C39" i="43"/>
  <c r="E39" i="43"/>
  <c r="C26" i="43"/>
  <c r="B2" i="43"/>
  <c r="G82" i="43"/>
  <c r="G83" i="43"/>
  <c r="G84" i="43"/>
  <c r="G85" i="43"/>
  <c r="G86" i="43"/>
  <c r="G87" i="43"/>
  <c r="G88" i="43"/>
  <c r="G81" i="43"/>
  <c r="D38" i="43"/>
  <c r="G41" i="43"/>
  <c r="D29" i="43"/>
  <c r="G19" i="6"/>
  <c r="I13" i="3"/>
  <c r="E8" i="77"/>
  <c r="F11" i="77"/>
  <c r="N6" i="1"/>
  <c r="Y6" i="1"/>
  <c r="F9" i="77"/>
  <c r="G9" i="77"/>
  <c r="G3" i="77"/>
  <c r="G4" i="77"/>
  <c r="G5" i="77"/>
  <c r="G6" i="77"/>
  <c r="G7" i="77"/>
  <c r="G8" i="77"/>
  <c r="G2" i="77"/>
  <c r="F8" i="77"/>
  <c r="F7" i="77"/>
  <c r="F6" i="77"/>
  <c r="F5" i="77"/>
  <c r="F3" i="77"/>
  <c r="F4" i="77"/>
  <c r="F2" i="77"/>
  <c r="E9" i="77"/>
  <c r="B55" i="1"/>
  <c r="B56" i="1"/>
  <c r="B57" i="1"/>
  <c r="B58" i="1"/>
  <c r="B59" i="1"/>
  <c r="B54" i="1"/>
  <c r="F19" i="6"/>
  <c r="D3" i="4"/>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E19" i="6"/>
  <c r="E3" i="6"/>
  <c r="D19" i="6"/>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D84" i="43"/>
  <c r="D85" i="43"/>
  <c r="D86" i="43"/>
  <c r="K87" i="43"/>
  <c r="D87" i="43"/>
  <c r="D88" i="43"/>
  <c r="K81" i="43"/>
  <c r="D81" i="43"/>
  <c r="D67" i="43"/>
  <c r="D60" i="43"/>
  <c r="D61" i="43"/>
  <c r="D62" i="43"/>
  <c r="D63" i="43"/>
  <c r="D64" i="43"/>
  <c r="D65" i="43"/>
  <c r="D66" i="43"/>
  <c r="D59" i="43"/>
  <c r="E59" i="43"/>
  <c r="B57" i="43"/>
  <c r="E81" i="43"/>
  <c r="B79" i="43"/>
  <c r="C24" i="43"/>
  <c r="M88" i="43"/>
  <c r="N88" i="43"/>
  <c r="K88" i="43"/>
  <c r="J88" i="43"/>
  <c r="M87" i="43"/>
  <c r="N87" i="43"/>
  <c r="J87" i="43"/>
  <c r="M86" i="43"/>
  <c r="N86" i="43"/>
  <c r="K86" i="43"/>
  <c r="J86" i="43"/>
  <c r="M85" i="43"/>
  <c r="N85" i="43"/>
  <c r="K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8"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C19" i="68"/>
  <c r="K1" i="73"/>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B10" i="49"/>
  <c r="E6" i="49"/>
  <c r="E8" i="49"/>
  <c r="E5" i="49"/>
  <c r="B8" i="49"/>
  <c r="B5" i="49"/>
  <c r="E21" i="49"/>
  <c r="E4" i="49"/>
  <c r="B11"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H7" i="40"/>
  <c r="W7" i="40"/>
  <c r="AC7" i="40"/>
  <c r="I42" i="40"/>
  <c r="F7" i="39"/>
  <c r="J7" i="39"/>
  <c r="H7" i="39"/>
  <c r="E42" i="40"/>
  <c r="I47" i="40"/>
  <c r="J47" i="40"/>
  <c r="I46" i="40"/>
  <c r="J46" i="40"/>
  <c r="U7" i="40"/>
  <c r="AB7" i="40"/>
  <c r="G42" i="40"/>
  <c r="AB7" i="39"/>
  <c r="T47" i="39"/>
  <c r="G47" i="39"/>
  <c r="U7" i="39"/>
  <c r="AC7" i="39"/>
  <c r="V47" i="39"/>
  <c r="I47" i="39"/>
  <c r="W7" i="39"/>
  <c r="S7" i="39"/>
  <c r="AA7" i="39"/>
  <c r="R47" i="39"/>
  <c r="G47" i="40"/>
  <c r="H47" i="40"/>
  <c r="G46" i="40"/>
  <c r="H46"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B52" i="40"/>
  <c r="F52" i="40"/>
  <c r="B3"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<sst xmlns="http://schemas.openxmlformats.org/spreadsheetml/2006/main" count="7436" uniqueCount="3162">
  <si>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</si>
  <si>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</si>
  <si>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</si>
  <si>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</si>
  <si>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</si>
  <si>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</si>
  <si>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</si>
  <si>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</si>
  <si>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</si>
  <si>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</si>
  <si>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</si>
  <si>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</si>
  <si>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</si>
  <si>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</si>
  <si>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</si>
  <si>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</si>
  <si>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</si>
  <si>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</si>
  <si>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</si>
  <si>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</si>
  <si>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</si>
  <si>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</si>
  <si>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</si>
  <si>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</si>
  <si>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</si>
  <si>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</si>
  <si>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</si>
  <si>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</si>
  <si>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</si>
  <si>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</si>
  <si>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</si>
  <si>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</si>
  <si>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</si>
  <si>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</si>
  <si>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</si>
  <si>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</si>
  <si>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</si>
  <si>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</si>
  <si>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</si>
  <si>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</si>
  <si>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</si>
  <si>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</si>
  <si>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</si>
  <si>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</si>
  <si>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</si>
  <si>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</si>
  <si>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</si>
  <si>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</si>
  <si>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</si>
  <si>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</si>
  <si>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</si>
  <si>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</si>
  <si>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</si>
  <si>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</si>
  <si>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</si>
  <si>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</si>
  <si>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</si>
  <si>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</si>
  <si>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</si>
  <si>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</si>
  <si>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</si>
  <si>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</si>
  <si>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</si>
  <si>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</si>
  <si>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</si>
  <si>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</si>
  <si>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</si>
  <si>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</si>
  <si>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</si>
  <si>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</si>
  <si>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</si>
  <si>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</si>
  <si>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</si>
  <si>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</si>
  <si>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</si>
  <si>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</si>
  <si>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</si>
  <si>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</si>
  <si>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</si>
  <si>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</si>
  <si>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</si>
  <si>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</si>
  <si>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</si>
  <si>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</si>
  <si>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</si>
  <si>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</si>
  <si>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</si>
  <si>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</si>
  <si>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</si>
  <si>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</si>
  <si>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</si>
  <si>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</si>
  <si>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</si>
  <si>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</si>
  <si>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</si>
  <si>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</si>
  <si>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</si>
  <si>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</si>
  <si>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</si>
  <si>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</si>
  <si>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</si>
  <si>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</si>
  <si>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</si>
  <si>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</si>
  <si>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</si>
  <si>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</si>
  <si>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</si>
  <si>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</si>
  <si>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</si>
  <si>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</si>
  <si>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</si>
  <si>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</si>
  <si>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</si>
  <si>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</si>
  <si>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</si>
  <si>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</si>
  <si>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</si>
  <si>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</si>
  <si>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</si>
  <si>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</si>
  <si>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</si>
  <si>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</si>
  <si>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</si>
  <si>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</si>
  <si>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</si>
  <si>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</si>
  <si>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</si>
  <si>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</si>
  <si>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</si>
  <si>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</si>
  <si>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</si>
  <si>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</si>
  <si>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</si>
  <si>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</si>
  <si>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</si>
  <si>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</si>
  <si>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</si>
  <si>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</si>
  <si>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</si>
  <si>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</si>
  <si>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</si>
  <si>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</si>
  <si>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</si>
  <si>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</si>
  <si>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</si>
  <si>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</si>
  <si>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</si>
  <si>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</si>
  <si>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</si>
  <si>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</si>
  <si>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</si>
  <si>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</si>
  <si>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</si>
  <si>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</si>
  <si>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</si>
  <si>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</si>
  <si>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</si>
  <si>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</si>
  <si>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</si>
  <si>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</si>
  <si>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</si>
  <si>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</si>
  <si>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</si>
  <si>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</si>
  <si>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</si>
  <si>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</si>
  <si>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</si>
  <si>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</si>
  <si>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</si>
  <si>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</si>
  <si>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</si>
  <si>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</si>
  <si>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</si>
  <si>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</si>
  <si>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</si>
  <si>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</si>
  <si>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</si>
  <si>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</si>
  <si>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</si>
  <si>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</si>
  <si>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</si>
  <si>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</si>
  <si>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</si>
  <si>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</si>
  <si>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</si>
  <si>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</si>
  <si>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</si>
  <si>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</si>
  <si>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</si>
  <si>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</si>
  <si>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</si>
  <si>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</si>
  <si>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</si>
  <si>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</si>
  <si>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</si>
  <si>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</si>
  <si>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</si>
  <si>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</si>
  <si>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</si>
  <si>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</si>
  <si>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</si>
  <si>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</si>
  <si>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</si>
  <si>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</si>
  <si>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</si>
  <si>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</si>
  <si>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</si>
  <si>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</si>
  <si>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</si>
  <si>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</si>
  <si>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</si>
  <si>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</si>
  <si>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</si>
  <si>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</si>
  <si>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</si>
  <si>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</si>
  <si>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</si>
  <si>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</si>
  <si>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</si>
  <si>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</si>
  <si>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</si>
  <si>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</si>
  <si>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</si>
  <si>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</si>
  <si>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</si>
  <si>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</si>
  <si>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</si>
  <si>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</si>
  <si>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</si>
  <si>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</si>
  <si>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</si>
  <si>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</si>
  <si>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</si>
  <si>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</si>
  <si>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</si>
  <si>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</si>
  <si>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</si>
  <si>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</si>
  <si>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</si>
  <si>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</si>
  <si>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</si>
  <si>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</si>
  <si>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</si>
  <si>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</si>
  <si>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</si>
  <si>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</si>
  <si>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</si>
  <si>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</si>
  <si>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</si>
  <si>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</si>
  <si>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</si>
  <si>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</si>
  <si>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</si>
  <si>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</si>
  <si>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</si>
  <si>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</si>
  <si>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</si>
  <si>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</si>
  <si>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</si>
  <si>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</si>
  <si>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</si>
  <si>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</si>
  <si>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</si>
  <si>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</si>
  <si>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</si>
  <si>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</si>
  <si>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</si>
  <si>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</si>
  <si>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</si>
  <si>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</si>
  <si>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</si>
  <si>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</si>
  <si>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</si>
  <si>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</si>
  <si>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</si>
  <si>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</si>
  <si>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</si>
  <si>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</si>
  <si>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</si>
  <si>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</si>
  <si>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</si>
  <si>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</si>
  <si>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</si>
  <si>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</si>
  <si>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</si>
  <si>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</si>
  <si>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</si>
  <si>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</si>
  <si>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</si>
  <si>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</si>
  <si>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</si>
  <si>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</si>
  <si>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</si>
  <si>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</si>
  <si>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</si>
  <si>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</si>
  <si>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</si>
  <si>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</si>
  <si>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</si>
  <si>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</si>
  <si>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</si>
  <si>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</si>
  <si>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</si>
  <si>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</si>
  <si>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</si>
  <si>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</si>
  <si>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</si>
  <si>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</si>
  <si>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</si>
  <si>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</si>
  <si>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</si>
  <si>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</si>
  <si>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</si>
  <si>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</si>
  <si>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</si>
  <si>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</si>
  <si>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</si>
  <si>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</si>
  <si>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</si>
  <si>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</si>
  <si>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</si>
  <si>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</si>
  <si>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</si>
  <si>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</si>
  <si>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</si>
  <si>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</si>
  <si>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</si>
  <si>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</si>
  <si>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</si>
  <si>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</si>
  <si>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</si>
  <si>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</si>
  <si>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</si>
  <si>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</si>
  <si>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</si>
  <si>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</si>
  <si>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</si>
  <si>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</si>
  <si>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</si>
  <si>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</si>
  <si>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</si>
  <si>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</si>
  <si>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</si>
  <si>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</si>
  <si>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</si>
  <si>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</si>
  <si>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</si>
  <si>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</si>
  <si>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</si>
  <si>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</si>
  <si>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</si>
  <si>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</si>
  <si>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</si>
  <si>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</si>
  <si>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</si>
  <si>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</si>
  <si>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</si>
  <si>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</si>
  <si>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</si>
  <si>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</si>
  <si>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</si>
  <si>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</si>
  <si>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</si>
  <si>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</si>
  <si>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</si>
  <si>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</si>
  <si>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</si>
  <si>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</si>
  <si>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</si>
  <si>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</si>
  <si>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</si>
  <si>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</si>
  <si>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</si>
  <si>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</si>
  <si>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</si>
  <si>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</si>
  <si>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</si>
  <si>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</si>
  <si>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</si>
  <si>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</si>
  <si>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</si>
  <si>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</si>
  <si>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</si>
  <si>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</si>
  <si>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</si>
  <si>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</si>
  <si>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</si>
  <si>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</si>
  <si>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</si>
  <si>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</si>
  <si>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</si>
  <si>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</si>
  <si>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</si>
  <si>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</si>
  <si>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</si>
  <si>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</si>
  <si>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</si>
  <si>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</si>
  <si>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</si>
  <si>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</si>
  <si>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</si>
  <si>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</si>
  <si>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</si>
  <si>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</si>
  <si>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</si>
  <si>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</si>
  <si>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</si>
  <si>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</si>
  <si>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</si>
  <si>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</si>
  <si>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</si>
  <si>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</si>
  <si>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</si>
  <si>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</si>
  <si>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</si>
  <si>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</si>
  <si>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</si>
  <si>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</si>
  <si>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</si>
  <si>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</si>
  <si>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</si>
  <si>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</si>
  <si>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</si>
  <si>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</si>
  <si>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</si>
  <si>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</si>
  <si>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</si>
  <si>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</si>
  <si>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</si>
  <si>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</si>
  <si>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</si>
  <si>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</si>
  <si>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</si>
  <si>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</si>
  <si>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</si>
  <si>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</si>
  <si>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</si>
  <si>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</si>
  <si>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</si>
  <si>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</si>
  <si>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</si>
  <si>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</si>
  <si>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</si>
  <si>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</si>
  <si>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</si>
  <si>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</si>
  <si>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</si>
  <si>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</si>
  <si>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</si>
  <si>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</si>
  <si>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</si>
  <si>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</si>
  <si>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</si>
  <si>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</si>
  <si>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</si>
  <si>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</si>
  <si>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</si>
  <si>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</si>
  <si>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</si>
  <si>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</si>
  <si>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</si>
  <si>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</si>
  <si>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</si>
  <si>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</si>
  <si>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</si>
  <si>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</si>
  <si>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</si>
  <si>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</si>
  <si>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</si>
  <si>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</si>
  <si>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</si>
  <si>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</si>
  <si>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</si>
  <si>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</si>
  <si>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</si>
  <si>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</si>
  <si>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</si>
  <si>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</si>
  <si>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</si>
  <si>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</si>
  <si>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</si>
  <si>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</si>
  <si>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</si>
  <si>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</si>
  <si>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</si>
  <si>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</si>
  <si>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</si>
  <si>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</si>
  <si>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</si>
  <si>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</si>
  <si>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</si>
  <si>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</si>
  <si>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</si>
  <si>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</si>
  <si>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</si>
  <si>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</si>
  <si>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</si>
  <si>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</si>
  <si>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</si>
  <si>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</si>
  <si>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</si>
  <si>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</si>
  <si>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</si>
  <si>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</si>
  <si>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</si>
  <si>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</si>
  <si>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</si>
  <si>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</si>
  <si>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</si>
  <si>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</si>
  <si>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</si>
  <si>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</si>
  <si>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</si>
  <si>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</si>
  <si>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</si>
  <si>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</si>
  <si>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</si>
  <si>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</si>
  <si>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</si>
  <si>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</si>
  <si>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</si>
  <si>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</si>
  <si>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</si>
  <si>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</si>
  <si>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</si>
  <si>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</si>
  <si>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</si>
  <si>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</si>
  <si>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</si>
  <si>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</si>
  <si>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</si>
  <si>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</si>
  <si>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</si>
  <si>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</si>
  <si>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</si>
  <si>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</si>
  <si>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</si>
  <si>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</si>
  <si>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</si>
  <si>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</si>
  <si>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</si>
  <si>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</si>
  <si>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</si>
  <si>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</si>
  <si>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</si>
  <si>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</si>
  <si>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</si>
  <si>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</si>
  <si>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</si>
  <si>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</si>
  <si>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</si>
  <si>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</si>
  <si>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</si>
  <si>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</si>
  <si>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</si>
  <si>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</si>
  <si>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</si>
  <si>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</si>
  <si>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</si>
  <si>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</si>
  <si>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</si>
  <si>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</si>
  <si>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</si>
  <si>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</si>
  <si>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</si>
  <si>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</si>
  <si>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</si>
  <si>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</si>
  <si>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</si>
  <si>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</si>
  <si>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</si>
  <si>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</si>
  <si>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</si>
  <si>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</si>
  <si>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</si>
  <si>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</si>
  <si>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</si>
  <si>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</si>
  <si>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</si>
  <si>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</si>
  <si>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</si>
  <si>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</si>
  <si>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</si>
  <si>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</si>
  <si>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</si>
  <si>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</si>
  <si>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</si>
  <si>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</si>
  <si>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</si>
  <si>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</si>
  <si>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</si>
  <si>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</si>
  <si>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</si>
  <si>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</si>
  <si>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</si>
  <si>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</si>
  <si>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</si>
  <si>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</si>
  <si>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</si>
  <si>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</si>
  <si>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</si>
  <si>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</si>
  <si>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</si>
  <si>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</si>
  <si>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</si>
  <si>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</si>
  <si>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</si>
  <si>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</si>
  <si>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</si>
  <si>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</si>
  <si>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</si>
  <si>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</si>
  <si>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</si>
  <si>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</si>
  <si>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</si>
  <si>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</si>
  <si>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</si>
  <si>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</si>
  <si>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</si>
  <si>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</si>
  <si>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</si>
  <si>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</si>
  <si>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</si>
  <si>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</si>
  <si>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</si>
  <si>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</si>
  <si>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</si>
  <si>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</si>
  <si>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</si>
  <si>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</si>
  <si>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</si>
  <si>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</si>
  <si>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</si>
  <si>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</si>
  <si>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</si>
  <si>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</si>
  <si>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</si>
  <si>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</si>
  <si>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</si>
  <si>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</si>
  <si>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</si>
  <si>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</si>
  <si>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</si>
  <si>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</si>
  <si>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</si>
  <si>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</si>
  <si>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</si>
  <si>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</si>
  <si>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</si>
  <si>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</si>
  <si>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</si>
  <si>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</si>
  <si>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</si>
  <si>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</si>
  <si>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</si>
  <si>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</si>
  <si>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</si>
  <si>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</si>
  <si>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</si>
  <si>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</si>
  <si>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</si>
  <si>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</si>
  <si>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</si>
  <si>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</si>
  <si>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</si>
  <si>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</si>
  <si>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</si>
  <si>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</si>
  <si>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</si>
  <si>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</si>
  <si>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</si>
  <si>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</si>
  <si>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</si>
  <si>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</si>
  <si>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</si>
  <si>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</si>
  <si>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</si>
  <si>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</si>
  <si>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</si>
  <si>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</si>
  <si>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</si>
  <si>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</si>
  <si>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</si>
  <si>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</si>
  <si>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</si>
  <si>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</si>
  <si>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</si>
  <si>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</si>
  <si>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</si>
  <si>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</si>
  <si>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</si>
  <si>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</si>
  <si>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</si>
  <si>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</si>
  <si>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</si>
  <si>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</si>
  <si>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</si>
  <si>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</si>
  <si>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</si>
  <si>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</si>
  <si>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</si>
  <si>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</si>
  <si>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</si>
  <si>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</si>
  <si>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</si>
  <si>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</si>
  <si>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</si>
  <si>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</si>
  <si>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</si>
  <si>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</si>
  <si>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</si>
  <si>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</si>
  <si>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</si>
  <si>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</si>
  <si>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</si>
  <si>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</si>
  <si>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</si>
  <si>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</si>
  <si>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</si>
  <si>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</si>
  <si>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</si>
  <si>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</si>
  <si>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</si>
  <si>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</si>
  <si>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</si>
  <si>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</si>
  <si>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</si>
  <si>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</si>
  <si>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</si>
  <si>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</si>
  <si>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</si>
  <si>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</si>
  <si>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</si>
  <si>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</si>
  <si>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</si>
  <si>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</si>
  <si>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</si>
  <si>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</si>
  <si>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</si>
  <si>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</si>
  <si>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</si>
  <si>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</si>
  <si>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</si>
  <si>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</si>
  <si>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</si>
  <si>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</si>
  <si>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</si>
  <si>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</si>
  <si>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</si>
  <si>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</si>
  <si>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</si>
  <si>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</si>
  <si>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</si>
  <si>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</si>
  <si>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</si>
  <si>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</si>
  <si>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</si>
  <si>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</si>
  <si>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</si>
  <si>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</si>
  <si>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</si>
  <si>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</si>
  <si>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</si>
  <si>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</si>
  <si>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</si>
  <si>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</si>
  <si>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</si>
  <si>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</si>
  <si>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</si>
  <si>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</si>
  <si>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</si>
  <si>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</si>
  <si>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</si>
  <si>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</si>
  <si>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</si>
  <si>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</si>
  <si>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</si>
  <si>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</si>
  <si>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</si>
  <si>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</si>
  <si>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</si>
  <si>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</si>
  <si>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</si>
  <si>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</si>
  <si>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</si>
  <si>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</si>
  <si>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</si>
  <si>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</si>
  <si>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</si>
  <si>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</si>
  <si>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</si>
  <si>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</si>
  <si>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</si>
  <si>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</si>
  <si>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</si>
  <si>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</si>
  <si>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</si>
  <si>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</si>
  <si>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</si>
  <si>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</si>
  <si>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</si>
  <si>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</si>
  <si>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</si>
  <si>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</si>
  <si>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</si>
  <si>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</si>
  <si>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</si>
  <si>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</si>
  <si>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</si>
  <si>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</si>
  <si>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</si>
  <si>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</si>
  <si>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</si>
  <si>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</si>
  <si>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</si>
  <si>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</si>
  <si>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</si>
  <si>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</si>
  <si>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</si>
  <si>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</si>
  <si>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</si>
  <si>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</si>
  <si>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</si>
  <si>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</si>
  <si>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</si>
  <si>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</si>
  <si>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</si>
  <si>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</si>
  <si>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</si>
  <si>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</si>
  <si>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</si>
  <si>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</si>
  <si>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</si>
  <si>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</si>
  <si>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</si>
  <si>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</si>
  <si>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</si>
  <si>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</si>
  <si>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</si>
  <si>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</si>
  <si>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</si>
  <si>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</si>
  <si>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</si>
  <si>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</si>
  <si>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</si>
  <si>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</si>
  <si>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</si>
  <si>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</si>
  <si>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</si>
  <si>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</si>
  <si>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</si>
  <si>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</si>
  <si>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</si>
  <si>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</si>
  <si>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</si>
  <si>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</si>
  <si>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</si>
  <si>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</si>
  <si>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</si>
  <si>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</si>
  <si>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</si>
  <si>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</si>
  <si>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</si>
  <si>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</si>
  <si>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</si>
  <si>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</si>
  <si>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</si>
  <si>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</si>
  <si>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</si>
  <si>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</si>
  <si>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</si>
  <si>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</si>
  <si>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</si>
  <si>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</si>
  <si>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</si>
  <si>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</si>
  <si>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</si>
  <si>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</si>
  <si>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</si>
  <si>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</si>
  <si>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</si>
  <si>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</si>
  <si>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</si>
  <si>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</si>
  <si>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</si>
  <si>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</si>
  <si>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</si>
  <si>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</si>
  <si>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</si>
  <si>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</si>
  <si>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</si>
  <si>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</si>
  <si>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</si>
  <si>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</si>
  <si>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</si>
  <si>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</si>
  <si>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</si>
  <si>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</si>
  <si>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</si>
  <si>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</si>
  <si>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</si>
  <si>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</si>
  <si>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</si>
  <si>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</si>
  <si>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</si>
  <si>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</si>
  <si>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</si>
  <si>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</si>
  <si>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</si>
  <si>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</si>
  <si>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</si>
  <si>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</si>
  <si>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</si>
  <si>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</si>
  <si>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</si>
  <si>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</si>
  <si>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</si>
  <si>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</si>
  <si>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</si>
  <si>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</si>
  <si>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</si>
  <si>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</si>
  <si>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</si>
  <si>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</si>
  <si>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</si>
  <si>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</si>
  <si>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</si>
  <si>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</si>
  <si>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</si>
  <si>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</si>
  <si>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</si>
  <si>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</si>
  <si>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</si>
  <si>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</si>
  <si>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</si>
  <si>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</si>
  <si>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</si>
  <si>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</si>
  <si>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</si>
  <si>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</si>
  <si>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</si>
  <si>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</si>
  <si>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</si>
  <si>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</si>
  <si>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</si>
  <si>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</si>
  <si>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</si>
  <si>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</si>
  <si>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</si>
  <si>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</si>
  <si>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</si>
  <si>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</si>
  <si>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</si>
  <si>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</si>
  <si>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</si>
  <si>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</si>
  <si>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</si>
  <si>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</si>
  <si>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</si>
  <si>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</si>
  <si>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</si>
  <si>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</si>
  <si>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</si>
  <si>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</si>
  <si>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</si>
  <si>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</si>
  <si>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</si>
  <si>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</si>
  <si>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</si>
  <si>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</si>
  <si>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</si>
  <si>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</si>
  <si>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</si>
  <si>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</si>
  <si>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</si>
  <si>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</si>
  <si>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</si>
  <si>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</si>
  <si>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</si>
  <si>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</si>
  <si>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</si>
  <si>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</si>
  <si>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</si>
  <si>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</si>
  <si>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</si>
  <si>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</si>
  <si>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</si>
  <si>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</si>
  <si>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</si>
  <si>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</si>
  <si>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</si>
  <si>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</si>
  <si>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</si>
  <si>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</si>
  <si>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</si>
  <si>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</si>
  <si>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</si>
  <si>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</si>
  <si>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</si>
  <si>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</si>
  <si>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</si>
  <si>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</si>
  <si>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</si>
  <si>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</si>
  <si>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</si>
  <si>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</si>
  <si>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</si>
  <si>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</si>
  <si>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</si>
  <si>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</si>
  <si>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</si>
  <si>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</si>
  <si>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</si>
  <si>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</si>
  <si>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</si>
  <si>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</si>
  <si>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</si>
  <si>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</si>
  <si>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</si>
  <si>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</si>
  <si>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</si>
  <si>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</si>
  <si>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</si>
  <si>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</si>
  <si>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</si>
  <si>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</si>
  <si>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</si>
  <si>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</si>
  <si>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</si>
  <si>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</si>
  <si>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</si>
  <si>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</si>
  <si>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</si>
  <si>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</si>
  <si>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</si>
  <si>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</si>
  <si>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</si>
  <si>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</si>
  <si>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</si>
  <si>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</si>
  <si>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</si>
  <si>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</si>
  <si>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</si>
  <si>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</si>
  <si>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</si>
  <si>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</si>
  <si>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</si>
  <si>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</si>
  <si>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</si>
  <si>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</si>
  <si>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</si>
  <si>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</si>
  <si>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</si>
  <si>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</si>
  <si>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</si>
  <si>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</si>
  <si>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</si>
  <si>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</si>
  <si>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</si>
  <si>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</si>
  <si>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</si>
  <si>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</si>
  <si>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</si>
  <si>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</si>
  <si>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</si>
  <si>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</si>
  <si>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</si>
  <si>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</si>
  <si>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</si>
  <si>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</si>
  <si>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</si>
  <si>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</si>
  <si>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</si>
  <si>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</si>
  <si>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</si>
  <si>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</si>
  <si>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</si>
  <si>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</si>
  <si>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</si>
  <si>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</si>
  <si>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</si>
  <si>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</si>
  <si>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</si>
  <si>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</si>
  <si>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</si>
  <si>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</si>
  <si>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</si>
  <si>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</si>
  <si>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</si>
  <si>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</si>
  <si>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</si>
  <si>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</si>
  <si>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</si>
  <si>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</si>
  <si>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</si>
  <si>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</si>
  <si>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</si>
  <si>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</si>
  <si>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</si>
  <si>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</si>
  <si>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</si>
  <si>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</si>
  <si>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</si>
  <si>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</si>
  <si>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</si>
  <si>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</si>
  <si>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</si>
  <si>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</si>
  <si>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</si>
  <si>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</si>
  <si>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</si>
  <si>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</si>
  <si>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</si>
  <si>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</si>
  <si>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</si>
  <si>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</si>
  <si>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</si>
  <si>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</si>
  <si>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</si>
  <si>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</si>
  <si>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</si>
  <si>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</si>
  <si>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</si>
  <si>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</si>
  <si>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</si>
  <si>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</si>
  <si>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</si>
  <si>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</si>
  <si>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</si>
  <si>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</si>
  <si>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</si>
  <si>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</si>
  <si>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</si>
  <si>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</si>
  <si>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</si>
  <si>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</si>
  <si>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</si>
  <si>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</si>
  <si>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</si>
  <si>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</si>
  <si>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</si>
  <si>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</si>
  <si>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</si>
  <si>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</si>
  <si>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</si>
  <si>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</si>
  <si>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</si>
  <si>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</si>
  <si>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</si>
  <si>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</si>
  <si>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</si>
  <si>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</si>
  <si>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</si>
  <si>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</si>
  <si>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</si>
  <si>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</si>
  <si>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</si>
  <si>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</si>
  <si>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</si>
  <si>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</si>
  <si>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</si>
  <si>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</si>
  <si>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</si>
  <si>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</si>
  <si>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</si>
  <si>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</si>
  <si>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</si>
  <si>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</si>
  <si>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</si>
  <si>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</si>
  <si>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</si>
  <si>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</si>
  <si>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</si>
  <si>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</si>
  <si>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</si>
  <si>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</si>
  <si>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</si>
  <si>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</si>
  <si>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</si>
  <si>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</si>
  <si>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</si>
  <si>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</si>
  <si>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</si>
  <si>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</si>
  <si>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</si>
  <si>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</si>
  <si>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</si>
  <si>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</si>
  <si>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</si>
  <si>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</si>
  <si>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</si>
  <si>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</si>
  <si>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</si>
  <si>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</si>
  <si>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</si>
  <si>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</si>
  <si>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</si>
  <si>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</si>
  <si>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</si>
  <si>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</si>
  <si>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</si>
  <si>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</si>
  <si>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</si>
  <si>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</si>
  <si>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</si>
  <si>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</si>
  <si>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</si>
  <si>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</si>
  <si>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</si>
  <si>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</si>
  <si>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</si>
  <si>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</si>
  <si>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</si>
  <si>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</si>
  <si>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</si>
  <si>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</si>
  <si>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</si>
  <si>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</si>
  <si>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</si>
  <si>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</si>
  <si>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</si>
  <si>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</si>
  <si>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</si>
  <si>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</si>
  <si>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</si>
  <si>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</si>
  <si>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</si>
  <si>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</si>
  <si>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</si>
  <si>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</si>
  <si>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</si>
  <si>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</si>
  <si>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</si>
  <si>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</si>
  <si>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</si>
  <si>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</si>
  <si>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</si>
  <si>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</si>
  <si>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</si>
  <si>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</si>
  <si>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</si>
  <si>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</si>
  <si>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</si>
  <si>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</si>
  <si>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</si>
  <si>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</si>
  <si>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</si>
  <si>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</si>
  <si>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</si>
  <si>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</si>
  <si>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</si>
  <si>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</si>
  <si>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</si>
  <si>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</si>
  <si>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</si>
  <si>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</si>
  <si>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</si>
  <si>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</si>
  <si>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</si>
  <si>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</si>
  <si>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</si>
  <si>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</si>
  <si>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</si>
  <si>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</si>
  <si>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</si>
  <si>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</si>
  <si>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</si>
  <si>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</si>
  <si>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</si>
  <si>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</si>
  <si>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</si>
  <si>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</si>
  <si>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</si>
  <si>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</si>
  <si>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</si>
  <si>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</si>
  <si>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</si>
  <si>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</si>
  <si>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</si>
  <si>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</si>
  <si>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</si>
  <si>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</si>
  <si>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</si>
  <si>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</si>
  <si>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</si>
  <si>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</si>
  <si>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</si>
  <si>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</si>
  <si>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</si>
  <si>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</si>
  <si>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</si>
  <si>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</si>
  <si>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</si>
  <si>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</si>
  <si>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</si>
  <si>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</si>
  <si>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</si>
  <si>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</si>
  <si>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</si>
  <si>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</si>
  <si>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</si>
  <si>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</si>
  <si>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</si>
  <si>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</si>
  <si>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</si>
  <si>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</si>
  <si>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</si>
  <si>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</si>
  <si>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</si>
  <si>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</si>
  <si>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</si>
  <si>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</si>
  <si>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</si>
  <si>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</si>
  <si>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</si>
  <si>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</si>
  <si>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</si>
  <si>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</si>
  <si>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</si>
  <si>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</si>
  <si>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</si>
  <si>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</si>
  <si>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</si>
  <si>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</si>
  <si>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</si>
  <si>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</si>
  <si>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</si>
  <si>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</si>
  <si>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</si>
  <si>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</si>
  <si>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</si>
  <si>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</si>
  <si>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</si>
  <si>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</si>
  <si>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</si>
  <si>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</si>
  <si>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</si>
  <si>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</si>
  <si>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</si>
  <si>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</si>
  <si>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</si>
  <si>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</si>
  <si>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</si>
  <si>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</si>
  <si>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</si>
  <si>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</si>
  <si>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</si>
  <si>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</si>
  <si>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</si>
  <si>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</si>
  <si>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</si>
  <si>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</si>
  <si>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</si>
  <si>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</si>
  <si>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</si>
  <si>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</si>
  <si>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</si>
  <si>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</si>
  <si>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</si>
  <si>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</si>
  <si>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</si>
  <si>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</si>
  <si>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</si>
  <si>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</si>
  <si>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</si>
  <si>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</si>
  <si>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</si>
  <si>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</si>
  <si>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</si>
  <si>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</si>
  <si>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</si>
  <si>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</si>
  <si>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</si>
  <si>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</si>
  <si>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</si>
  <si>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</si>
  <si>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</si>
  <si>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</si>
  <si>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</si>
  <si>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</si>
  <si>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</si>
  <si>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</si>
  <si>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</si>
  <si>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</si>
  <si>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</si>
  <si>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</si>
  <si>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</si>
  <si>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</si>
  <si>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</si>
  <si>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</si>
  <si>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</si>
  <si>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</si>
  <si>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</si>
  <si>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</si>
  <si>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</si>
  <si>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</si>
  <si>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</si>
  <si>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</si>
  <si>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</si>
  <si>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</si>
  <si>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</si>
  <si>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</si>
  <si>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</si>
  <si>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</si>
  <si>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</si>
  <si>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</si>
  <si>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</si>
  <si>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</si>
  <si>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</si>
  <si>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</si>
  <si>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</si>
  <si>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</si>
  <si>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</si>
  <si>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</si>
  <si>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</si>
  <si>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</si>
  <si>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</si>
  <si>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</si>
  <si>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</si>
  <si>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</si>
  <si>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</si>
  <si>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</si>
  <si>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</si>
  <si>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</si>
  <si>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</si>
  <si>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</si>
  <si>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</si>
  <si>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</si>
  <si>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</si>
  <si>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</si>
  <si>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</si>
  <si>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</si>
  <si>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</si>
  <si>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</si>
  <si>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</si>
  <si>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</si>
  <si>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</si>
  <si>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</si>
  <si>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</si>
  <si>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</si>
  <si>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</si>
  <si>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</si>
  <si>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</si>
  <si>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</si>
  <si>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</si>
  <si>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</si>
  <si>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</si>
  <si>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</si>
  <si>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</si>
  <si>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</si>
  <si>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</si>
  <si>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</si>
  <si>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</si>
  <si>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</si>
  <si>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</si>
  <si>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</si>
  <si>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</si>
  <si>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</si>
  <si>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</si>
  <si>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</si>
  <si>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</si>
  <si>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</si>
  <si>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</si>
  <si>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</si>
  <si>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</si>
  <si>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</si>
  <si>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</si>
  <si>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</si>
  <si>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</si>
  <si>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</si>
  <si>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</si>
  <si>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</si>
  <si>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</si>
  <si>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</si>
  <si>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</si>
  <si>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</si>
  <si>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</si>
  <si>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</si>
  <si>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</si>
  <si>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</si>
  <si>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</si>
  <si>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</si>
  <si>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</si>
  <si>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</si>
  <si>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</si>
  <si>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</si>
  <si>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</si>
  <si>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</si>
  <si>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</si>
  <si>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</si>
  <si>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</si>
  <si>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</si>
  <si>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</si>
  <si>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</si>
  <si>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</si>
  <si>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</si>
  <si>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</si>
  <si>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</si>
  <si>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</si>
  <si>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</si>
  <si>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</si>
  <si>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</si>
  <si>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</si>
  <si>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</si>
  <si>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</si>
  <si>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</si>
  <si>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</si>
  <si>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</si>
  <si>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</si>
  <si>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</si>
  <si>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</si>
  <si>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</si>
  <si>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</si>
  <si>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</si>
  <si>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</si>
  <si>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</si>
  <si>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</si>
  <si>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</si>
  <si>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</si>
  <si>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</si>
  <si>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</si>
  <si>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</si>
  <si>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</si>
  <si>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</si>
  <si>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</si>
  <si>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</si>
  <si>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</si>
  <si>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</si>
  <si>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</si>
  <si>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</si>
  <si>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</si>
  <si>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</si>
  <si>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</si>
  <si>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</si>
  <si>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</si>
  <si>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</si>
  <si>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</si>
  <si>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</si>
  <si>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</si>
  <si>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</si>
  <si>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</si>
  <si>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</si>
  <si>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</si>
  <si>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</si>
  <si>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</si>
  <si>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</si>
  <si>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</si>
  <si>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</si>
  <si>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</si>
  <si>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</si>
  <si>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</si>
  <si>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</si>
  <si>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</si>
  <si>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</si>
  <si>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</si>
  <si>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</si>
  <si>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</si>
  <si>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</si>
  <si>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</si>
  <si>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</si>
  <si>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</si>
  <si>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</si>
  <si>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</si>
  <si>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</si>
  <si>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</si>
  <si>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</si>
  <si>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</si>
  <si>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</si>
  <si>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</si>
  <si>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</si>
  <si>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</si>
  <si>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</si>
  <si>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</si>
  <si>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</si>
  <si>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</si>
  <si>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</si>
  <si>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</si>
  <si>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</si>
  <si>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</si>
  <si>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</si>
  <si>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</si>
  <si>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</si>
  <si>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</si>
  <si>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</si>
  <si>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</si>
  <si>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</si>
  <si>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</si>
  <si>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</si>
  <si>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</si>
  <si>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</si>
  <si>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</si>
  <si>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</si>
  <si>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</si>
  <si>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</si>
  <si>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</si>
  <si>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</si>
  <si>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</si>
  <si>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</si>
  <si>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</si>
  <si>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</si>
  <si>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</si>
  <si>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</si>
  <si>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</si>
  <si>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</si>
  <si>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</si>
  <si>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</si>
  <si>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</si>
  <si>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</si>
  <si>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</si>
  <si>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</si>
  <si>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</si>
  <si>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</si>
  <si>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</si>
  <si>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</si>
  <si>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</si>
  <si>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</si>
  <si>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</si>
  <si>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</si>
  <si>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</si>
  <si>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</si>
  <si>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</si>
  <si>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</si>
  <si>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</si>
  <si>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</si>
  <si>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</si>
  <si>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</si>
  <si>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</si>
  <si>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</si>
  <si>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</si>
  <si>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</si>
  <si>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</si>
  <si>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</si>
  <si>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</si>
  <si>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</si>
  <si>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</si>
  <si>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</si>
  <si>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</si>
  <si>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</si>
  <si>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</si>
  <si>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</si>
  <si>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</si>
  <si>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</si>
  <si>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</si>
  <si>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</si>
  <si>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</si>
  <si>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</si>
  <si>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</si>
  <si>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</si>
  <si>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</si>
  <si>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</si>
  <si>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</si>
  <si>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</si>
  <si>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</si>
  <si>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</si>
  <si>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</si>
  <si>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</si>
  <si>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</si>
  <si>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</si>
  <si>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</si>
  <si>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</si>
  <si>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</si>
  <si>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</si>
  <si>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</si>
  <si>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</si>
  <si>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</si>
  <si>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</si>
  <si>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</si>
  <si>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</si>
  <si>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</si>
  <si>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</si>
  <si>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</si>
  <si>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</si>
  <si>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</si>
  <si>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</si>
  <si>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</si>
  <si>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</si>
  <si>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</si>
  <si>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</si>
  <si>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</si>
  <si>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</si>
  <si>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</si>
  <si>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</si>
  <si>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</si>
  <si>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</si>
  <si>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</si>
  <si>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</si>
  <si>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</si>
  <si>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</si>
  <si>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</si>
  <si>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</si>
  <si>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</si>
  <si>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</si>
  <si>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</si>
  <si>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</si>
  <si>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</si>
  <si>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</si>
  <si>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</si>
  <si>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</si>
  <si>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</si>
  <si>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</si>
  <si>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</si>
  <si>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</si>
  <si>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</si>
  <si>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</si>
  <si>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</si>
  <si>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</si>
  <si>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</si>
  <si>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</si>
  <si>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</si>
  <si>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</si>
  <si>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</si>
  <si>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</si>
  <si>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</si>
  <si>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</si>
  <si>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</si>
  <si>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</si>
  <si>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</si>
  <si>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</si>
  <si>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</si>
  <si>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</si>
  <si>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</si>
  <si>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</si>
  <si>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</si>
  <si>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</si>
  <si>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</si>
  <si>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</si>
  <si>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</si>
  <si>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</si>
  <si>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</si>
  <si>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</si>
  <si>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</si>
  <si>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</si>
  <si>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</si>
  <si>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</si>
  <si>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</si>
  <si>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</si>
  <si>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</si>
  <si>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</si>
  <si>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</si>
  <si>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</si>
  <si>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</si>
  <si>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</si>
  <si>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</si>
  <si>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</si>
  <si>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</si>
  <si>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</si>
  <si>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</si>
  <si>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</si>
  <si>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</si>
  <si>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</si>
  <si>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</si>
  <si>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</si>
  <si>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</si>
  <si>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</si>
  <si>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</si>
  <si>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</si>
  <si>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</si>
  <si>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</si>
  <si>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</si>
  <si>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</si>
  <si>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</si>
  <si>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</si>
  <si>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</si>
  <si>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</si>
  <si>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</si>
  <si>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</si>
  <si>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</si>
  <si>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</si>
  <si>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</si>
  <si>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</si>
  <si>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</si>
  <si>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</si>
  <si>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</si>
  <si>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</si>
  <si>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</si>
  <si>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</si>
  <si>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</si>
  <si>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</si>
  <si>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</si>
  <si>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</si>
  <si>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</si>
  <si>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</si>
  <si>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</si>
  <si>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</si>
  <si>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</si>
  <si>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</si>
  <si>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</si>
  <si>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</si>
  <si>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</si>
  <si>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</si>
  <si>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</si>
  <si>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</si>
  <si>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</si>
  <si>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</si>
  <si>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</si>
  <si>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</si>
  <si>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</si>
  <si>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</si>
  <si>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</si>
  <si>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</si>
  <si>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</si>
  <si>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</si>
  <si>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</si>
  <si>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</si>
  <si>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</si>
  <si>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</si>
  <si>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</si>
  <si>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</si>
  <si>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</si>
  <si>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</si>
  <si>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</si>
  <si>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</si>
  <si>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</si>
  <si>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</si>
  <si>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</si>
  <si>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</si>
  <si>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</si>
  <si>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</si>
  <si>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</si>
  <si>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</si>
  <si>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</si>
  <si>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</si>
  <si>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</si>
  <si>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</si>
  <si>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</si>
  <si>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</si>
  <si>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</si>
  <si>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</si>
  <si>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</si>
  <si>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</si>
  <si>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</si>
  <si>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</si>
  <si>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</si>
  <si>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</si>
  <si>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</si>
  <si>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</si>
  <si>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</si>
  <si>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</si>
  <si>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</si>
  <si>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</si>
  <si>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</si>
  <si>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</si>
  <si>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</si>
  <si>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</si>
  <si>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</si>
  <si>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</si>
  <si>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</si>
  <si>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</si>
  <si>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</si>
  <si>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</si>
  <si>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</si>
  <si>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</si>
  <si>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</si>
  <si>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</si>
  <si>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</si>
  <si>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</si>
  <si>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</si>
  <si>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</si>
  <si>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</si>
  <si>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</si>
  <si>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</si>
  <si>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</si>
  <si>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</si>
  <si>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</si>
  <si>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</si>
  <si>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</si>
  <si>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</si>
  <si>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</si>
  <si>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</si>
  <si>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</si>
  <si>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</si>
  <si>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</si>
  <si>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</si>
  <si>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</si>
  <si>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</si>
  <si>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</si>
  <si>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</si>
  <si>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</si>
  <si>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</si>
  <si>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</si>
  <si>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</si>
  <si>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</si>
  <si>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</si>
  <si>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</si>
  <si>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</si>
  <si>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</si>
  <si>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</si>
  <si>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</si>
  <si>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</si>
  <si>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</si>
  <si>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</si>
  <si>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</si>
  <si>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</si>
  <si>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</si>
  <si>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</si>
  <si>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</si>
  <si>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</si>
  <si>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</si>
  <si>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</si>
  <si>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</si>
  <si>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</si>
  <si>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</si>
  <si>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</si>
  <si>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</si>
  <si>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</si>
  <si>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</si>
  <si>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</si>
  <si>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</si>
  <si>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</si>
  <si>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</si>
  <si>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</si>
  <si>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</si>
  <si>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</si>
  <si>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</si>
  <si>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</si>
  <si>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</si>
  <si>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</si>
  <si>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</si>
  <si>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</si>
  <si>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</si>
  <si>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</si>
  <si>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</si>
  <si>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</si>
  <si>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</si>
  <si>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</si>
  <si>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</si>
  <si>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</si>
  <si>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</si>
  <si>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</si>
  <si>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</si>
  <si>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</si>
  <si>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</si>
  <si>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</si>
  <si>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</si>
  <si>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</si>
  <si>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</si>
  <si>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</si>
  <si>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</si>
  <si>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</si>
  <si>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</si>
  <si>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</si>
  <si>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</si>
  <si>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</si>
  <si>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</si>
  <si>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</si>
  <si>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</si>
  <si>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</si>
  <si>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</si>
  <si>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</si>
  <si>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</si>
  <si>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</si>
  <si>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</si>
  <si>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</si>
  <si>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</si>
  <si>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</si>
  <si>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</si>
  <si>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</si>
  <si>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</si>
  <si>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</si>
  <si>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</si>
  <si>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</si>
  <si>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</si>
  <si>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</si>
  <si>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</si>
  <si>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</si>
  <si>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</si>
  <si>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</si>
  <si>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</si>
  <si>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</si>
  <si>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</si>
  <si>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</si>
  <si>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</si>
  <si>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</si>
  <si>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</si>
  <si>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</si>
  <si>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</si>
  <si>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</si>
  <si>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</si>
  <si>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</si>
  <si>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</si>
  <si>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</si>
  <si>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</si>
  <si>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</si>
  <si>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</si>
  <si>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</si>
  <si>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</si>
  <si>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</si>
  <si>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</si>
  <si>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</si>
  <si>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</si>
  <si>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</si>
  <si>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</si>
  <si>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</si>
  <si>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</si>
  <si>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</si>
  <si>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</si>
  <si>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</si>
  <si>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</si>
  <si>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</si>
  <si>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</si>
  <si>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</si>
  <si>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</si>
  <si>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</si>
  <si>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</si>
  <si>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</si>
  <si>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</si>
  <si>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</si>
  <si>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</si>
  <si>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</si>
  <si>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</si>
  <si>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</si>
  <si>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</si>
  <si>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</si>
  <si>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</si>
  <si>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</si>
  <si>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</si>
  <si>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</si>
  <si>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</si>
  <si>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</si>
  <si>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</si>
  <si>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</si>
  <si>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</si>
  <si>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</si>
  <si>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</si>
  <si>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</si>
  <si>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</si>
  <si>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</si>
  <si>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</si>
  <si>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</si>
  <si>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</si>
  <si>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</si>
  <si>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</si>
  <si>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</si>
  <si>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</si>
  <si>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</si>
  <si>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</si>
  <si>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</si>
  <si>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</si>
  <si>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</si>
  <si>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</si>
  <si>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</si>
  <si>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</si>
  <si>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</si>
  <si>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</si>
  <si>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</si>
  <si>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</si>
  <si>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</si>
  <si>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</si>
  <si>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</si>
  <si>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</si>
  <si>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</si>
  <si>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</si>
  <si>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</si>
  <si>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</si>
  <si>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</si>
  <si>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</si>
  <si>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</si>
  <si>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</si>
  <si>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</si>
  <si>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</si>
  <si>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</si>
  <si>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</si>
  <si>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</si>
  <si>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</si>
  <si>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</si>
  <si>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</si>
  <si>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</si>
  <si>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</si>
  <si>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</si>
  <si>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</si>
  <si>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</si>
  <si>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</si>
  <si>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</si>
  <si>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</si>
  <si>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</si>
  <si>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</si>
  <si>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</si>
  <si>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</si>
  <si>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</si>
  <si>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</si>
  <si>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</si>
  <si>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</si>
  <si>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</si>
  <si>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</si>
  <si>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</si>
  <si>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</si>
  <si>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</si>
  <si>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</si>
  <si>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</si>
  <si>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</si>
  <si>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</si>
  <si>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</si>
  <si>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</si>
  <si>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</si>
  <si>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</si>
  <si>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</si>
  <si>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</si>
  <si>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</si>
  <si>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</si>
  <si>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</si>
  <si>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</si>
  <si>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</si>
  <si>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</si>
  <si>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</si>
  <si>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</si>
  <si>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</si>
  <si>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</si>
  <si>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</si>
  <si>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</si>
  <si>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</si>
  <si>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</si>
  <si>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</si>
  <si>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</si>
  <si>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</si>
  <si>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</si>
  <si>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</si>
  <si>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</si>
  <si>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</si>
  <si>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</si>
  <si>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</si>
  <si>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</si>
  <si>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</si>
  <si>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</si>
  <si>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</si>
  <si>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</si>
  <si>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</si>
  <si>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</si>
  <si>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</si>
  <si>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</si>
  <si>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</si>
  <si>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</si>
  <si>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</si>
  <si>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</si>
  <si>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</si>
  <si>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</si>
  <si>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</si>
  <si>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</si>
  <si>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</si>
  <si>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</si>
  <si>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</si>
  <si>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</si>
  <si>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</si>
  <si>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</si>
  <si>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</si>
  <si>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</si>
  <si>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</si>
  <si>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</si>
  <si>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</si>
  <si>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</si>
  <si>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</si>
  <si>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</si>
  <si>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</si>
  <si>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</si>
  <si>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</si>
  <si>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</si>
  <si>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</si>
  <si>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</si>
  <si>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</si>
  <si>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</si>
  <si>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</si>
  <si>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</si>
  <si>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</si>
  <si>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</si>
  <si>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</si>
  <si>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</si>
  <si>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</si>
  <si>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</si>
  <si>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</si>
  <si>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</si>
  <si>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</si>
  <si>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</si>
  <si>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</si>
  <si>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</si>
  <si>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</si>
  <si>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</si>
  <si>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</si>
  <si>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</si>
  <si>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</si>
  <si>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</si>
  <si>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</si>
  <si>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</si>
  <si>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</si>
  <si>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</si>
  <si>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</si>
  <si>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</si>
  <si>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</si>
  <si>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</si>
  <si>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</si>
  <si>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</si>
  <si>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</si>
  <si>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</si>
  <si>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</si>
  <si>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</si>
  <si>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</si>
  <si>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</si>
  <si>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</si>
  <si>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</si>
  <si>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</si>
  <si>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</si>
  <si>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</si>
  <si>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</si>
  <si>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</si>
  <si>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</si>
  <si>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</si>
  <si>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</si>
  <si>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</si>
  <si>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</si>
  <si>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</si>
  <si>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</si>
  <si>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</si>
  <si>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</si>
  <si>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</si>
  <si>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</si>
  <si>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</si>
  <si>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</si>
  <si>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</si>
  <si>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</si>
  <si>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</si>
  <si>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</si>
  <si>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</si>
  <si>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</si>
  <si>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</si>
  <si>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</si>
  <si>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</si>
  <si>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</si>
  <si>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</si>
  <si>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</si>
  <si>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</si>
  <si>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</si>
  <si>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</si>
  <si>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</si>
  <si>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</si>
  <si>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</si>
  <si>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</si>
  <si>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</si>
  <si>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</si>
  <si>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</si>
  <si>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</si>
  <si>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</si>
  <si>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</si>
  <si>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</si>
  <si>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</si>
  <si>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</si>
  <si>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</si>
  <si>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</si>
  <si>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</si>
  <si>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</si>
  <si>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</si>
  <si>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</si>
  <si>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</si>
  <si>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</si>
  <si>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</si>
  <si>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</si>
  <si>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</si>
  <si>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</si>
  <si>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</si>
  <si>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</si>
  <si>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</si>
  <si>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</si>
  <si>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</si>
  <si>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</si>
  <si>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</si>
  <si>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</si>
  <si>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</si>
  <si>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</si>
  <si>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</si>
  <si>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</si>
  <si>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</si>
  <si>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</si>
  <si>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</si>
  <si>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</si>
  <si>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</si>
  <si>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</si>
  <si>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</si>
  <si>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</si>
  <si>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</si>
  <si>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</si>
  <si>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</si>
  <si>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</si>
  <si>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</si>
  <si>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</si>
  <si>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</si>
  <si>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</si>
  <si>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</si>
  <si>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</si>
  <si>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</si>
  <si>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</si>
  <si>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</si>
  <si>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</si>
  <si>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</si>
  <si>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</si>
  <si>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</si>
  <si>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</si>
  <si>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</si>
  <si>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</si>
  <si>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</si>
  <si>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</si>
  <si>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</si>
  <si>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</si>
  <si>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</si>
  <si>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</si>
  <si>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</si>
  <si>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</si>
  <si>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</si>
  <si>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</si>
  <si>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</si>
  <si>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</si>
  <si>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</si>
  <si>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</si>
  <si>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</si>
  <si>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</si>
  <si>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</si>
  <si>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</si>
  <si>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</si>
  <si>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</si>
  <si>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</si>
  <si>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</si>
  <si>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</si>
  <si>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</si>
  <si>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</si>
  <si>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</si>
  <si>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</si>
  <si>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</si>
  <si>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</si>
  <si>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</si>
  <si>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</si>
  <si>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</si>
  <si>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</si>
  <si>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</si>
  <si>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</si>
  <si>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</si>
  <si>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</si>
  <si>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</si>
  <si>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</si>
  <si>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</si>
  <si>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</si>
  <si>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</si>
  <si>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</si>
  <si>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</si>
  <si>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</si>
  <si>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</si>
  <si>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</si>
  <si>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</si>
  <si>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</si>
  <si>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</si>
  <si>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</si>
  <si>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</si>
  <si>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</si>
  <si>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</si>
  <si>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</si>
  <si>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</si>
  <si>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</si>
  <si>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</si>
  <si>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</si>
  <si>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</si>
  <si>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</si>
  <si>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</si>
  <si>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</si>
  <si>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</si>
  <si>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</si>
  <si>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</si>
  <si>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</si>
  <si>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</si>
  <si>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</si>
  <si>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</si>
  <si>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</si>
  <si>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</si>
  <si>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</si>
  <si>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</si>
  <si>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</si>
  <si>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</si>
  <si>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</si>
  <si>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</si>
  <si>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</si>
  <si>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</si>
  <si>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</si>
  <si>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</si>
  <si>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</si>
  <si>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</si>
  <si>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</si>
  <si>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</si>
  <si>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</si>
  <si>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</si>
  <si>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</si>
  <si>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</si>
  <si>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</si>
  <si>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</si>
  <si>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</si>
  <si>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</si>
  <si>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</si>
  <si>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</si>
  <si>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</si>
  <si>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</si>
  <si>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</si>
  <si>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</si>
  <si>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</si>
  <si>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</si>
  <si>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</si>
  <si>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</si>
  <si>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</si>
  <si>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</si>
  <si>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</si>
  <si>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</si>
  <si>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</si>
  <si>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</si>
  <si>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</si>
  <si>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</si>
  <si>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</si>
  <si>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</si>
  <si>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</si>
  <si>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</si>
  <si>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</si>
  <si>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</si>
  <si>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</si>
  <si>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</si>
  <si>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</si>
  <si>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</si>
  <si>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</si>
  <si>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</si>
  <si>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</si>
  <si>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</si>
  <si>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</si>
  <si>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</si>
  <si>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</si>
  <si>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</si>
  <si>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</si>
  <si>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</si>
  <si>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</si>
  <si>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</si>
  <si>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</si>
  <si>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</si>
  <si>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</si>
  <si>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</si>
  <si>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</si>
  <si>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</si>
  <si>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</si>
  <si>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</si>
  <si>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</si>
  <si>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</si>
  <si>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</si>
  <si>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</si>
  <si>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</si>
  <si>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</si>
  <si>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</si>
  <si>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</si>
  <si>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</si>
  <si>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</si>
  <si>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</si>
  <si>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</si>
  <si>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</si>
  <si>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</si>
  <si>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</si>
  <si>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</si>
  <si>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</si>
  <si>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</si>
  <si>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</si>
  <si>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</si>
  <si>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</si>
  <si>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</si>
  <si>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</si>
  <si>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</si>
  <si>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</si>
  <si>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</si>
  <si>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</si>
  <si>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</si>
  <si>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</si>
  <si>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</si>
  <si>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</si>
  <si>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</si>
  <si>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</si>
  <si>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</si>
  <si>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</si>
  <si>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</si>
  <si>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</si>
  <si>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</si>
  <si>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</si>
  <si>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</si>
  <si>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</si>
  <si>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</si>
  <si>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</si>
  <si>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</si>
  <si>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</si>
  <si>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</si>
  <si>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</si>
  <si>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</si>
  <si>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</si>
  <si>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</si>
  <si>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</si>
  <si>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</si>
  <si>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</si>
  <si>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</si>
  <si>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</si>
  <si>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</si>
  <si>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</si>
  <si>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</si>
  <si>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</si>
  <si>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</si>
  <si>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</si>
  <si>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</si>
  <si>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</si>
  <si>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</si>
  <si>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</si>
  <si>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</si>
  <si>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</si>
  <si>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</si>
  <si>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</si>
  <si>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</si>
  <si>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</si>
  <si>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</si>
  <si>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</si>
  <si>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</si>
  <si>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</si>
  <si>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</si>
  <si>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</si>
  <si>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</si>
  <si>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</si>
  <si>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</si>
  <si>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</si>
  <si>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</si>
  <si>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</si>
  <si>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</si>
  <si>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</si>
  <si>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</si>
  <si>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</si>
  <si>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</si>
  <si>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</si>
  <si>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</si>
  <si>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</si>
  <si>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</si>
  <si>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</si>
  <si>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</si>
  <si>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</si>
  <si>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</si>
  <si>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</si>
  <si>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</si>
  <si>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</si>
  <si>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</si>
  <si>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</si>
  <si>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</si>
  <si>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</si>
  <si>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</si>
  <si>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</si>
  <si>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</si>
  <si>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</si>
  <si>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</si>
  <si>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</si>
  <si>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</si>
  <si>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</si>
  <si>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</si>
  <si>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</si>
  <si>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</si>
  <si>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</si>
  <si>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</si>
  <si>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</si>
  <si>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</si>
  <si>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</si>
  <si>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</si>
  <si>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</si>
  <si>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</si>
  <si>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</si>
  <si>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</si>
  <si>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</si>
  <si>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</si>
  <si>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</si>
  <si>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</si>
  <si>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</si>
  <si>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</si>
  <si>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</si>
  <si>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</si>
  <si>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</si>
  <si>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</si>
  <si>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</si>
  <si>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</si>
  <si>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</si>
  <si>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</si>
  <si>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</si>
  <si>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</si>
  <si>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</si>
  <si>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</si>
  <si>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</si>
  <si>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</si>
  <si>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</si>
  <si>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</si>
  <si>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</si>
  <si>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</si>
  <si>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</si>
  <si>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</si>
  <si>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</si>
  <si>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</si>
  <si>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</si>
  <si>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</si>
  <si>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</si>
  <si>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</si>
  <si>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</si>
  <si>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</si>
  <si>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</si>
  <si>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</si>
  <si>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</si>
  <si>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</si>
  <si>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</si>
  <si>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</si>
  <si>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</si>
  <si>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</si>
  <si>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</si>
  <si>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</si>
  <si>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</si>
  <si>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</si>
  <si>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</si>
  <si>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</si>
  <si>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</si>
  <si>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</si>
  <si>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</si>
  <si>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</si>
  <si>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</si>
  <si>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</si>
  <si>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</si>
  <si>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</si>
  <si>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</si>
  <si>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</si>
  <si>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</si>
  <si>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</si>
  <si>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</si>
  <si>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</si>
  <si>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</si>
  <si>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</si>
  <si>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</si>
  <si>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</si>
  <si>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</si>
  <si>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</si>
  <si>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</si>
  <si>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</si>
  <si>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</si>
  <si>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</si>
  <si>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</si>
  <si>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</si>
  <si>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</si>
  <si>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</si>
  <si>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</si>
  <si>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</si>
  <si>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</si>
  <si>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</si>
  <si>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</si>
  <si>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</si>
  <si>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</si>
  <si>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</si>
  <si>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</si>
  <si>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</si>
  <si>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</si>
  <si>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</si>
  <si>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</si>
  <si>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</si>
  <si>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</si>
  <si>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</si>
  <si>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</si>
  <si>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</si>
  <si>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</si>
  <si>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</si>
  <si>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</si>
  <si>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</si>
  <si>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</si>
  <si>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</si>
  <si>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</si>
  <si>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</si>
  <si>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</si>
  <si>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</si>
  <si>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</si>
  <si>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</si>
  <si>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</si>
  <si>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</si>
  <si>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</si>
  <si>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</si>
  <si>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</si>
  <si>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</si>
  <si>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</si>
  <si>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</si>
  <si>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</si>
  <si>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</si>
  <si>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</si>
  <si>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</si>
  <si>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</si>
  <si>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</si>
  <si>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</si>
  <si>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</si>
  <si>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</si>
  <si>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</si>
  <si>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</si>
  <si>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</si>
  <si>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</si>
  <si>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</si>
  <si>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</si>
  <si>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</si>
  <si>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</si>
  <si>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</si>
  <si>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</si>
  <si>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</si>
  <si>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</si>
  <si>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</si>
  <si>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</si>
  <si>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</si>
  <si>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</si>
  <si>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</si>
  <si>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</si>
  <si>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</si>
  <si>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</si>
  <si>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</si>
  <si>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</si>
  <si>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</si>
  <si>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</si>
  <si>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</si>
  <si>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</si>
  <si>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</si>
  <si>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</si>
  <si>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</si>
  <si>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</si>
  <si>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</si>
  <si>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</si>
  <si>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</si>
  <si>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</si>
  <si>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</si>
  <si>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</si>
  <si>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</si>
  <si>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</si>
  <si>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</si>
  <si>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</si>
  <si>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</si>
  <si>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</si>
  <si>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</si>
  <si>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</si>
  <si>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</si>
  <si>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</si>
  <si>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</si>
  <si>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</si>
  <si>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</si>
  <si>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</si>
  <si>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</si>
  <si>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</si>
  <si>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</si>
  <si>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</si>
  <si>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</si>
  <si>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</si>
  <si>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</si>
  <si>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</si>
  <si>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</si>
  <si>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</si>
  <si>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</si>
  <si>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</si>
  <si>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</si>
  <si>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</si>
  <si>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</si>
  <si>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</si>
  <si>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</si>
  <si>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</si>
  <si>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</si>
  <si>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</si>
  <si>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</si>
  <si>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</si>
  <si>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</si>
  <si>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</si>
  <si>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</si>
  <si>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</si>
  <si>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</si>
  <si>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</si>
  <si>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</si>
  <si>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</si>
  <si>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</si>
  <si>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</si>
  <si>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</si>
  <si>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</si>
  <si>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</si>
  <si>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</si>
  <si>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</si>
  <si>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</si>
  <si>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</si>
  <si>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</si>
  <si>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</si>
  <si>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</si>
  <si>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</si>
  <si>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</si>
  <si>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</si>
  <si>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</si>
  <si>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</si>
  <si>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</si>
  <si>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</si>
  <si>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</si>
  <si>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</si>
  <si>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</si>
  <si>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</si>
  <si>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</si>
  <si>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</si>
  <si>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</si>
  <si>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</si>
  <si>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</si>
  <si>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</si>
  <si>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</si>
  <si>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</si>
  <si>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</si>
  <si>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</si>
  <si>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</si>
  <si>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</si>
  <si>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</si>
  <si>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</si>
  <si>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</si>
  <si>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</si>
  <si>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</si>
  <si>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</si>
  <si>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</si>
  <si>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</si>
  <si>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</si>
  <si>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</si>
  <si>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</si>
  <si>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</si>
  <si>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</si>
  <si>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</si>
  <si>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</si>
  <si>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</si>
  <si>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</si>
  <si>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</si>
  <si>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</si>
  <si>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</si>
  <si>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</si>
  <si>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</si>
  <si>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</si>
  <si>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</si>
  <si>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</si>
  <si>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</si>
  <si>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</si>
  <si>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</si>
  <si>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</si>
  <si>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</si>
  <si>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</si>
  <si>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</si>
  <si>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</si>
  <si>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</si>
  <si>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</si>
  <si>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</si>
  <si>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</si>
  <si>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</si>
  <si>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</si>
  <si>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</si>
  <si>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</si>
  <si>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</si>
  <si>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</si>
  <si>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</si>
  <si>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</si>
  <si>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</si>
  <si>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</si>
  <si>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</si>
  <si>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</si>
  <si>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</si>
  <si>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</si>
  <si>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</si>
  <si>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</si>
  <si>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</si>
  <si>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</si>
  <si>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</si>
  <si>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</si>
  <si>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</si>
  <si>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</si>
  <si>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</si>
  <si>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</si>
  <si>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</si>
  <si>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</si>
  <si>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</si>
  <si>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</si>
  <si>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</si>
  <si>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</si>
  <si>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</si>
  <si>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</si>
  <si>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</si>
  <si>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</si>
  <si>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</si>
  <si>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</si>
  <si>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</si>
  <si>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</si>
  <si>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</si>
  <si>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</si>
  <si>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</si>
  <si>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</si>
  <si>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</si>
  <si>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</si>
  <si>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</si>
  <si>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</si>
  <si>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</si>
  <si>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</si>
  <si>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</si>
  <si>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</si>
  <si>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</si>
  <si>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</si>
  <si>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</si>
  <si>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</si>
  <si>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</si>
  <si>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</si>
  <si>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</si>
  <si>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</si>
  <si>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</si>
  <si>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</si>
  <si>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</si>
  <si>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</si>
  <si>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</si>
  <si>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</si>
  <si>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</si>
  <si>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</si>
  <si>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</si>
  <si>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</si>
  <si>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</si>
  <si>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</si>
  <si>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</si>
  <si>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</si>
  <si>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</si>
  <si>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</si>
  <si>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</si>
  <si>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</si>
  <si>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</si>
  <si>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</si>
  <si>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</si>
  <si>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</si>
  <si>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</si>
  <si>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</si>
  <si>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</si>
  <si>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</si>
  <si>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</si>
  <si>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</si>
  <si>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</si>
  <si>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</si>
  <si>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</si>
  <si>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</si>
  <si>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</si>
  <si>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</si>
  <si>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</si>
  <si>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</si>
  <si>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</si>
  <si>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</si>
  <si>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</si>
  <si>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</si>
  <si>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</si>
  <si>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</si>
  <si>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</si>
  <si>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</si>
  <si>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</si>
  <si>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</si>
  <si>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</si>
  <si>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</si>
  <si>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</si>
  <si>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</si>
  <si>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</si>
  <si>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</si>
  <si>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</si>
  <si>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</si>
  <si>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</si>
  <si>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</si>
  <si>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</si>
  <si>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</si>
  <si>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</si>
  <si>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</si>
  <si>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</si>
  <si>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</si>
  <si>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</si>
  <si>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</si>
  <si>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</si>
  <si>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</si>
  <si>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</si>
  <si>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</si>
  <si>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</si>
  <si>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</si>
  <si>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</si>
  <si>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</si>
  <si>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</si>
  <si>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</si>
  <si>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</si>
  <si>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</si>
  <si>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</si>
  <si>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</si>
  <si>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</si>
  <si>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</si>
  <si>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</si>
  <si>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</si>
  <si>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</si>
  <si>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</si>
  <si>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</si>
  <si>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</si>
  <si>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</si>
  <si>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</si>
  <si>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</si>
  <si>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</si>
  <si>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</si>
  <si>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</si>
  <si>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</si>
  <si>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</si>
  <si>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</si>
  <si>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</si>
  <si>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</si>
  <si>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</si>
  <si>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</si>
  <si>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</si>
  <si>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</si>
  <si>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</si>
  <si>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</si>
  <si>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</si>
  <si>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</si>
  <si>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</si>
  <si>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</si>
  <si>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</si>
  <si>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</si>
  <si>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</si>
  <si>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</si>
  <si>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</si>
  <si>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</si>
  <si>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</si>
  <si>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</si>
  <si>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</si>
  <si>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</si>
  <si>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</si>
  <si>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</si>
  <si>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</si>
  <si>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</si>
  <si>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</si>
  <si>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</si>
  <si>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</si>
  <si>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</si>
  <si>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</si>
  <si>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</si>
  <si>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</si>
  <si>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</si>
  <si>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</si>
  <si>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</si>
  <si>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</si>
  <si>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</si>
  <si>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</si>
  <si>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</si>
  <si>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</si>
  <si>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</si>
  <si>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</si>
  <si>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</si>
  <si>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</si>
  <si>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</si>
  <si>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</si>
  <si>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</si>
  <si>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</si>
  <si>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</si>
  <si>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</si>
  <si>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</si>
  <si>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</si>
  <si>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</si>
  <si>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</si>
  <si>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</si>
  <si>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</si>
  <si>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</si>
  <si>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</si>
  <si>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</si>
  <si>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</si>
  <si>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</si>
  <si>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</si>
  <si>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</si>
  <si>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</si>
  <si>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</si>
  <si>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</si>
  <si>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</si>
  <si>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出让</t>
  </si>
  <si>
    <t>通路</t>
  </si>
  <si>
    <t>通电</t>
  </si>
  <si>
    <t>通讯</t>
  </si>
  <si>
    <t>通上水</t>
  </si>
  <si>
    <t>通下水</t>
  </si>
  <si>
    <t>地上</t>
  </si>
  <si>
    <t>是</t>
  </si>
  <si>
    <t>工业</t>
    <phoneticPr fontId="7" type="noConversion"/>
  </si>
  <si>
    <t>成新度</t>
  </si>
  <si>
    <t>1号楼</t>
    <phoneticPr fontId="143" type="noConversion"/>
  </si>
  <si>
    <t>2号楼</t>
  </si>
  <si>
    <t>3号楼</t>
  </si>
  <si>
    <t>4号楼</t>
  </si>
  <si>
    <t>5号楼</t>
  </si>
  <si>
    <t>6号楼</t>
  </si>
  <si>
    <t>7号楼</t>
  </si>
  <si>
    <t>层数</t>
    <phoneticPr fontId="143" type="noConversion"/>
  </si>
  <si>
    <r>
      <t>1</t>
    </r>
    <r>
      <rPr>
        <sz val="11"/>
        <color theme="1"/>
        <rFont val="宋体"/>
        <family val="3"/>
        <charset val="134"/>
        <scheme val="minor"/>
      </rPr>
      <t>-6层</t>
    </r>
    <phoneticPr fontId="143" type="noConversion"/>
  </si>
  <si>
    <t>-1-2层</t>
    <phoneticPr fontId="143" type="noConversion"/>
  </si>
  <si>
    <t>混合</t>
    <phoneticPr fontId="143" type="noConversion"/>
  </si>
  <si>
    <t>钢</t>
  </si>
  <si>
    <t>钢</t>
    <phoneticPr fontId="143" type="noConversion"/>
  </si>
  <si>
    <t>混合</t>
    <phoneticPr fontId="143" type="noConversion"/>
  </si>
  <si>
    <t>钢混</t>
    <phoneticPr fontId="143" type="noConversion"/>
  </si>
  <si>
    <t>成新度</t>
    <phoneticPr fontId="143" type="noConversion"/>
  </si>
  <si>
    <t>收益法</t>
  </si>
  <si>
    <t>押一</t>
  </si>
  <si>
    <t>按租金收入计税</t>
  </si>
  <si>
    <t>非生产用房</t>
  </si>
  <si>
    <t>全部缴纳</t>
  </si>
  <si>
    <t>已包含在土地取得成本中</t>
  </si>
  <si>
    <t>成本法</t>
  </si>
  <si>
    <t>现房</t>
  </si>
  <si>
    <t>项目全部</t>
  </si>
  <si>
    <t>工业用地</t>
  </si>
  <si>
    <t>不临58条商业街</t>
  </si>
  <si>
    <t>平整</t>
  </si>
  <si>
    <t>Ⅷ-昌1</t>
  </si>
  <si>
    <t>与级别开发程度一致</t>
  </si>
  <si>
    <t>按公示增长率计算</t>
  </si>
  <si>
    <t>容积率修正</t>
  </si>
  <si>
    <t>地下</t>
  </si>
  <si>
    <t>较好</t>
  </si>
  <si>
    <t>一般</t>
  </si>
  <si>
    <t>未包含在土地购买价格中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</si>
  <si>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</si>
  <si>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</si>
  <si>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</si>
  <si>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</si>
  <si>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</si>
  <si>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</si>
  <si>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</si>
  <si>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</si>
  <si>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</si>
  <si>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</si>
  <si>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</si>
  <si>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</si>
  <si>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</si>
  <si>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顺义区赵全营镇SY04-0100-6006-3地块M4工业研发项目</t>
  </si>
  <si>
    <t>北京市</t>
  </si>
  <si>
    <t>挂牌</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</si>
  <si>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</si>
  <si>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</si>
  <si>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</si>
  <si>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</si>
  <si>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</si>
  <si>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</si>
  <si>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</si>
  <si>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</si>
  <si>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</si>
  <si>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</si>
  <si>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</si>
  <si>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</si>
  <si>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</si>
  <si>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</si>
  <si>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</si>
  <si>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</si>
  <si>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</si>
  <si>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</si>
  <si>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</si>
  <si>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</si>
  <si>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</si>
  <si>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</si>
  <si>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</si>
  <si>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</si>
  <si>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</si>
  <si>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</si>
  <si>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</si>
  <si>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</si>
  <si>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</si>
  <si>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</si>
  <si>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</si>
  <si>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</si>
  <si>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</si>
  <si>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</si>
  <si>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</si>
  <si>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</si>
  <si>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</si>
  <si>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</si>
  <si>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</si>
  <si>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</si>
  <si>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</si>
  <si>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单位面积地价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</si>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</sst>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58" fontId="99" fillId="0" borderId="0" xfId="0" applyNumberFormat="1" applyFont="1">
      <alignment vertical="center"/>
    </xf>
    <xf numFmtId="49" fontId="99" fillId="0" borderId="0" xfId="0" applyNumberFormat="1" applyFont="1">
      <alignment vertical="center"/>
    </xf>
    <xf numFmtId="0" fontId="56" fillId="0" borderId="0" xfId="17"/>
    <xf numFmtId="0" fontId="56" fillId="5" borderId="0" xfId="17" applyFill="1"/>
    <xf numFmtId="0" fontId="0" fillId="5" borderId="0" xfId="0" applyFill="1">
      <alignment vertical="center"/>
    </xf>
    <xf numFmtId="0" fontId="47" fillId="18" borderId="23" xfId="0" applyFont="1" applyFill="1" applyBorder="1" applyAlignment="1" applyProtection="1">
      <alignment vertical="center"/>
      <protection locked="0"/>
    </xf>
    <xf numFmtId="181" fontId="47" fillId="0" borderId="1" xfId="0" applyNumberFormat="1" applyFont="1" applyFill="1" applyBorder="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13</xdr:row>
      <xdr:rowOff>104775</xdr:rowOff>
    </xdr:from>
    <xdr:to>
      <xdr:col>11</xdr:col>
      <xdr:colOff>333375</xdr:colOff>
      <xdr:row>40</xdr:row>
      <xdr:rowOff>43624</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2333625"/>
          <a:ext cx="7610475" cy="45679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受贵公司委托，我公司对进行了预评估。</v>
      </c>
    </row>
    <row r="7" spans="1:2" s="1593" customFormat="1">
      <c r="A7" s="1591" t="s">
        <v>1260</v>
      </c>
      <c r="B7" s="1592" t="str">
        <f>'预评函-1'!A7</f>
        <v>估价对象为房地产，为所有。根据《国有土地使用证》[]，估价对象（分摊）出让国有建设用地使用权面积为73586.24平方米，建筑面积为20228.24平方米。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估价对象为房地产,为开发建设的，该项目尚在开发建设中。根据《国有土地使用证》[]，估价对象（分摊）出让国有建设用地使用权面积为73586.24平方米，规划建筑面积为20228.24平方米。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2019年8月30日（评估专业人员实地查勘之日）</v>
      </c>
    </row>
    <row r="13" spans="1:2" s="1593" customFormat="1">
      <c r="A13" s="1591" t="s">
        <v>1223</v>
      </c>
      <c r="B13" s="1592" t="str">
        <f>'预评函-1'!A18</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31623</v>
      </c>
    </row>
    <row r="21" spans="1:2" s="1593" customFormat="1">
      <c r="A21" s="1591" t="s">
        <v>1231</v>
      </c>
      <c r="B21" s="1592">
        <f ca="1">'预评函-2'!D7</f>
        <v>15633</v>
      </c>
    </row>
    <row r="22" spans="1:2" s="1593" customFormat="1">
      <c r="A22" s="1591" t="s">
        <v>1232</v>
      </c>
      <c r="B22" s="1592" t="str">
        <f ca="1">'预评函-2'!D6</f>
        <v>叁亿壹仟陆佰贰拾叁万元整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31623</v>
      </c>
    </row>
    <row r="31" spans="1:2" s="1593" customFormat="1">
      <c r="A31" s="1591" t="s">
        <v>1270</v>
      </c>
      <c r="B31" s="1592">
        <f ca="1">'预评函-2'!D15</f>
        <v>15633</v>
      </c>
    </row>
    <row r="32" spans="1:2" s="1593" customFormat="1">
      <c r="A32" s="1591" t="s">
        <v>1237</v>
      </c>
      <c r="B32" s="1592" t="str">
        <f ca="1">'预评函-2'!D14</f>
        <v>叁亿壹仟陆佰贰拾叁万元整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20228.240000000002</v>
      </c>
    </row>
    <row r="44" spans="1:2" s="1593" customFormat="1">
      <c r="A44" s="1591" t="s">
        <v>1269</v>
      </c>
      <c r="B44" s="1592" t="str">
        <f>'预评函-3'!C2</f>
        <v>(分摊)土地面积</v>
      </c>
    </row>
    <row r="45" spans="1:2" s="1593" customFormat="1">
      <c r="A45" s="1591" t="s">
        <v>1241</v>
      </c>
      <c r="B45" s="1592">
        <f>'预评函-3'!C4</f>
        <v>73586.240000000005</v>
      </c>
    </row>
    <row r="46" spans="1:2" s="1593" customFormat="1">
      <c r="A46" s="1591" t="s">
        <v>1267</v>
      </c>
      <c r="B46" s="1592" t="str">
        <f>'预评函-3'!D2</f>
        <v>出让国有建设用地使用权价值</v>
      </c>
    </row>
    <row r="47" spans="1:2" s="1593" customFormat="1">
      <c r="A47" s="1591" t="s">
        <v>1242</v>
      </c>
      <c r="B47" s="1592">
        <f ca="1">'预评函-3'!D4</f>
        <v>27955</v>
      </c>
    </row>
    <row r="48" spans="1:2" s="1593" customFormat="1">
      <c r="A48" s="1591" t="s">
        <v>1243</v>
      </c>
      <c r="B48" s="1592">
        <f ca="1">'预评函-3'!E4</f>
        <v>13820</v>
      </c>
    </row>
    <row r="49" spans="1:2" s="1593" customFormat="1">
      <c r="A49" s="1591" t="s">
        <v>1244</v>
      </c>
      <c r="B49" s="1592" t="str">
        <f ca="1">'预评函-3'!D5</f>
        <v>贰亿柒仟玖佰伍拾伍万元整</v>
      </c>
    </row>
    <row r="50" spans="1:2" s="1593" customFormat="1">
      <c r="A50" s="1591" t="s">
        <v>1268</v>
      </c>
      <c r="B50" s="1592" t="str">
        <f>'预评函-3'!F2</f>
        <v>在建建筑物价值</v>
      </c>
    </row>
    <row r="51" spans="1:2" s="1593" customFormat="1">
      <c r="A51" s="1591" t="s">
        <v>1245</v>
      </c>
      <c r="B51" s="1592">
        <f ca="1">'预评函-3'!F4</f>
        <v>3668</v>
      </c>
    </row>
    <row r="52" spans="1:2" s="1593" customFormat="1">
      <c r="A52" s="1591" t="s">
        <v>1246</v>
      </c>
      <c r="B52" s="1592">
        <f ca="1">'预评函-3'!G4</f>
        <v>1813</v>
      </c>
    </row>
    <row r="53" spans="1:2" s="1593" customFormat="1">
      <c r="A53" s="1591" t="s">
        <v>1274</v>
      </c>
      <c r="B53" s="1592" t="str">
        <f ca="1">'预评函-3'!F5</f>
        <v>叁仟陆佰陆拾捌万元整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8" sqref="G3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0" t="str">
        <f>IF(B10="北京市","北京市",C10)&amp;F10&amp;IF(结果表!G1="在建","出让国有建设用地使用权及在建建筑物",IF(结果表!G1="土地","出让国有建设用地使用权",))&amp;B9&amp;"预评估"</f>
        <v>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1773</v>
      </c>
      <c r="B3" s="2035">
        <v>43707</v>
      </c>
      <c r="C3" s="2036" t="s">
        <v>1774</v>
      </c>
      <c r="D3" s="2035">
        <f>B3</f>
        <v>43707</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3055</v>
      </c>
      <c r="C8" s="2055"/>
      <c r="D8" s="3003" t="s">
        <v>1780</v>
      </c>
      <c r="E8" s="2056" t="s">
        <v>3056</v>
      </c>
      <c r="F8" s="2057"/>
      <c r="G8" s="2025"/>
      <c r="H8" s="2025"/>
      <c r="I8" s="2025"/>
      <c r="J8" s="2041"/>
      <c r="K8" s="2042"/>
      <c r="L8" s="2027"/>
      <c r="M8" s="2027"/>
      <c r="N8" s="2028"/>
      <c r="O8" s="2029"/>
      <c r="P8" s="2028"/>
      <c r="Q8" s="2028"/>
      <c r="R8" s="2028"/>
    </row>
    <row r="9" spans="1:19" ht="18" customHeight="1" thickBot="1">
      <c r="A9" s="2039" t="s">
        <v>1781</v>
      </c>
      <c r="B9" s="2058"/>
      <c r="C9" s="2059"/>
      <c r="D9" s="3004"/>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3057</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56926</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36.21</v>
      </c>
      <c r="J15" s="2041"/>
      <c r="K15" s="2082"/>
      <c r="L15" s="2083"/>
      <c r="M15" s="2083"/>
      <c r="N15" s="2084"/>
      <c r="O15" s="2083"/>
      <c r="P15" s="2084"/>
      <c r="Q15" s="2028"/>
      <c r="R15" s="2028"/>
    </row>
    <row r="16" spans="1:19" ht="30.75" customHeight="1">
      <c r="A16" s="2065" t="s">
        <v>1796</v>
      </c>
      <c r="B16" s="3010"/>
      <c r="C16" s="3011"/>
      <c r="D16" s="3012"/>
      <c r="E16" s="2085" t="s">
        <v>1797</v>
      </c>
      <c r="F16" s="3013"/>
      <c r="G16" s="3014"/>
      <c r="H16" s="3014"/>
      <c r="I16" s="3015"/>
      <c r="J16" s="2028"/>
      <c r="K16" s="2082"/>
      <c r="L16" s="2083"/>
      <c r="M16" s="2083"/>
      <c r="N16" s="2084"/>
      <c r="O16" s="2083"/>
      <c r="P16" s="2084"/>
      <c r="Q16" s="2028"/>
      <c r="R16" s="2028"/>
    </row>
    <row r="17" spans="1:22" ht="18" customHeight="1">
      <c r="A17" s="2086" t="s">
        <v>1798</v>
      </c>
      <c r="B17" s="2034" t="s">
        <v>1799</v>
      </c>
      <c r="C17" s="1054">
        <f>'数据-汇总表'!E3</f>
        <v>20228.240000000002</v>
      </c>
      <c r="D17" s="2087" t="s">
        <v>1800</v>
      </c>
      <c r="E17" s="3016" t="s">
        <v>1801</v>
      </c>
      <c r="F17" s="3017"/>
      <c r="G17" s="3017"/>
      <c r="H17" s="3017"/>
      <c r="I17" s="3018"/>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73586.240000000005</v>
      </c>
      <c r="D18" s="2090" t="s">
        <v>1800</v>
      </c>
      <c r="E18" s="3019" t="s">
        <v>1804</v>
      </c>
      <c r="F18" s="3020"/>
      <c r="G18" s="3020"/>
      <c r="H18" s="3020"/>
      <c r="I18" s="3021"/>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6" t="s">
        <v>1809</v>
      </c>
      <c r="C20" s="3007"/>
      <c r="D20" s="3008" t="s">
        <v>1810</v>
      </c>
      <c r="E20" s="3009"/>
      <c r="F20" s="2097" t="s">
        <v>1811</v>
      </c>
      <c r="G20" s="2041"/>
      <c r="H20" s="2041"/>
      <c r="I20" s="2041"/>
      <c r="J20" s="2041"/>
      <c r="K20" s="300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3"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3"/>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3"/>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4"/>
      <c r="B30" s="2034" t="s">
        <v>1828</v>
      </c>
      <c r="C30" s="3025"/>
      <c r="D30" s="302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7"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t="s">
        <v>3058</v>
      </c>
      <c r="C34" s="2133" t="s">
        <v>3059</v>
      </c>
      <c r="D34" s="2133" t="s">
        <v>3060</v>
      </c>
      <c r="E34" s="2133" t="s">
        <v>3061</v>
      </c>
      <c r="F34" s="2133" t="s">
        <v>3062</v>
      </c>
      <c r="G34" s="2133" t="s">
        <v>70</v>
      </c>
      <c r="H34" s="2133" t="s">
        <v>70</v>
      </c>
      <c r="I34" s="2041"/>
      <c r="J34" s="2041"/>
      <c r="K34" s="1795">
        <f>COUNTIF(B34:H34,"——")</f>
        <v>2</v>
      </c>
      <c r="L34" s="2074" t="s">
        <v>1831</v>
      </c>
      <c r="M34" s="2074" t="s">
        <v>1832</v>
      </c>
      <c r="N34" s="2074" t="s">
        <v>1833</v>
      </c>
      <c r="O34" s="2074" t="s">
        <v>1834</v>
      </c>
      <c r="P34" s="2074" t="s">
        <v>1835</v>
      </c>
      <c r="Q34" s="2074" t="s">
        <v>1836</v>
      </c>
      <c r="R34" s="2074" t="s">
        <v>1837</v>
      </c>
      <c r="S34" s="3022" t="s">
        <v>1838</v>
      </c>
      <c r="T34" s="2134" t="str">
        <f>NUMBERSTRING(7-K34,1)&amp;"通"</f>
        <v>五通</v>
      </c>
      <c r="U34" s="2028"/>
      <c r="V34" s="2028"/>
    </row>
    <row r="35" spans="1:22" ht="18" customHeight="1">
      <c r="A35" s="2135"/>
      <c r="B35" s="3029" t="s">
        <v>1839</v>
      </c>
      <c r="C35" s="3029"/>
      <c r="D35" s="3029"/>
      <c r="E35" s="302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t="s">
        <v>3095</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73586.240000000005</v>
      </c>
      <c r="B3" s="14">
        <f>IF(C3="否",G5-AT5,G5)</f>
        <v>20228.240000000002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20228.240000000002</v>
      </c>
      <c r="H5" s="16">
        <f t="shared" ref="H5:AT5" si="0">SUM(H13:H656)</f>
        <v>20228.240000000002</v>
      </c>
      <c r="I5" s="16">
        <f t="shared" si="0"/>
        <v>19982.990000000002</v>
      </c>
      <c r="J5" s="16">
        <f t="shared" si="0"/>
        <v>0</v>
      </c>
      <c r="K5" s="16">
        <f t="shared" si="0"/>
        <v>245.25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20228.240000000002</v>
      </c>
      <c r="BA5" s="18">
        <f t="shared" si="1"/>
        <v>20228.240000000002</v>
      </c>
      <c r="BB5" s="18">
        <f t="shared" si="1"/>
        <v>19982.990000000002</v>
      </c>
      <c r="BC5" s="18">
        <f t="shared" si="1"/>
        <v>245.25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73586.240000000005</v>
      </c>
      <c r="F6" s="16" t="s">
        <v>1</v>
      </c>
      <c r="G6" s="16" t="s">
        <v>2</v>
      </c>
      <c r="H6" s="20">
        <f>SUMIF(I$12:AB$12,"总值",I6:AB6)</f>
        <v>73586.240000000005</v>
      </c>
      <c r="I6" s="16">
        <f t="shared" ref="I6:AB6" si="2">ROUND($A$3*I5/$B$3,2)</f>
        <v>72694.070000000007</v>
      </c>
      <c r="J6" s="16">
        <f t="shared" si="2"/>
        <v>0</v>
      </c>
      <c r="K6" s="16">
        <f t="shared" si="2"/>
        <v>892.17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73586.240000000005</v>
      </c>
      <c r="AZ6" s="16" t="s">
        <v>3</v>
      </c>
      <c r="BA6" s="16">
        <f>ROUND($AY$6*BA5/$AZ$5,2)</f>
        <v>73586.240000000005</v>
      </c>
      <c r="BB6" s="16">
        <f>ROUND($AY$6*BB5/$AZ$5,2)</f>
        <v>72694.070000000007</v>
      </c>
      <c r="BC6" s="16">
        <f t="shared" ref="BC6:BH6" si="4">ROUND($AY$6*BC5/$AZ$5,2)</f>
        <v>892.17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3063</v>
      </c>
      <c r="J9" s="981"/>
      <c r="K9" s="2191" t="s">
        <v>3099</v>
      </c>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3064</v>
      </c>
      <c r="E13" s="16">
        <f>IF($C$3="是",ROUND($A$3*G13/$B$3,2),ROUND($A$3*(G13-AT13)/$B$3,2))</f>
        <v>73586.240000000005</v>
      </c>
      <c r="F13" s="32"/>
      <c r="G13" s="33">
        <f>H13+AC13+AT13</f>
        <v>20228.240000000002</v>
      </c>
      <c r="H13" s="20">
        <f>SUMIF(I$12:AB$12,"总值",I13:AB13)</f>
        <v>20228.240000000002</v>
      </c>
      <c r="I13" s="2214">
        <f>20228.24-245.25</f>
        <v>19982.990000000002</v>
      </c>
      <c r="J13" s="2214"/>
      <c r="K13" s="2214">
        <v>245.25</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73586.240000000005</v>
      </c>
      <c r="AZ13" s="16">
        <f>BA13+BL13</f>
        <v>20228.240000000002</v>
      </c>
      <c r="BA13" s="16">
        <f>SUM(BB13:BK13)</f>
        <v>20228.240000000002</v>
      </c>
      <c r="BB13" s="16">
        <f>IF($D13="是",I13-J13,0)</f>
        <v>19982.990000000002</v>
      </c>
      <c r="BC13" s="16">
        <f>IF($D13="是",K13-L13,0)</f>
        <v>245.25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1" t="s">
        <v>1935</v>
      </c>
      <c r="B2" s="3041"/>
      <c r="C2" s="3041"/>
      <c r="D2" s="967" t="s">
        <v>1911</v>
      </c>
      <c r="E2" s="2227" t="s">
        <v>1912</v>
      </c>
      <c r="F2" s="1392"/>
      <c r="G2" s="2228"/>
      <c r="H2" s="2229"/>
      <c r="I2" s="2230" t="s">
        <v>1936</v>
      </c>
      <c r="J2" s="1392"/>
      <c r="K2" s="1392"/>
      <c r="L2" s="1392"/>
      <c r="M2" s="1392"/>
      <c r="N2" s="1427"/>
      <c r="O2" s="1392"/>
      <c r="P2" s="1392"/>
    </row>
    <row r="3" spans="1:16" ht="15.75" thickBot="1">
      <c r="A3" s="3042" t="s">
        <v>1909</v>
      </c>
      <c r="B3" s="3042"/>
      <c r="C3" s="3042"/>
      <c r="D3" s="46">
        <f>'数据-基础表'!AY6</f>
        <v>73586.240000000005</v>
      </c>
      <c r="E3" s="46">
        <f>'数据-基础表'!AZ5</f>
        <v>20228.240000000002</v>
      </c>
      <c r="F3" s="1392"/>
      <c r="G3" s="1399"/>
      <c r="H3" s="1247" t="s">
        <v>1910</v>
      </c>
      <c r="I3" s="55">
        <f>ROUND('数据-基础表'!B3/'数据-基础表'!A3,2)</f>
        <v>0.27</v>
      </c>
      <c r="J3" s="1392"/>
      <c r="K3" s="1392"/>
      <c r="L3" s="1392"/>
      <c r="M3" s="1392"/>
      <c r="N3" s="1427"/>
      <c r="O3" s="1392"/>
      <c r="P3" s="1392"/>
    </row>
    <row r="4" spans="1:16" ht="15">
      <c r="A4" s="3043"/>
      <c r="B4" s="3044"/>
      <c r="C4" s="3045"/>
      <c r="D4" s="2231" t="s">
        <v>1911</v>
      </c>
      <c r="E4" s="2232" t="s">
        <v>1912</v>
      </c>
      <c r="F4" s="1392"/>
      <c r="G4" s="2233" t="s">
        <v>1937</v>
      </c>
      <c r="H4" s="1247" t="s">
        <v>1917</v>
      </c>
      <c r="I4" s="55">
        <f>ROUND(SUMIF('数据-基础表'!I9:AS9,"地上",'数据-基础表'!I5:AS5)/'数据-基础表'!A3,2)</f>
        <v>0.27</v>
      </c>
      <c r="J4" s="1392"/>
      <c r="K4" s="1392"/>
      <c r="L4" s="1392"/>
      <c r="M4" s="1392"/>
      <c r="N4" s="1427"/>
      <c r="O4" s="1392"/>
      <c r="P4" s="1392"/>
    </row>
    <row r="5" spans="1:16">
      <c r="A5" s="47" t="s">
        <v>1913</v>
      </c>
      <c r="B5" s="3046" t="s">
        <v>1914</v>
      </c>
      <c r="C5" s="3046"/>
      <c r="D5" s="48">
        <f>ROUND($D$3*E5/$E$3,2)</f>
        <v>0</v>
      </c>
      <c r="E5" s="49">
        <f>SUMIF('数据-基础表'!$11:$11,"住宅",'数据-基础表'!$5:$5)</f>
        <v>0</v>
      </c>
      <c r="F5" s="1392"/>
      <c r="G5" s="1399"/>
      <c r="H5" s="1247" t="s">
        <v>1910</v>
      </c>
      <c r="I5" s="55">
        <f>ROUND(E31/D31,2)</f>
        <v>0.27</v>
      </c>
      <c r="J5" s="1392"/>
      <c r="K5" s="1392"/>
      <c r="L5" s="1392"/>
      <c r="M5" s="1392"/>
      <c r="N5" s="1392"/>
      <c r="O5" s="1392"/>
      <c r="P5" s="1392"/>
    </row>
    <row r="6" spans="1:16" ht="15" thickBot="1">
      <c r="A6" s="2234"/>
      <c r="B6" s="3046" t="s">
        <v>1915</v>
      </c>
      <c r="C6" s="3046"/>
      <c r="D6" s="48">
        <f>ROUND($D$3*E6/$E$3,2)</f>
        <v>73586.240000000005</v>
      </c>
      <c r="E6" s="49">
        <f>E3-E5</f>
        <v>20228.240000000002</v>
      </c>
      <c r="F6" s="1392"/>
      <c r="G6" s="2235" t="s">
        <v>1916</v>
      </c>
      <c r="H6" s="1399" t="s">
        <v>1917</v>
      </c>
      <c r="I6" s="939">
        <f>ROUND(F31/D31,2)</f>
        <v>0.27</v>
      </c>
      <c r="J6" s="1392"/>
      <c r="K6" s="1392"/>
      <c r="L6" s="1392"/>
      <c r="M6" s="1392"/>
      <c r="N6" s="1392"/>
      <c r="O6" s="1392"/>
      <c r="P6" s="1392"/>
    </row>
    <row r="7" spans="1:16" ht="15">
      <c r="A7" s="3038"/>
      <c r="B7" s="3039"/>
      <c r="C7" s="3040"/>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72694.070000000007</v>
      </c>
      <c r="E8" s="51">
        <f>SUMIF('数据-基础表'!BB10:BK10,"地上",'数据-基础表'!BB5:BK5)</f>
        <v>19982.990000000002</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72694.070000000007</v>
      </c>
      <c r="E16" s="53">
        <f>SUM(E8:E15)</f>
        <v>19982.990000000002</v>
      </c>
      <c r="F16" s="1392"/>
      <c r="G16" s="2237"/>
      <c r="H16" s="2240" t="s">
        <v>1939</v>
      </c>
      <c r="I16" s="2241"/>
      <c r="J16" s="1392"/>
      <c r="K16" s="3035" t="s">
        <v>1939</v>
      </c>
      <c r="L16" s="3036"/>
      <c r="M16" s="3036"/>
      <c r="N16" s="3036"/>
      <c r="O16" s="3036"/>
      <c r="P16" s="3037"/>
    </row>
    <row r="17" spans="1:19" ht="15">
      <c r="A17" s="2242" t="s">
        <v>1940</v>
      </c>
      <c r="B17" s="2243" t="s">
        <v>1941</v>
      </c>
      <c r="C17" s="2244" t="s">
        <v>1942</v>
      </c>
      <c r="D17" s="2245" t="s">
        <v>1930</v>
      </c>
      <c r="E17" s="2246" t="s">
        <v>1931</v>
      </c>
      <c r="F17" s="2247"/>
      <c r="G17" s="2248"/>
      <c r="H17" s="2249" t="s">
        <v>1943</v>
      </c>
      <c r="I17" s="2250" t="s">
        <v>1928</v>
      </c>
      <c r="J17" s="1392"/>
      <c r="K17" s="3032" t="s">
        <v>1944</v>
      </c>
      <c r="L17" s="3033"/>
      <c r="M17" s="3034"/>
      <c r="N17" s="3032" t="s">
        <v>1945</v>
      </c>
      <c r="O17" s="3033"/>
      <c r="P17" s="3034"/>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3285" t="s">
        <v>3065</v>
      </c>
      <c r="D19" s="48">
        <f>ROUND($D$3*E19/$E$3,2)</f>
        <v>73586.240000000005</v>
      </c>
      <c r="E19" s="56">
        <f t="shared" ref="E19:E26" si="1">SUM(F19:G19)</f>
        <v>20228.240000000002</v>
      </c>
      <c r="F19" s="57">
        <f>'数据-基础表'!I13</f>
        <v>19982.990000000002</v>
      </c>
      <c r="G19" s="58">
        <f>'数据-基础表'!K13</f>
        <v>245.25</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73586.240000000005</v>
      </c>
      <c r="S19" s="1248">
        <f t="shared" si="5"/>
        <v>20228.240000000002</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73586.240000000005</v>
      </c>
      <c r="E27" s="1394">
        <f>IF(SUM(E19:E26)='数据-基础表'!BA5,SUM(E19:E26),IF(F27="地上面积有误","面积有误","地下面积有误"))</f>
        <v>20228.240000000002</v>
      </c>
      <c r="F27" s="1393">
        <f>IF(SUM(F19:F26)=E8,SUM(F19:F26),"地上面积有误")</f>
        <v>19982.990000000002</v>
      </c>
      <c r="G27" s="1395">
        <f>SUM(G19:G26)</f>
        <v>245.25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73586.240000000005</v>
      </c>
      <c r="S27" s="1247">
        <f>IF(SUM(S19:S26)=$E$3,SUM(S19:S26),SUM(S19:S26)&amp;"误差"&amp;ROUND(SUM(S19:S26)-E3,2))</f>
        <v>20228.240000000002</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73586.240000000005</v>
      </c>
      <c r="E31" s="729">
        <f>E27+E30</f>
        <v>20228.240000000002</v>
      </c>
      <c r="F31" s="730">
        <f>F27+F30</f>
        <v>19982.990000000002</v>
      </c>
      <c r="G31" s="731">
        <f>G27+G30</f>
        <v>245.25</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43707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3066</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56926</v>
      </c>
      <c r="F6" s="72">
        <f>SUMIF(项目基本情况!D$12:I$12,C6,项目基本情况!D$15:I$15)</f>
        <v>36.21</v>
      </c>
      <c r="G6" s="73">
        <f>IF(ISERROR(ROUND(POWER(1+H6,D6-F6)*(POWER(1+H6,F6)-1)/(POWER(1+H6,D6)-1),3)),0,ROUND(POWER(1+H6,D6-F6)*(POWER(1+H6,F6)-1)/(POWER(1+H6,D6)-1),3))</f>
        <v>0.88300000000000001</v>
      </c>
      <c r="H6" s="802">
        <v>0.04</v>
      </c>
      <c r="I6" s="802">
        <v>4.4999999999999998E-2</v>
      </c>
      <c r="J6" s="74">
        <v>8.5000000000000006E-2</v>
      </c>
      <c r="K6" s="1251">
        <f>SUMIF('数据-汇总表'!C$19:C$33,A6,'数据-汇总表'!E$19:E$33)</f>
        <v>20228.240000000002</v>
      </c>
      <c r="L6" s="803">
        <v>2000</v>
      </c>
      <c r="M6" s="75">
        <f t="shared" ref="M6:M14" si="0">ROUND(K6*L6/10000,0)</f>
        <v>4046</v>
      </c>
      <c r="N6" s="801">
        <f>Sheet1!F11</f>
        <v>0.62</v>
      </c>
      <c r="O6" s="75" t="str">
        <f>IF($N$5="成新度","——",ROUND(M6*N6,0))</f>
        <v>——</v>
      </c>
      <c r="P6" s="76" t="str">
        <f>IF($N$5="成新度","——",M6-O6)</f>
        <v>——</v>
      </c>
      <c r="Q6" s="804">
        <v>0.1</v>
      </c>
      <c r="R6" s="77">
        <f ca="1">SUMIF('数据-汇总表'!C$19:C$33,A6,'数据-汇总表'!R$19:R$27)</f>
        <v>73586.240000000005</v>
      </c>
      <c r="S6" s="54">
        <f>IF('数据-汇总表'!$I$17="按面积比例",SUMIF('数据-汇总表'!C$19:C$33,A6,'数据-汇总表'!K$19:K$33),SUMIF('数据-汇总表'!C$19:C$33,A6,'数据-汇总表'!N$19:N$33))</f>
        <v>0</v>
      </c>
      <c r="T6" s="1443">
        <f>ROUND($L$14*S6/10000,0)</f>
        <v>0</v>
      </c>
      <c r="U6" s="3292">
        <v>2.5</v>
      </c>
      <c r="V6" s="3293">
        <v>2.5000000000000001E-2</v>
      </c>
      <c r="W6" s="79">
        <v>0.1</v>
      </c>
      <c r="X6" s="1261"/>
      <c r="Y6" s="80">
        <f>N6</f>
        <v>0.62</v>
      </c>
      <c r="Z6" s="81"/>
      <c r="AA6" s="74"/>
      <c r="AB6" s="74"/>
      <c r="AC6" s="1261"/>
      <c r="AD6" s="82"/>
      <c r="AE6" s="1262">
        <f ca="1">IF(AN6="",0,SUMIF(INDIRECT("'"&amp;AN6&amp;"'"&amp;"!E:E"),$AE$5,INDIRECT("'"&amp;AN6&amp;"'"&amp;"!F:F")))</f>
        <v>36.21</v>
      </c>
      <c r="AF6" s="1804"/>
      <c r="AG6" s="147">
        <f>IF(AF6="",0,AE6-AF6)</f>
        <v>0</v>
      </c>
      <c r="AH6" s="83"/>
      <c r="AI6" s="85">
        <v>365</v>
      </c>
      <c r="AJ6" s="86"/>
      <c r="AK6" s="87">
        <v>0.01</v>
      </c>
      <c r="AL6" s="88">
        <v>1.5E-3</v>
      </c>
      <c r="AM6" s="89">
        <v>0.01</v>
      </c>
      <c r="AN6" s="2309" t="s">
        <v>3083</v>
      </c>
      <c r="AO6" s="55">
        <f ca="1">SUMIF(INDIRECT("'"&amp;AN6&amp;"'"&amp;"!A:A"),"总价",INDIRECT("'"&amp;AN6&amp;"'"&amp;"!B:B"))</f>
        <v>32562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0.88300000000000001</v>
      </c>
      <c r="H16" s="99">
        <f>ROUND(SUMPRODUCT(H6:H13,K6:K13)/SUMPRODUCT((H6:H13&gt;0)*(K6:K13)),3)</f>
        <v>0.04</v>
      </c>
      <c r="I16" s="100"/>
      <c r="J16" s="100"/>
      <c r="K16" s="101">
        <f>SUM(K6:K15)</f>
        <v>20228.240000000002</v>
      </c>
      <c r="L16" s="102">
        <f>ROUND(M16*10000/SUM(K6:K14),0)</f>
        <v>2000</v>
      </c>
      <c r="M16" s="102">
        <f>SUM(M6:M14)</f>
        <v>4046</v>
      </c>
      <c r="N16" s="103">
        <f>ROUND(SUMPRODUCT(M6:M14,N6:N14)/M16,3)</f>
        <v>0.62</v>
      </c>
      <c r="O16" s="102">
        <f>SUM(O6:O14)</f>
        <v>0</v>
      </c>
      <c r="P16" s="102">
        <f>SUM(P6:P14)</f>
        <v>0</v>
      </c>
      <c r="Q16" s="104">
        <f>ROUND(SUMPRODUCT(Q6:Q13,K6:K13)/SUMPRODUCT((Q6:Q13&gt;0)*(K6:K13)),2)</f>
        <v>0.1</v>
      </c>
      <c r="R16" s="1255">
        <f ca="1">SUM(R6:R13)</f>
        <v>73586.240000000005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1.5</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v>160</v>
      </c>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成本法!C10</f>
        <v>405</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0.03</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1.4999999999999999E-2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1.4999999999999999E-2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7.0000000000000007E-2</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v>0</v>
      </c>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56</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7" t="s">
        <v>2080</v>
      </c>
      <c r="B1" s="3048"/>
      <c r="C1" s="3048"/>
      <c r="D1" s="3048"/>
      <c r="E1" s="3048"/>
      <c r="F1" s="3048"/>
      <c r="G1" s="304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20228.240000000002</v>
      </c>
      <c r="C1" s="1742"/>
      <c r="D1" s="1742"/>
      <c r="E1" s="1742"/>
      <c r="F1" s="1742"/>
      <c r="G1" s="1740"/>
    </row>
    <row r="2" spans="1:10" ht="16.5">
      <c r="A2" s="1743" t="s">
        <v>1349</v>
      </c>
      <c r="B2" s="1743">
        <f>SUM(C14:C23)</f>
        <v>73586.240000000005</v>
      </c>
      <c r="C2" s="1742"/>
      <c r="D2" s="1742"/>
      <c r="E2" s="1742"/>
      <c r="F2" s="1742"/>
      <c r="G2" s="1740"/>
    </row>
    <row r="3" spans="1:10" ht="16.5">
      <c r="A3" s="1743" t="s">
        <v>1358</v>
      </c>
      <c r="B3" s="1744">
        <f>项目基本情况!D3</f>
        <v>43707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31623</v>
      </c>
      <c r="C5" s="1743">
        <f ca="1">ROUND(B5*10000/$B$1,0)</f>
        <v>15633</v>
      </c>
      <c r="D5" s="1743">
        <f ca="1">ROUND(B5*10000/$B$2,0)</f>
        <v>4297</v>
      </c>
      <c r="E5" s="1742"/>
      <c r="F5" s="1740"/>
      <c r="G5" s="1740"/>
    </row>
    <row r="6" spans="1:10" ht="16.5">
      <c r="A6" s="1743" t="s">
        <v>1352</v>
      </c>
      <c r="B6" s="1743">
        <f ca="1">SUM(G14:G23)</f>
        <v>31623</v>
      </c>
      <c r="C6" s="1743">
        <f ca="1">ROUND(B6*10000/$B$1,0)</f>
        <v>15633</v>
      </c>
      <c r="D6" s="1743">
        <f ca="1">ROUND(B6*10000/$B$2,0)</f>
        <v>4297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20228.240000000002</v>
      </c>
      <c r="C14" s="1741">
        <f>结果表!C118</f>
        <v>73586.240000000005</v>
      </c>
      <c r="D14" s="1741">
        <f ca="1">结果表!H118</f>
        <v>31623</v>
      </c>
      <c r="E14" s="1741">
        <f ca="1">ROUND(D14*10000/B14,0)</f>
        <v>15633</v>
      </c>
      <c r="F14" s="1741">
        <f ca="1">ROUND(D14*10000/C14,0)</f>
        <v>4297</v>
      </c>
      <c r="G14" s="1741">
        <f ca="1">结果表!D122</f>
        <v>31623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t="s">
        <v>6</v>
      </c>
      <c r="D1" s="2419"/>
      <c r="E1" s="2419"/>
      <c r="F1" s="2421" t="s">
        <v>2118</v>
      </c>
      <c r="G1" s="2070" t="s">
        <v>3090</v>
      </c>
      <c r="H1" s="2422" t="str">
        <f>IF(G1="现房","——","估价对象范围")</f>
        <v>——</v>
      </c>
      <c r="I1" s="2423" t="s">
        <v>3091</v>
      </c>
    </row>
    <row r="2" spans="1:12" ht="21.75" customHeight="1" thickBot="1">
      <c r="A2" s="3121" t="str">
        <f>项目基本情况!S2</f>
        <v>房地产</v>
      </c>
      <c r="B2" s="3122"/>
      <c r="C2" s="3122"/>
      <c r="D2" s="3122"/>
      <c r="E2" s="3122"/>
      <c r="F2" s="3122"/>
      <c r="G2" s="3122"/>
      <c r="H2" s="3122"/>
      <c r="I2" s="3123"/>
    </row>
    <row r="3" spans="1:12" ht="12.75">
      <c r="A3" s="3124" t="s">
        <v>2119</v>
      </c>
      <c r="B3" s="3125"/>
      <c r="C3" s="3125"/>
      <c r="D3" s="3125"/>
      <c r="E3" s="3125"/>
      <c r="F3" s="3125"/>
      <c r="G3" s="3125"/>
      <c r="H3" s="3125"/>
      <c r="I3" s="3125"/>
    </row>
    <row r="4" spans="1:12" ht="14.25">
      <c r="A4" s="2426" t="s">
        <v>2120</v>
      </c>
      <c r="B4" s="2427" t="s">
        <v>2121</v>
      </c>
      <c r="C4" s="2428" t="s">
        <v>3089</v>
      </c>
      <c r="D4" s="2428" t="s">
        <v>3083</v>
      </c>
      <c r="E4" s="3105" t="s">
        <v>2122</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2123</v>
      </c>
      <c r="B5" s="3022">
        <v>25</v>
      </c>
      <c r="C5" s="3126"/>
      <c r="D5" s="3114"/>
      <c r="E5" s="140" t="s">
        <v>2124</v>
      </c>
      <c r="F5" s="2430"/>
      <c r="G5" s="2430"/>
      <c r="H5" s="2430"/>
      <c r="I5" s="1831"/>
    </row>
    <row r="6" spans="1:12" ht="12.75">
      <c r="A6" s="3096"/>
      <c r="B6" s="3022"/>
      <c r="C6" s="3128"/>
      <c r="D6" s="3114"/>
      <c r="E6" s="140" t="s">
        <v>2125</v>
      </c>
      <c r="F6" s="2430"/>
      <c r="G6" s="2430"/>
      <c r="H6" s="2430"/>
      <c r="I6" s="1831"/>
    </row>
    <row r="7" spans="1:12" ht="12.75">
      <c r="A7" s="3096"/>
      <c r="B7" s="3022"/>
      <c r="C7" s="3127"/>
      <c r="D7" s="3114"/>
      <c r="E7" s="140" t="s">
        <v>2126</v>
      </c>
      <c r="F7" s="2430"/>
      <c r="G7" s="2430"/>
      <c r="H7" s="2430"/>
      <c r="I7" s="1831"/>
    </row>
    <row r="8" spans="1:12" ht="12.75">
      <c r="A8" s="3096" t="s">
        <v>2127</v>
      </c>
      <c r="B8" s="3022">
        <v>15</v>
      </c>
      <c r="C8" s="3126"/>
      <c r="D8" s="3114"/>
      <c r="E8" s="140" t="s">
        <v>2128</v>
      </c>
      <c r="F8" s="2430"/>
      <c r="G8" s="2430"/>
      <c r="H8" s="2430"/>
      <c r="I8" s="1831"/>
    </row>
    <row r="9" spans="1:12" ht="12.75">
      <c r="A9" s="3096"/>
      <c r="B9" s="3022"/>
      <c r="C9" s="3127"/>
      <c r="D9" s="3114"/>
      <c r="E9" s="140" t="s">
        <v>2129</v>
      </c>
      <c r="F9" s="2430"/>
      <c r="G9" s="2430"/>
      <c r="H9" s="2430"/>
      <c r="I9" s="1831"/>
    </row>
    <row r="10" spans="1:12" ht="12.75">
      <c r="A10" s="3096" t="s">
        <v>2130</v>
      </c>
      <c r="B10" s="3022">
        <v>15</v>
      </c>
      <c r="C10" s="3126"/>
      <c r="D10" s="3114"/>
      <c r="E10" s="140" t="s">
        <v>2131</v>
      </c>
      <c r="F10" s="2430"/>
      <c r="G10" s="2430"/>
      <c r="H10" s="2430"/>
      <c r="I10" s="1831"/>
    </row>
    <row r="11" spans="1:12" ht="12.75">
      <c r="A11" s="3096"/>
      <c r="B11" s="3022"/>
      <c r="C11" s="3127"/>
      <c r="D11" s="3114"/>
      <c r="E11" s="140" t="s">
        <v>2132</v>
      </c>
      <c r="F11" s="2430"/>
      <c r="G11" s="2430"/>
      <c r="H11" s="2430"/>
      <c r="I11" s="1831"/>
    </row>
    <row r="12" spans="1:12" ht="12.75">
      <c r="A12" s="3096" t="s">
        <v>2133</v>
      </c>
      <c r="B12" s="3022">
        <v>15</v>
      </c>
      <c r="C12" s="3126"/>
      <c r="D12" s="3114"/>
      <c r="E12" s="140" t="s">
        <v>2134</v>
      </c>
      <c r="F12" s="2430"/>
      <c r="G12" s="2430"/>
      <c r="H12" s="2430"/>
      <c r="I12" s="1831"/>
    </row>
    <row r="13" spans="1:12" ht="12.75">
      <c r="A13" s="3096"/>
      <c r="B13" s="3022"/>
      <c r="C13" s="3127"/>
      <c r="D13" s="3114"/>
      <c r="E13" s="140" t="s">
        <v>2135</v>
      </c>
      <c r="F13" s="2430"/>
      <c r="G13" s="2430"/>
      <c r="H13" s="2430"/>
      <c r="I13" s="1831"/>
    </row>
    <row r="14" spans="1:12" ht="12.75">
      <c r="A14" s="3096" t="s">
        <v>2136</v>
      </c>
      <c r="B14" s="3022">
        <v>30</v>
      </c>
      <c r="C14" s="3126">
        <v>5</v>
      </c>
      <c r="D14" s="3114">
        <v>5</v>
      </c>
      <c r="E14" s="140" t="s">
        <v>2137</v>
      </c>
      <c r="F14" s="2430"/>
      <c r="G14" s="2430"/>
      <c r="H14" s="2430"/>
      <c r="I14" s="1831"/>
    </row>
    <row r="15" spans="1:12" ht="12.75">
      <c r="A15" s="3096"/>
      <c r="B15" s="3022"/>
      <c r="C15" s="3128"/>
      <c r="D15" s="3114"/>
      <c r="E15" s="140" t="s">
        <v>2138</v>
      </c>
      <c r="F15" s="2430"/>
      <c r="G15" s="2430"/>
      <c r="H15" s="2430"/>
      <c r="I15" s="1831"/>
    </row>
    <row r="16" spans="1:12" ht="12.75">
      <c r="A16" s="3096"/>
      <c r="B16" s="3022"/>
      <c r="C16" s="3127"/>
      <c r="D16" s="3114"/>
      <c r="E16" s="140" t="s">
        <v>2139</v>
      </c>
      <c r="F16" s="2430"/>
      <c r="G16" s="2430"/>
      <c r="H16" s="2430"/>
      <c r="I16" s="1831"/>
    </row>
    <row r="17" spans="1:35" ht="15">
      <c r="A17" s="2431" t="s">
        <v>2140</v>
      </c>
      <c r="B17" s="64"/>
      <c r="C17" s="141">
        <f>SUM(C5:C16)</f>
        <v>5</v>
      </c>
      <c r="D17" s="141">
        <f>SUM(D5:D16)</f>
        <v>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20228.240000000002</v>
      </c>
      <c r="M18" s="2429">
        <f>IF(C1="",'数据-汇总表'!E3,SUMIF(项目类型,C1,'数据-汇总表'!E17:E26))</f>
        <v>20228.240000000002</v>
      </c>
    </row>
    <row r="19" spans="1:35" ht="15">
      <c r="A19" s="2435" t="s">
        <v>2145</v>
      </c>
      <c r="B19" s="2436" t="s">
        <v>2146</v>
      </c>
      <c r="C19" s="143">
        <f ca="1">SUMIF(INDIRECT("'"&amp;C4&amp;"'"&amp;"!A:A"),结果表!B19,INDIRECT("'"&amp;C4&amp;"'"&amp;"!B:B"))</f>
        <v>30683</v>
      </c>
      <c r="D19" s="144">
        <f ca="1">SUMIF(INDIRECT("'"&amp;D4&amp;"'"&amp;"!A:A"),结果表!B19,INDIRECT("'"&amp;D4&amp;"'"&amp;"!B:B"))</f>
        <v>32562</v>
      </c>
      <c r="E19" s="2435" t="s">
        <v>2147</v>
      </c>
      <c r="F19" s="2436" t="s">
        <v>2146</v>
      </c>
      <c r="G19" s="145">
        <f ca="1">ROUND(C19*$C$18+D19*$D$18,0)</f>
        <v>31623</v>
      </c>
      <c r="H19" s="2437" t="s">
        <v>2148</v>
      </c>
      <c r="I19" s="138"/>
      <c r="K19" s="2429" t="s">
        <v>2149</v>
      </c>
      <c r="L19" s="2429">
        <f>IF(C1="",'数据-汇总表'!D3,SUMIF(项目类型,C1,'数据-汇总表'!D17:D26)+SUMIF(项目类型,C1,'数据-汇总表'!H17:H27))</f>
        <v>73586.240000000005</v>
      </c>
      <c r="M19" s="2429">
        <f>IF(C1="",'数据-汇总表'!D3,SUMIF(项目类型,C1,'数据-汇总表'!D17:D26))</f>
        <v>73586.240000000005</v>
      </c>
    </row>
    <row r="20" spans="1:35" ht="15">
      <c r="A20" s="2438"/>
      <c r="B20" s="1247" t="s">
        <v>2150</v>
      </c>
      <c r="C20" s="146">
        <f ca="1">SUMIF(INDIRECT("'"&amp;C4&amp;"'"&amp;"!A:A"),结果表!B20,INDIRECT("'"&amp;C4&amp;"'"&amp;"!B:B"))</f>
        <v>15168</v>
      </c>
      <c r="D20" s="147">
        <f ca="1">SUMIF(INDIRECT("'"&amp;D4&amp;"'"&amp;"!A:A"),结果表!B20,INDIRECT("'"&amp;D4&amp;"'"&amp;"!B:B"))</f>
        <v>16097</v>
      </c>
      <c r="E20" s="2438"/>
      <c r="F20" s="1247" t="s">
        <v>2150</v>
      </c>
      <c r="G20" s="148">
        <f ca="1">ROUND(C20*$C$18+D20*$D$18,0)</f>
        <v>15633</v>
      </c>
      <c r="H20" s="980" t="s">
        <v>2151</v>
      </c>
      <c r="I20" s="138"/>
      <c r="J20" s="795">
        <f ca="1">G19/C118*666.67</f>
        <v>286.4952117406732</v>
      </c>
    </row>
    <row r="21" spans="1:35" ht="15" customHeight="1" thickBot="1">
      <c r="A21" s="1000"/>
      <c r="B21" s="2439" t="s">
        <v>2152</v>
      </c>
      <c r="C21" s="789">
        <f ca="1">ROUND(C19*10000/L19,0)</f>
        <v>4170</v>
      </c>
      <c r="D21" s="790">
        <f ca="1">ROUND(D19*10000/L19,0)</f>
        <v>4425</v>
      </c>
      <c r="E21" s="1000"/>
      <c r="F21" s="2439" t="s">
        <v>2152</v>
      </c>
      <c r="G21" s="149">
        <f ca="1">ROUND(G19*10000/L19,0)</f>
        <v>4297</v>
      </c>
      <c r="H21" s="2440" t="s">
        <v>2151</v>
      </c>
      <c r="I21" s="138"/>
    </row>
    <row r="22" spans="1:35" ht="15" thickBot="1">
      <c r="A22" s="2281" t="s">
        <v>2153</v>
      </c>
      <c r="B22" s="2441"/>
      <c r="C22" s="2442"/>
      <c r="D22" s="791">
        <f ca="1">IF(C19&lt;D19,D19/C19-1,C19/D19-1)</f>
        <v>6.1239122641201904E-2</v>
      </c>
      <c r="E22" s="138"/>
      <c r="F22" s="138"/>
      <c r="G22" s="138"/>
      <c r="H22" s="138"/>
      <c r="I22" s="138"/>
    </row>
    <row r="23" spans="1:35" ht="13.5" thickBot="1">
      <c r="A23" s="2419"/>
      <c r="B23" s="2419"/>
      <c r="C23" s="2419"/>
      <c r="D23" s="2419"/>
      <c r="E23" s="138"/>
      <c r="F23" s="138"/>
      <c r="G23" s="138"/>
      <c r="H23" s="138"/>
      <c r="I23" s="138"/>
    </row>
    <row r="24" spans="1:35" ht="14.25">
      <c r="A24" s="3135" t="s">
        <v>2154</v>
      </c>
      <c r="B24" s="2436" t="s">
        <v>2146</v>
      </c>
      <c r="C24" s="145">
        <f>IF(B30=0,0,D30)</f>
        <v>0</v>
      </c>
      <c r="D24" s="2443"/>
      <c r="E24" s="138"/>
      <c r="F24" s="138"/>
      <c r="G24" s="138"/>
      <c r="H24" s="138"/>
      <c r="I24" s="138"/>
    </row>
    <row r="25" spans="1:35" ht="14.25">
      <c r="A25" s="3136"/>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31623</v>
      </c>
      <c r="D32" s="2450" t="s">
        <v>2161</v>
      </c>
      <c r="E32" s="138"/>
      <c r="F32" s="138"/>
      <c r="G32" s="138"/>
      <c r="H32" s="138"/>
      <c r="I32" s="138"/>
    </row>
    <row r="33" spans="1:15" ht="15">
      <c r="A33" s="957" t="s">
        <v>2162</v>
      </c>
      <c r="B33" s="2451"/>
      <c r="C33" s="2452" t="s">
        <v>3161</v>
      </c>
      <c r="D33" s="2453" t="s">
        <v>3089</v>
      </c>
      <c r="E33" s="2454" t="s">
        <v>2163</v>
      </c>
      <c r="F33" s="2455" t="str">
        <f>IF(D32="楼面单价","取值（单价）","取值（总价）")</f>
        <v>取值（总价）</v>
      </c>
      <c r="G33" s="138"/>
      <c r="H33" s="138"/>
      <c r="I33" s="138"/>
    </row>
    <row r="34" spans="1:15" ht="15">
      <c r="A34" s="2456"/>
      <c r="B34" s="2457" t="s">
        <v>2164</v>
      </c>
      <c r="C34" s="157">
        <f ca="1">IF(C33="自定义",F34,C32-C35)</f>
        <v>27955</v>
      </c>
      <c r="D34" s="1055">
        <f ca="1">IF(C33="自定义",ROUND(C34/C32,3),IF(C33="收益比率",SUMIF(INDIRECT("'"&amp;D33&amp;"'"&amp;"!b:b"),"土地收益比率",INDIRECT("'"&amp;D33&amp;"'"&amp;"!c:c")),SUMIF(INDIRECT("'"&amp;D33&amp;"'"&amp;"!b:b"),"土地成本比率",INDIRECT("'"&amp;D33&amp;"'"&amp;"!c:c"))))</f>
        <v>0.88400000000000001</v>
      </c>
      <c r="E34" s="2458" t="s">
        <v>2165</v>
      </c>
      <c r="F34" s="1736"/>
      <c r="G34" s="138"/>
      <c r="H34" s="138"/>
      <c r="I34" s="138"/>
    </row>
    <row r="35" spans="1:15" ht="15.75" thickBot="1">
      <c r="A35" s="2459"/>
      <c r="B35" s="2460" t="s">
        <v>2166</v>
      </c>
      <c r="C35" s="1441">
        <f ca="1">IF(C33="自定义",F35,ROUND(C32*D35,0))</f>
        <v>3668</v>
      </c>
      <c r="D35" s="1442">
        <f ca="1">IF(C33="自定义",ROUND(C35/C32,3),IF(C33="收益比率",SUMIF(INDIRECT("'"&amp;D33&amp;"'"&amp;"!b:b"),"建筑物收益比率",INDIRECT("'"&amp;D33&amp;"'"&amp;"!c:c")),SUMIF(INDIRECT("'"&amp;D33&amp;"'"&amp;"!b:b"),"建筑物成本比率",INDIRECT("'"&amp;D33&amp;"'"&amp;"!c:c"))))</f>
        <v>0.11600000000000001</v>
      </c>
      <c r="E35" s="2461" t="s">
        <v>2167</v>
      </c>
      <c r="F35" s="163"/>
      <c r="G35" s="138"/>
      <c r="H35" s="138"/>
      <c r="I35" s="138"/>
    </row>
    <row r="36" spans="1:15" ht="15.75" thickBot="1">
      <c r="A36" s="3115" t="s">
        <v>2168</v>
      </c>
      <c r="B36" s="2462" t="s">
        <v>2169</v>
      </c>
      <c r="C36" s="154"/>
      <c r="D36" s="2463"/>
      <c r="E36" s="2464"/>
      <c r="F36" s="2465"/>
      <c r="G36" s="138"/>
      <c r="H36" s="138"/>
      <c r="I36" s="138"/>
    </row>
    <row r="37" spans="1:15" ht="15.75" thickBot="1">
      <c r="A37" s="3116"/>
      <c r="B37" s="2267" t="s">
        <v>2170</v>
      </c>
      <c r="C37" s="156"/>
      <c r="D37" s="1392"/>
      <c r="E37" s="1392"/>
      <c r="F37" s="2465"/>
      <c r="G37" s="138"/>
      <c r="H37" s="138"/>
      <c r="I37" s="138"/>
    </row>
    <row r="38" spans="1:15" ht="15.75" thickBot="1">
      <c r="A38" s="3117"/>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132" t="s">
        <v>2182</v>
      </c>
      <c r="B45" s="3133"/>
      <c r="C45" s="3134"/>
      <c r="D45" s="164">
        <f ca="1">ROUND(H101*F45,0)</f>
        <v>31623</v>
      </c>
      <c r="E45" s="165" t="s">
        <v>2183</v>
      </c>
      <c r="F45" s="166">
        <v>1</v>
      </c>
      <c r="G45" s="167" t="s">
        <v>2184</v>
      </c>
      <c r="H45" s="138"/>
      <c r="I45" s="138"/>
      <c r="J45" s="3051" t="s">
        <v>2185</v>
      </c>
      <c r="K45" s="3051"/>
      <c r="L45" s="3051"/>
      <c r="M45" s="3051"/>
      <c r="N45" s="3051"/>
      <c r="O45" s="3051"/>
    </row>
    <row r="46" spans="1:15" ht="14.25" customHeight="1">
      <c r="A46" s="3129" t="s">
        <v>2186</v>
      </c>
      <c r="B46" s="3130"/>
      <c r="C46" s="3130"/>
      <c r="D46" s="3130"/>
      <c r="E46" s="3130"/>
      <c r="F46" s="3130"/>
      <c r="G46" s="3131"/>
      <c r="H46" s="2481"/>
      <c r="I46" s="168"/>
      <c r="J46" s="1809">
        <v>1</v>
      </c>
      <c r="K46" s="3051" t="s">
        <v>2187</v>
      </c>
      <c r="L46" s="3051"/>
      <c r="M46" s="3052"/>
      <c r="N46" s="3052"/>
      <c r="O46" s="3052"/>
    </row>
    <row r="47" spans="1:15" ht="12" customHeight="1">
      <c r="A47" s="169" t="s">
        <v>2188</v>
      </c>
      <c r="B47" s="170"/>
      <c r="C47" s="171"/>
      <c r="D47" s="172" t="s">
        <v>2189</v>
      </c>
      <c r="E47" s="24" t="s">
        <v>2190</v>
      </c>
      <c r="F47" s="173" t="s">
        <v>2191</v>
      </c>
      <c r="G47" s="174" t="s">
        <v>2192</v>
      </c>
      <c r="H47" s="2481"/>
      <c r="I47" s="168"/>
      <c r="J47" s="1809">
        <v>2</v>
      </c>
      <c r="K47" s="3051" t="s">
        <v>2193</v>
      </c>
      <c r="L47" s="3051"/>
      <c r="M47" s="3053">
        <f>'数据-取费表'!B2</f>
        <v>43707</v>
      </c>
      <c r="N47" s="3053"/>
      <c r="O47" s="3053"/>
    </row>
    <row r="48" spans="1:15" ht="25.5">
      <c r="A48" s="3119" t="s">
        <v>2194</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051" t="s">
        <v>2197</v>
      </c>
      <c r="L48" s="3051"/>
      <c r="M48" s="3054">
        <f ca="1">H101</f>
        <v>31623</v>
      </c>
      <c r="N48" s="3054"/>
      <c r="O48" s="3054"/>
    </row>
    <row r="49" spans="1:35" ht="25.5" customHeight="1">
      <c r="A49" s="176" t="s">
        <v>2198</v>
      </c>
      <c r="B49" s="3099" t="s">
        <v>2199</v>
      </c>
      <c r="C49" s="3099"/>
      <c r="D49" s="177">
        <v>0</v>
      </c>
      <c r="E49" s="23" t="s">
        <v>2200</v>
      </c>
      <c r="F49" s="28" t="s">
        <v>34</v>
      </c>
      <c r="G49" s="3080"/>
      <c r="H49" s="138"/>
      <c r="I49" s="2484"/>
      <c r="J49" s="1809">
        <v>4</v>
      </c>
      <c r="K49" s="3051" t="str">
        <f>IF(项目基本情况!E8="房地产抵押价值","房地产抵押价值","抵押担保权已注销时的房地产抵押价值")</f>
        <v>房地产抵押价值</v>
      </c>
      <c r="L49" s="3051"/>
      <c r="M49" s="3054">
        <f ca="1">IF(项目基本情况!E8="房地产抵押价值",H107,H109)</f>
        <v>31623</v>
      </c>
      <c r="N49" s="3054"/>
      <c r="O49" s="3054"/>
    </row>
    <row r="50" spans="1:35" ht="25.5" customHeight="1">
      <c r="A50" s="178"/>
      <c r="B50" s="3099" t="s">
        <v>2201</v>
      </c>
      <c r="C50" s="3099"/>
      <c r="D50" s="179"/>
      <c r="E50" s="31"/>
      <c r="F50" s="180"/>
      <c r="G50" s="3081"/>
      <c r="H50" s="138"/>
      <c r="I50" s="2484"/>
      <c r="J50" s="3051" t="s">
        <v>2202</v>
      </c>
      <c r="K50" s="3051"/>
      <c r="L50" s="3051"/>
      <c r="M50" s="3051"/>
      <c r="N50" s="3051"/>
      <c r="O50" s="3051"/>
    </row>
    <row r="51" spans="1:35" ht="12" customHeight="1">
      <c r="A51" s="181"/>
      <c r="B51" s="3099" t="s">
        <v>2203</v>
      </c>
      <c r="C51" s="3099"/>
      <c r="D51" s="182"/>
      <c r="E51" s="30"/>
      <c r="F51" s="180"/>
      <c r="G51" s="3082"/>
      <c r="H51" s="138"/>
      <c r="I51" s="2484"/>
      <c r="J51" s="2485" t="s">
        <v>2204</v>
      </c>
      <c r="K51" s="3051" t="s">
        <v>2205</v>
      </c>
      <c r="L51" s="3051"/>
      <c r="M51" s="2485" t="s">
        <v>2206</v>
      </c>
      <c r="N51" s="2485" t="s">
        <v>2207</v>
      </c>
      <c r="O51" s="2485" t="s">
        <v>2208</v>
      </c>
    </row>
    <row r="52" spans="1:35" ht="24" customHeight="1">
      <c r="A52" s="183" t="s">
        <v>2209</v>
      </c>
      <c r="B52" s="3099" t="s">
        <v>2210</v>
      </c>
      <c r="C52" s="3099"/>
      <c r="D52" s="182">
        <f ca="1">ROUND(D45*'数据-取费表'!B41/(1+'数据-取费表'!C42),0)</f>
        <v>1687</v>
      </c>
      <c r="E52" s="11" t="s">
        <v>2211</v>
      </c>
      <c r="F52" s="184">
        <f>'数据-取费表'!B41</f>
        <v>5.6000000000000001E-2</v>
      </c>
      <c r="G52" s="2486"/>
      <c r="H52" s="138"/>
      <c r="I52" s="2484"/>
      <c r="J52" s="1809">
        <v>1</v>
      </c>
      <c r="K52" s="3074" t="s">
        <v>2212</v>
      </c>
      <c r="L52" s="3074"/>
      <c r="M52" s="1751">
        <f>D48</f>
        <v>0</v>
      </c>
      <c r="N52" s="1809" t="str">
        <f>E48</f>
        <v>销售额×税（费）率</v>
      </c>
      <c r="O52" s="1752" t="str">
        <f>F48</f>
        <v>免征</v>
      </c>
    </row>
    <row r="53" spans="1:35" ht="12" customHeight="1">
      <c r="A53" s="183" t="s">
        <v>2213</v>
      </c>
      <c r="B53" s="3100" t="s">
        <v>2214</v>
      </c>
      <c r="C53" s="3101"/>
      <c r="D53" s="182">
        <f ca="1">ROUND(D45*'数据-取费表'!B41/(1+'数据-取费表'!C42),0)</f>
        <v>1687</v>
      </c>
      <c r="E53" s="11" t="s">
        <v>2211</v>
      </c>
      <c r="F53" s="184">
        <f>'数据-取费表'!B41</f>
        <v>5.6000000000000001E-2</v>
      </c>
      <c r="G53" s="2486"/>
      <c r="H53" s="138"/>
      <c r="I53" s="2484"/>
      <c r="J53" s="1809">
        <v>2</v>
      </c>
      <c r="K53" s="3074" t="s">
        <v>2215</v>
      </c>
      <c r="L53" s="3074"/>
      <c r="M53" s="1751">
        <f t="shared" ref="M53:O54" ca="1" si="0">D55</f>
        <v>16</v>
      </c>
      <c r="N53" s="1809" t="str">
        <f t="shared" si="0"/>
        <v>销售额×税（费）率</v>
      </c>
      <c r="O53" s="1752">
        <f t="shared" si="0"/>
        <v>5.0000000000000001E-4</v>
      </c>
    </row>
    <row r="54" spans="1:35" ht="12" customHeight="1">
      <c r="A54" s="183" t="s">
        <v>2216</v>
      </c>
      <c r="B54" s="3100" t="s">
        <v>2217</v>
      </c>
      <c r="C54" s="3101"/>
      <c r="D54" s="182">
        <f ca="1">C68</f>
        <v>1687</v>
      </c>
      <c r="E54" s="30" t="s">
        <v>2218</v>
      </c>
      <c r="F54" s="184">
        <f>'数据-取费表'!B41</f>
        <v>5.6000000000000001E-2</v>
      </c>
      <c r="G54" s="2486"/>
      <c r="H54" s="2487"/>
      <c r="I54" s="2484"/>
      <c r="J54" s="1809">
        <v>3</v>
      </c>
      <c r="K54" s="3074" t="s">
        <v>2219</v>
      </c>
      <c r="L54" s="3074"/>
      <c r="M54" s="1751">
        <f t="shared" ca="1" si="0"/>
        <v>17898</v>
      </c>
      <c r="N54" s="1809" t="str">
        <f t="shared" si="0"/>
        <v>增值额×税（费）率</v>
      </c>
      <c r="O54" s="1753" t="str">
        <f t="shared" si="0"/>
        <v>——</v>
      </c>
    </row>
    <row r="55" spans="1:35" ht="24" customHeight="1">
      <c r="A55" s="3138" t="s">
        <v>2220</v>
      </c>
      <c r="B55" s="3120"/>
      <c r="C55" s="3120"/>
      <c r="D55" s="185">
        <f ca="1">IF(H55="个人住宅",0,ROUND(D45*I55,0))</f>
        <v>16</v>
      </c>
      <c r="E55" s="11" t="s">
        <v>2221</v>
      </c>
      <c r="F55" s="184">
        <f>IF(H55="正常",I55,"免征")</f>
        <v>5.0000000000000001E-4</v>
      </c>
      <c r="G55" s="2486"/>
      <c r="H55" s="2483" t="s">
        <v>2222</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2223</v>
      </c>
      <c r="B56" s="3120"/>
      <c r="C56" s="3120"/>
      <c r="D56" s="185">
        <f ca="1">IF(H56="个人住宅",D57,D58)</f>
        <v>17898</v>
      </c>
      <c r="E56" s="11" t="s">
        <v>2224</v>
      </c>
      <c r="F56" s="184" t="str">
        <f>IF(H56="正常",F58,"免征")</f>
        <v>——</v>
      </c>
      <c r="G56" s="2488" t="s">
        <v>2225</v>
      </c>
      <c r="H56" s="2489" t="s">
        <v>2222</v>
      </c>
      <c r="I56" s="2490"/>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2198</v>
      </c>
      <c r="B57" s="3105" t="s">
        <v>2226</v>
      </c>
      <c r="C57" s="3106"/>
      <c r="D57" s="187">
        <v>0</v>
      </c>
      <c r="E57" s="23" t="s">
        <v>2200</v>
      </c>
      <c r="F57" s="155"/>
      <c r="G57" s="2486"/>
      <c r="H57" s="2490"/>
      <c r="I57" s="2490"/>
      <c r="J57" s="3074">
        <f>IF(AND(J55="",J56=""),4,IF(项目基本情况!K6="上海银行",结果表!J56+1,结果表!J55+1))</f>
        <v>4</v>
      </c>
      <c r="K57" s="3074" t="s">
        <v>2227</v>
      </c>
      <c r="L57" s="2491" t="s">
        <v>2228</v>
      </c>
      <c r="M57" s="1756"/>
      <c r="N57" s="1757">
        <f ca="1">SUMIF(M52:M56,"&lt;9e307")</f>
        <v>17914</v>
      </c>
      <c r="O57" s="2492"/>
      <c r="P57" s="1750">
        <f ca="1">N57/M49</f>
        <v>0.5664864181133985</v>
      </c>
    </row>
    <row r="58" spans="1:35" ht="24.75">
      <c r="A58" s="183" t="s">
        <v>2209</v>
      </c>
      <c r="B58" s="3105" t="s">
        <v>2229</v>
      </c>
      <c r="C58" s="3118"/>
      <c r="D58" s="185">
        <f ca="1">IF(H58="转让取得",C81,C97)</f>
        <v>17898</v>
      </c>
      <c r="E58" s="11" t="s">
        <v>2224</v>
      </c>
      <c r="F58" s="24" t="s">
        <v>34</v>
      </c>
      <c r="G58" s="2486"/>
      <c r="H58" s="2489" t="s">
        <v>2230</v>
      </c>
      <c r="I58" s="2490"/>
      <c r="J58" s="3074"/>
      <c r="K58" s="3074"/>
      <c r="L58" s="2491" t="s">
        <v>2231</v>
      </c>
      <c r="M58" s="1758"/>
      <c r="N58" s="2493" t="str">
        <f ca="1">NUMBERSTRING(INT(N57*10000),2)&amp;"元整"</f>
        <v>壹亿柒仟玖佰壹拾肆万元整</v>
      </c>
      <c r="O58" s="2494"/>
    </row>
    <row r="59" spans="1:35" ht="24.75" thickBot="1">
      <c r="A59" s="3078" t="s">
        <v>2232</v>
      </c>
      <c r="B59" s="3079"/>
      <c r="C59" s="3079"/>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076">
        <f>J57+1</f>
        <v>5</v>
      </c>
      <c r="K59" s="3074" t="s">
        <v>2234</v>
      </c>
      <c r="L59" s="1809" t="s">
        <v>2228</v>
      </c>
      <c r="M59" s="1759"/>
      <c r="N59" s="1760">
        <f ca="1">M49-N57</f>
        <v>13709</v>
      </c>
      <c r="O59" s="2496"/>
    </row>
    <row r="60" spans="1:35" ht="12" customHeight="1">
      <c r="A60" s="2497"/>
      <c r="B60" s="2419"/>
      <c r="C60" s="2419"/>
      <c r="D60" s="2419"/>
      <c r="E60" s="2166"/>
      <c r="F60" s="2490"/>
      <c r="G60" s="2490"/>
      <c r="H60" s="2498"/>
      <c r="I60" s="138"/>
      <c r="J60" s="3077"/>
      <c r="K60" s="3074"/>
      <c r="L60" s="2491" t="s">
        <v>2231</v>
      </c>
      <c r="M60" s="1758"/>
      <c r="N60" s="2493" t="str">
        <f ca="1">NUMBERSTRING(INT(N59*10000),2)&amp;"元整"</f>
        <v>壹亿叁仟柒佰零玖万元整</v>
      </c>
      <c r="O60" s="2494"/>
    </row>
    <row r="61" spans="1:35" ht="13.5" thickBot="1">
      <c r="A61" s="3137" t="s">
        <v>2235</v>
      </c>
      <c r="B61" s="3137"/>
      <c r="C61" s="3137"/>
      <c r="D61" s="3137"/>
      <c r="E61" s="3137"/>
      <c r="F61" s="2490"/>
      <c r="G61" s="2490"/>
      <c r="H61" s="2498"/>
      <c r="I61" s="138"/>
      <c r="J61" s="1809">
        <f>J59+1</f>
        <v>6</v>
      </c>
      <c r="K61" s="3074" t="s">
        <v>2236</v>
      </c>
      <c r="L61" s="3074"/>
      <c r="M61" s="1761"/>
      <c r="N61" s="1762">
        <f ca="1">ROUND(N59*10000/'数据-汇总表'!E3,0)</f>
        <v>6777</v>
      </c>
      <c r="O61" s="2499"/>
    </row>
    <row r="62" spans="1:35" ht="12.75">
      <c r="A62" s="3094" t="s">
        <v>2237</v>
      </c>
      <c r="B62" s="3095"/>
      <c r="C62" s="1801"/>
      <c r="D62" s="1801" t="s">
        <v>2238</v>
      </c>
      <c r="E62" s="192" t="s">
        <v>2239</v>
      </c>
      <c r="F62" s="2490"/>
      <c r="G62" s="2490"/>
      <c r="H62" s="2498"/>
      <c r="I62" s="138"/>
    </row>
    <row r="63" spans="1:35" ht="12.75">
      <c r="A63" s="203" t="s">
        <v>775</v>
      </c>
      <c r="B63" s="193" t="s">
        <v>2240</v>
      </c>
      <c r="C63" s="194">
        <f ca="1">ROUND((C64+C65)/(1+'数据-取费表'!C42),0)</f>
        <v>30117</v>
      </c>
      <c r="D63" s="195"/>
      <c r="E63" s="196"/>
      <c r="F63" s="2490"/>
      <c r="G63" s="2490"/>
      <c r="H63" s="2498"/>
      <c r="I63" s="138"/>
      <c r="J63" s="3059" t="s">
        <v>2241</v>
      </c>
      <c r="K63" s="2500" t="s">
        <v>2242</v>
      </c>
      <c r="L63" s="1749">
        <f ca="1">IF(M49&gt;10000,M49*0.5%,IF(AND(M49&gt;1000,M49&lt;=10000),M49*1%,IF(AND(M49&gt;100,M49&lt;=1000),M49*3%,IF(AND(M49&gt;10,M49&lt;=100),M49*5%,M49*8%))))</f>
        <v>158.11500000000001</v>
      </c>
      <c r="M63" s="24">
        <f ca="1">ROUND(L63,1)</f>
        <v>158.1</v>
      </c>
      <c r="Z63" s="2424"/>
      <c r="AI63" s="2425"/>
    </row>
    <row r="64" spans="1:35" ht="14.25" customHeight="1">
      <c r="A64" s="197" t="s">
        <v>770</v>
      </c>
      <c r="B64" s="198" t="s">
        <v>2243</v>
      </c>
      <c r="C64" s="199">
        <f ca="1">D45</f>
        <v>31623</v>
      </c>
      <c r="D64" s="200" t="s">
        <v>32</v>
      </c>
      <c r="E64" s="201"/>
      <c r="F64" s="2490"/>
      <c r="G64" s="2490"/>
      <c r="H64" s="2498"/>
      <c r="I64" s="138"/>
      <c r="J64" s="3059"/>
      <c r="K64" s="2500" t="s">
        <v>2244</v>
      </c>
      <c r="L64" s="1749">
        <f ca="1">IF(M49&gt;2000,M49*0.5%,IF(AND(M49&gt;1000,M49&lt;=2000),M49*0.6%,IF(AND(M49&gt;500,M49&lt;=1000),M49*0.7%,IF(AND(M49&gt;200,M49&lt;=500),M49*0.8%,IF(AND(M49&gt;100,M49&lt;=200),M49*0.9%,IF(AND(M49&gt;50,M49&lt;=100),M49*1%,IF(AND(M49&gt;20,M49&lt;=50),M49*1.5%,IF(AND(M49&gt;10,M49&lt;=20),M49*2%,IF(AND(M49&gt;1,M49&lt;=10),M49*2.5%)))))))))</f>
        <v>158.11500000000001</v>
      </c>
      <c r="M64" s="24">
        <f t="shared" ref="M64:M65" ca="1" si="1">ROUND(L64,1)</f>
        <v>158.1</v>
      </c>
      <c r="N64" s="138" t="s">
        <v>2245</v>
      </c>
      <c r="Z64" s="2424"/>
      <c r="AI64" s="2425"/>
    </row>
    <row r="65" spans="1:35" ht="14.25" customHeight="1">
      <c r="A65" s="197" t="s">
        <v>771</v>
      </c>
      <c r="B65" s="198" t="s">
        <v>2246</v>
      </c>
      <c r="C65" s="202"/>
      <c r="D65" s="200"/>
      <c r="E65" s="201"/>
      <c r="F65" s="2490"/>
      <c r="G65" s="2490"/>
      <c r="H65" s="2498"/>
      <c r="I65" s="138"/>
      <c r="J65" s="3059"/>
      <c r="K65" s="2500" t="s">
        <v>2247</v>
      </c>
      <c r="L65" s="1749">
        <f ca="1">IF(M49&gt;1000,M49*0.1%,IF(AND(M49&gt;500,M49&lt;=1000),M49*0.5%,IF(AND(M49&gt;50,M49&lt;=500),M49*1%,IF(AND(M49&gt;1,M49&lt;=50),M49*1.5%))))</f>
        <v>31.623000000000001</v>
      </c>
      <c r="M65" s="24">
        <f t="shared" ca="1" si="1"/>
        <v>31.6</v>
      </c>
      <c r="N65" s="138" t="s">
        <v>2245</v>
      </c>
      <c r="Z65" s="2424"/>
      <c r="AI65" s="2425"/>
    </row>
    <row r="66" spans="1:35" ht="14.25" customHeight="1">
      <c r="A66" s="203" t="s">
        <v>772</v>
      </c>
      <c r="B66" s="204" t="s">
        <v>2248</v>
      </c>
      <c r="C66" s="205"/>
      <c r="D66" s="206" t="s">
        <v>32</v>
      </c>
      <c r="E66" s="1773" t="s">
        <v>1367</v>
      </c>
      <c r="F66" s="2490"/>
      <c r="G66" s="2490"/>
      <c r="H66" s="2498"/>
      <c r="I66" s="138"/>
      <c r="J66" s="3059"/>
      <c r="K66" s="2500" t="s">
        <v>2249</v>
      </c>
      <c r="L66" s="1749">
        <f ca="1">M49*0.5%</f>
        <v>158.11500000000001</v>
      </c>
      <c r="M66" s="24">
        <f ca="1">IF(L66&gt;0.5,0.5,ROUND(L66,0))</f>
        <v>0.5</v>
      </c>
      <c r="N66" s="138" t="s">
        <v>2250</v>
      </c>
      <c r="Z66" s="2424"/>
      <c r="AI66" s="2425"/>
    </row>
    <row r="67" spans="1:35" ht="14.25" customHeight="1">
      <c r="A67" s="203" t="s">
        <v>773</v>
      </c>
      <c r="B67" s="204" t="s">
        <v>2251</v>
      </c>
      <c r="C67" s="207">
        <f ca="1">C63-C66</f>
        <v>30117</v>
      </c>
      <c r="D67" s="200" t="s">
        <v>32</v>
      </c>
      <c r="E67" s="201"/>
      <c r="F67" s="2490"/>
      <c r="G67" s="2490"/>
      <c r="H67" s="2498"/>
      <c r="I67" s="138"/>
      <c r="J67" s="3059"/>
      <c r="K67" s="2500" t="s">
        <v>2252</v>
      </c>
      <c r="L67" s="1749">
        <f ca="1">IF(M49&gt;=10000,(8.25+(M49-10000)*0.01%),IF(AND(M49&gt;=8000,M49&lt;10000),(7.85+(M49-8000)*0.02%),IF(AND(M49&gt;=5000,M49&lt;8000),(6.65+(M49-5000)*0.04%),IF(AND(M49&gt;=2000,M49&lt;5000),(4.25+(PM49-2000)*0.08%),IF(AND(M49&gt;=1000,M49&lt;2000),(2.75+(M49-1000)*0.15%),IF(AND(M49&gt;=100,M49&lt;1000),(0.5+(M49-100)*0.25%),IF(AND(M49&gt;0,M49&lt;100),M49*0.5%)))))))</f>
        <v>10.4123</v>
      </c>
      <c r="M67" s="24">
        <f ca="1">ROUND(L67*0.9,1)</f>
        <v>9.4</v>
      </c>
      <c r="Z67" s="2424"/>
      <c r="AI67" s="2425"/>
    </row>
    <row r="68" spans="1:35" ht="14.25" customHeight="1" thickBot="1">
      <c r="A68" s="208" t="s">
        <v>774</v>
      </c>
      <c r="B68" s="209" t="s">
        <v>2253</v>
      </c>
      <c r="C68" s="210">
        <f ca="1">IF(C67&lt;=0,0,ROUND(C67*D68,0))</f>
        <v>1687</v>
      </c>
      <c r="D68" s="211">
        <f>'数据-取费表'!B41</f>
        <v>5.6000000000000001E-2</v>
      </c>
      <c r="E68" s="212"/>
      <c r="F68" s="2490"/>
      <c r="G68" s="2490"/>
      <c r="H68" s="2498"/>
      <c r="I68" s="138"/>
      <c r="J68" s="3059"/>
      <c r="K68" s="2500" t="s">
        <v>2254</v>
      </c>
      <c r="L68" s="1749">
        <f ca="1">IF(M49&gt;10000,M49*0.5%,IF(AND(M49&gt;5000,M49&lt;=10000),M49*1%,IF(AND(M49&gt;1000,M49&lt;=5000),M49*2%,IF(AND(M49&gt;200,M49&lt;=1000),M49*3%,M49*5%))))</f>
        <v>158.11500000000001</v>
      </c>
      <c r="M68" s="24">
        <f ca="1">ROUND(L68,1)</f>
        <v>158.1</v>
      </c>
      <c r="Z68" s="2424"/>
      <c r="AI68" s="2425"/>
    </row>
    <row r="69" spans="1:35" s="2447" customFormat="1" ht="16.5" customHeight="1">
      <c r="A69" s="2501"/>
      <c r="B69" s="2502"/>
      <c r="C69" s="2503"/>
      <c r="D69" s="2504"/>
      <c r="E69" s="2505"/>
      <c r="F69" s="2166"/>
      <c r="G69" s="2166"/>
      <c r="H69" s="2165"/>
      <c r="I69" s="2419"/>
      <c r="J69" s="3059"/>
      <c r="K69" s="2500" t="s">
        <v>2255</v>
      </c>
      <c r="L69" s="2506"/>
      <c r="M69" s="24">
        <f ca="1">ROUND(SUM(M63:M68),0)</f>
        <v>516</v>
      </c>
      <c r="N69" s="1750">
        <f ca="1">M69/M49</f>
        <v>1.6317237453752017E-2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2256</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2237</v>
      </c>
      <c r="B71" s="3095"/>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30117</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181</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100" t="s">
        <v>2265</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181</v>
      </c>
      <c r="D78" s="226">
        <f>'数据-取费表'!B43</f>
        <v>6.000000000000001E-3</v>
      </c>
      <c r="E78" s="3091" t="s">
        <v>2270</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29936</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165.39226519337018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17898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2274</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2237</v>
      </c>
      <c r="B84" s="3095"/>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30117</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181</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91" t="s">
        <v>2283</v>
      </c>
      <c r="F91" s="3092"/>
      <c r="G91" s="3092"/>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91" t="s">
        <v>2287</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181</v>
      </c>
      <c r="D93" s="226">
        <f>'数据-取费表'!B43</f>
        <v>6.000000000000001E-3</v>
      </c>
      <c r="E93" s="3091" t="s">
        <v>2270</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139" t="s">
        <v>2291</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29936</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165.39226519337018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17898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43" t="s">
        <v>2293</v>
      </c>
      <c r="B100" s="3044"/>
      <c r="C100" s="3044"/>
      <c r="D100" s="3075"/>
      <c r="E100" s="3044" t="s">
        <v>2294</v>
      </c>
      <c r="F100" s="3044"/>
      <c r="G100" s="3044"/>
      <c r="H100" s="3075"/>
      <c r="I100" s="138"/>
    </row>
    <row r="101" spans="1:35" ht="18.75" customHeight="1">
      <c r="A101" s="3083" t="s">
        <v>2295</v>
      </c>
      <c r="B101" s="3084"/>
      <c r="C101" s="736" t="str">
        <f>C4</f>
        <v>成本法</v>
      </c>
      <c r="D101" s="737" t="str">
        <f>D4</f>
        <v>收益法</v>
      </c>
      <c r="E101" s="3055" t="s">
        <v>2296</v>
      </c>
      <c r="F101" s="3056"/>
      <c r="G101" s="2521" t="s">
        <v>2297</v>
      </c>
      <c r="H101" s="1045">
        <f ca="1">H118</f>
        <v>31623</v>
      </c>
      <c r="I101" s="138"/>
    </row>
    <row r="102" spans="1:35" ht="18.75" customHeight="1">
      <c r="A102" s="3085" t="s">
        <v>2298</v>
      </c>
      <c r="B102" s="2521" t="s">
        <v>2297</v>
      </c>
      <c r="C102" s="736">
        <f ca="1">C19</f>
        <v>30683</v>
      </c>
      <c r="D102" s="737">
        <f ca="1">D19</f>
        <v>32562</v>
      </c>
      <c r="E102" s="3055"/>
      <c r="F102" s="3056"/>
      <c r="G102" s="2521" t="s">
        <v>2299</v>
      </c>
      <c r="H102" s="371">
        <f ca="1">I118</f>
        <v>15633</v>
      </c>
      <c r="I102" s="138"/>
    </row>
    <row r="103" spans="1:35" ht="42.75" customHeight="1">
      <c r="A103" s="3085"/>
      <c r="B103" s="2521" t="s">
        <v>2299</v>
      </c>
      <c r="C103" s="738">
        <f ca="1">C20</f>
        <v>15168</v>
      </c>
      <c r="D103" s="739">
        <f ca="1">D20</f>
        <v>16097</v>
      </c>
      <c r="E103" s="3049" t="s">
        <v>2300</v>
      </c>
      <c r="F103" s="3050"/>
      <c r="G103" s="2522" t="s">
        <v>2301</v>
      </c>
      <c r="H103" s="1045">
        <f>IF(D36="正常操作",H104+H105+H106,H105+H106)</f>
        <v>0</v>
      </c>
      <c r="I103" s="138"/>
    </row>
    <row r="104" spans="1:35" ht="18.75" customHeight="1">
      <c r="A104" s="3085" t="s">
        <v>2302</v>
      </c>
      <c r="B104" s="2523" t="s">
        <v>2297</v>
      </c>
      <c r="C104" s="740">
        <f ca="1">H118</f>
        <v>31623</v>
      </c>
      <c r="D104" s="741"/>
      <c r="E104" s="2267" t="s">
        <v>2303</v>
      </c>
      <c r="F104" s="2258"/>
      <c r="G104" s="2522" t="s">
        <v>2301</v>
      </c>
      <c r="H104" s="1046">
        <f>IF(D36="同一抵押权人同一抵押物续贷",C36&amp;"（未扣减，详见特别提示）",C36)</f>
        <v>0</v>
      </c>
      <c r="I104" s="138"/>
    </row>
    <row r="105" spans="1:35" ht="18.75" customHeight="1" thickBot="1">
      <c r="A105" s="3097"/>
      <c r="B105" s="2524" t="s">
        <v>2299</v>
      </c>
      <c r="C105" s="742">
        <f ca="1">I118</f>
        <v>15633</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086" t="str">
        <f>IF(项目基本情况!E8="已注销","——","3.房地产抵押价值")</f>
        <v>3.房地产抵押价值</v>
      </c>
      <c r="F107" s="3056"/>
      <c r="G107" s="2521" t="s">
        <v>2297</v>
      </c>
      <c r="H107" s="1045">
        <f ca="1">IF(E107="——","——",H101-H103)</f>
        <v>31623</v>
      </c>
      <c r="I107" s="138"/>
    </row>
    <row r="108" spans="1:35" ht="18.75" customHeight="1">
      <c r="A108" s="138"/>
      <c r="B108" s="138"/>
      <c r="C108" s="138"/>
      <c r="D108" s="138"/>
      <c r="E108" s="3086"/>
      <c r="F108" s="3056"/>
      <c r="G108" s="2521" t="s">
        <v>2299</v>
      </c>
      <c r="H108" s="371">
        <f ca="1">ROUND(H107*10000/'数据-汇总表'!E3,0)</f>
        <v>15633</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2297</v>
      </c>
      <c r="H109" s="348" t="str">
        <f>IF(E109="——","——",H101-H105-H106)</f>
        <v>——</v>
      </c>
      <c r="I109" s="138"/>
    </row>
    <row r="110" spans="1:35" ht="18.75" customHeight="1">
      <c r="A110" s="138"/>
      <c r="B110" s="138"/>
      <c r="C110" s="138"/>
      <c r="D110" s="138"/>
      <c r="E110" s="3086"/>
      <c r="F110" s="3056"/>
      <c r="G110" s="2521" t="s">
        <v>2299</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1" t="s">
        <v>2297</v>
      </c>
      <c r="H111" s="1045" t="str">
        <f>IF(E111="——","——",N59)</f>
        <v>——</v>
      </c>
      <c r="I111" s="138"/>
    </row>
    <row r="112" spans="1:35" ht="18.75" customHeight="1" thickBot="1">
      <c r="A112" s="138"/>
      <c r="B112" s="138"/>
      <c r="C112" s="138"/>
      <c r="D112" s="138"/>
      <c r="E112" s="3089"/>
      <c r="F112" s="3090"/>
      <c r="G112" s="2526" t="s">
        <v>2299</v>
      </c>
      <c r="H112" s="790" t="str">
        <f>IF(E111="——","——",N61)</f>
        <v>——</v>
      </c>
      <c r="I112" s="138"/>
    </row>
    <row r="113" spans="1:11" ht="18.75" customHeight="1">
      <c r="A113" s="138"/>
      <c r="B113" s="138"/>
      <c r="C113" s="138"/>
      <c r="D113" s="138"/>
      <c r="E113" s="3098" t="s">
        <v>2305</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2307</v>
      </c>
      <c r="B115" s="3112"/>
      <c r="C115" s="3112"/>
      <c r="D115" s="3112"/>
      <c r="E115" s="3112"/>
      <c r="F115" s="3112"/>
      <c r="G115" s="3112"/>
      <c r="H115" s="3112"/>
      <c r="I115" s="3113"/>
    </row>
    <row r="116" spans="1:11" ht="27" customHeight="1">
      <c r="A116" s="3022" t="s">
        <v>2308</v>
      </c>
      <c r="B116" s="3065" t="s">
        <v>2309</v>
      </c>
      <c r="C116" s="3065" t="s">
        <v>2310</v>
      </c>
      <c r="D116" s="3071" t="s">
        <v>2311</v>
      </c>
      <c r="E116" s="3072"/>
      <c r="F116" s="3107" t="s">
        <v>2312</v>
      </c>
      <c r="G116" s="3107"/>
      <c r="H116" s="3022" t="s">
        <v>2313</v>
      </c>
      <c r="I116" s="3022"/>
    </row>
    <row r="117" spans="1:11" ht="18.75" customHeight="1">
      <c r="A117" s="3022"/>
      <c r="B117" s="3066"/>
      <c r="C117" s="3066"/>
      <c r="D117" s="1795" t="s">
        <v>2314</v>
      </c>
      <c r="E117" s="1795" t="s">
        <v>2315</v>
      </c>
      <c r="F117" s="1795" t="s">
        <v>2314</v>
      </c>
      <c r="G117" s="1795" t="s">
        <v>2316</v>
      </c>
      <c r="H117" s="1795" t="s">
        <v>2314</v>
      </c>
      <c r="I117" s="1795" t="s">
        <v>2316</v>
      </c>
    </row>
    <row r="118" spans="1:11" ht="24.75" customHeight="1">
      <c r="A118" s="2527" t="str">
        <f>项目基本情况!S2</f>
        <v>房地产</v>
      </c>
      <c r="B118" s="1795">
        <f>M18</f>
        <v>20228.240000000002</v>
      </c>
      <c r="C118" s="1795">
        <f>M19</f>
        <v>73586.240000000005</v>
      </c>
      <c r="D118" s="1795">
        <f ca="1">ROUND(IF(D32="总价",C34,E118*B118/10000),0)</f>
        <v>27955</v>
      </c>
      <c r="E118" s="1795">
        <f ca="1">ROUND(IF(C33="自定义",IF(D32="楼面单价",C34,D118*10000/B118),I118-G118),0)</f>
        <v>13820</v>
      </c>
      <c r="F118" s="1795">
        <f ca="1">ROUND(IF(D32="总价",C35,G118*B118/10000),0)</f>
        <v>3668</v>
      </c>
      <c r="G118" s="1795">
        <f ca="1">ROUND(IF(D32="楼面单价",C35,F118*10000/B118),0)</f>
        <v>1813</v>
      </c>
      <c r="H118" s="1795">
        <f ca="1">ROUND(IF(D32="总价",C32,I118*B118/10000),0)</f>
        <v>31623</v>
      </c>
      <c r="I118" s="1795">
        <f ca="1">ROUND(IF(D32="楼面单价",C32,H118*10000/B118),0)</f>
        <v>15633</v>
      </c>
    </row>
    <row r="119" spans="1:11" ht="18.75" customHeight="1">
      <c r="A119" s="3022" t="s">
        <v>2317</v>
      </c>
      <c r="B119" s="3022"/>
      <c r="C119" s="3022"/>
      <c r="D119" s="3067" t="str">
        <f ca="1">NUMBERSTRING(INT(D118*10000),2)&amp;"元整"</f>
        <v>贰亿柒仟玖佰伍拾伍万元整</v>
      </c>
      <c r="E119" s="3068"/>
      <c r="F119" s="3067" t="str">
        <f ca="1">NUMBERSTRING(INT(F118*10000),2)&amp;"元整"</f>
        <v>叁仟陆佰陆拾捌万元整</v>
      </c>
      <c r="G119" s="3068"/>
      <c r="H119" s="3067" t="str">
        <f ca="1">NUMBERSTRING(INT(H118*10000),2)&amp;"元整"</f>
        <v>叁亿壹仟陆佰贰拾叁万元整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2317</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31623</v>
      </c>
      <c r="E122" s="3063"/>
      <c r="F122" s="3063"/>
      <c r="G122" s="3063"/>
      <c r="H122" s="3063"/>
      <c r="I122" s="3064"/>
    </row>
    <row r="123" spans="1:11" ht="18.75" customHeight="1">
      <c r="A123" s="3022" t="s">
        <v>2317</v>
      </c>
      <c r="B123" s="3022"/>
      <c r="C123" s="3022"/>
      <c r="D123" s="3067" t="str">
        <f ca="1">NUMBERSTRING(INT(D122*10000),2)&amp;"元整"</f>
        <v>叁亿壹仟陆佰贰拾叁万元整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2317</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2317</v>
      </c>
      <c r="B127" s="3022"/>
      <c r="C127" s="3022"/>
      <c r="D127" s="3067" t="e">
        <f>NUMBERSTRING(INT(D126*10000),2)&amp;"元整"</f>
        <v>#VALUE!</v>
      </c>
      <c r="E127" s="3069"/>
      <c r="F127" s="3069"/>
      <c r="G127" s="3069"/>
      <c r="H127" s="3069"/>
      <c r="I127" s="3068"/>
    </row>
    <row r="128" spans="1:11" ht="21.75" customHeight="1">
      <c r="A128" s="3070" t="s">
        <v>2318</v>
      </c>
      <c r="B128" s="3070"/>
      <c r="C128" s="3070"/>
      <c r="D128" s="3070"/>
      <c r="E128" s="3070"/>
      <c r="F128" s="3070"/>
      <c r="G128" s="3070"/>
      <c r="H128" s="3070"/>
      <c r="I128" s="3070"/>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4" sqref="H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t="s">
        <v>6</v>
      </c>
      <c r="C1" s="242"/>
      <c r="D1" s="242"/>
      <c r="E1" s="242"/>
      <c r="F1" s="242"/>
      <c r="G1" s="1379">
        <f>MATCH(B1,'数据-取费表'!A6:A16,0)+5</f>
        <v>6</v>
      </c>
    </row>
    <row r="2" spans="1:9" s="244" customFormat="1" ht="18" customHeight="1">
      <c r="A2" s="245" t="s">
        <v>2327</v>
      </c>
      <c r="B2" s="246">
        <f ca="1">IF(D2="——",C52,C52-E2)</f>
        <v>30683</v>
      </c>
      <c r="C2" s="243" t="s">
        <v>2328</v>
      </c>
      <c r="D2" s="2550" t="s">
        <v>70</v>
      </c>
      <c r="E2" s="1440" t="e">
        <f ca="1">SUMIF(INDIRECT("'"&amp;G2&amp;"'"&amp;"!A:A"),"承租人权益价值",INDIRECT("'"&amp;G2&amp;"'"&amp;"!c:c"))</f>
        <v>#REF!</v>
      </c>
      <c r="F2" s="2551" t="s">
        <v>2328</v>
      </c>
      <c r="G2" s="2552"/>
    </row>
    <row r="3" spans="1:9" s="244" customFormat="1" ht="18" customHeight="1" thickBot="1">
      <c r="A3" s="247" t="s">
        <v>2329</v>
      </c>
      <c r="B3" s="248">
        <f ca="1">ROUND(B2*10000/(IF(B1="",'数据-汇总表'!E3,INDIRECT("'数据-取费表'!k"&amp;$G$1))),0)</f>
        <v>15168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21206</v>
      </c>
      <c r="D5" s="255" t="s">
        <v>2334</v>
      </c>
      <c r="E5" s="256" t="s">
        <v>2335</v>
      </c>
      <c r="F5" s="256" t="s">
        <v>2336</v>
      </c>
      <c r="G5" s="257"/>
    </row>
    <row r="6" spans="1:9" s="258" customFormat="1" ht="13.5" customHeight="1">
      <c r="A6" s="949" t="s">
        <v>2337</v>
      </c>
      <c r="B6" s="259" t="s">
        <v>2338</v>
      </c>
      <c r="C6" s="260">
        <f>'土地比较法-工业'!B2</f>
        <v>20185</v>
      </c>
      <c r="D6" s="261"/>
      <c r="E6" s="262"/>
      <c r="F6" s="262"/>
      <c r="G6" s="263"/>
    </row>
    <row r="7" spans="1:9" s="258" customFormat="1" ht="13.5" customHeight="1">
      <c r="A7" s="949" t="s">
        <v>2339</v>
      </c>
      <c r="B7" s="259" t="s">
        <v>2340</v>
      </c>
      <c r="C7" s="264">
        <f>ROUND(C6*F7,0)</f>
        <v>616</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405</v>
      </c>
      <c r="D8" s="266"/>
      <c r="E8" s="264"/>
      <c r="F8" s="265"/>
      <c r="G8" s="2553" t="s">
        <v>3102</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54" t="s">
        <v>3087</v>
      </c>
      <c r="H9" s="1390"/>
      <c r="I9" s="2555" t="s">
        <v>2344</v>
      </c>
    </row>
    <row r="10" spans="1:9" s="258" customFormat="1" ht="13.5" customHeight="1">
      <c r="A10" s="950" t="s">
        <v>801</v>
      </c>
      <c r="B10" s="268" t="s">
        <v>2345</v>
      </c>
      <c r="C10" s="269">
        <f ca="1">ROUND(D10*E10/10000,0)</f>
        <v>405</v>
      </c>
      <c r="D10" s="1032">
        <f ca="1">IF(B1="",'数据-汇总表'!E6,IF(INDIRECT("'数据-取费表'!c"&amp;$G$1)="住宅",INDIRECT("'数据-取费表'!s"&amp;$G$1),INDIRECT("'数据-取费表'!k"&amp;$G$1)+INDIRECT("'数据-取费表'!s"&amp;$G$1)))</f>
        <v>20228.240000000002</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20228.240000000002</v>
      </c>
      <c r="E19" s="255">
        <f>'数据-取费表'!B31</f>
        <v>200</v>
      </c>
      <c r="F19" s="275"/>
      <c r="G19" s="2553" t="s">
        <v>3088</v>
      </c>
    </row>
    <row r="20" spans="1:7" s="258" customFormat="1" ht="13.5" customHeight="1">
      <c r="A20" s="299" t="s">
        <v>2358</v>
      </c>
      <c r="B20" s="254" t="s">
        <v>2359</v>
      </c>
      <c r="C20" s="276">
        <f ca="1">ROUND((C5+C19)*F20,0)</f>
        <v>318</v>
      </c>
      <c r="D20" s="276"/>
      <c r="E20" s="276"/>
      <c r="F20" s="277">
        <f>'数据-取费表'!B37</f>
        <v>1.4999999999999999E-2</v>
      </c>
      <c r="G20" s="278" t="s">
        <v>2360</v>
      </c>
    </row>
    <row r="21" spans="1:7" s="258" customFormat="1" ht="13.5" customHeight="1">
      <c r="A21" s="299" t="s">
        <v>2361</v>
      </c>
      <c r="B21" s="254" t="s">
        <v>2362</v>
      </c>
      <c r="C21" s="279">
        <f>F21</f>
        <v>1.4999999999999999E-2</v>
      </c>
      <c r="D21" s="280" t="s">
        <v>2363</v>
      </c>
      <c r="E21" s="276"/>
      <c r="F21" s="277">
        <f>'数据-取费表'!B38</f>
        <v>1.4999999999999999E-2</v>
      </c>
      <c r="G21" s="278" t="s">
        <v>2364</v>
      </c>
    </row>
    <row r="22" spans="1:7" s="258" customFormat="1" ht="13.5" customHeight="1">
      <c r="A22" s="299" t="s">
        <v>2365</v>
      </c>
      <c r="B22" s="254" t="s">
        <v>2366</v>
      </c>
      <c r="C22" s="1354">
        <f ca="1">ROUND(SUM(C23:C25),0)</f>
        <v>1540</v>
      </c>
      <c r="D22" s="279">
        <f ca="1">C26</f>
        <v>5.0000000000000001E-4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1529</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11</v>
      </c>
      <c r="D25" s="282"/>
      <c r="E25" s="285"/>
      <c r="F25" s="283"/>
      <c r="G25" s="286" t="s">
        <v>2375</v>
      </c>
    </row>
    <row r="26" spans="1:7" s="258" customFormat="1">
      <c r="A26" s="951" t="s">
        <v>795</v>
      </c>
      <c r="B26" s="259" t="s">
        <v>2376</v>
      </c>
      <c r="C26" s="282">
        <f ca="1">ROUND(IF('数据-取费表'!B22&lt;=1,F21*F22*'数据-取费表'!B23/2,F21*(POWER((1+F22),'数据-取费表'!B23/2)-1)),4)</f>
        <v>5.0000000000000001E-4</v>
      </c>
      <c r="D26" s="282"/>
      <c r="E26" s="285"/>
      <c r="F26" s="283"/>
      <c r="G26" s="287"/>
    </row>
    <row r="27" spans="1:7" s="258" customFormat="1" ht="24.75">
      <c r="A27" s="299" t="s">
        <v>2377</v>
      </c>
      <c r="B27" s="288" t="s">
        <v>2378</v>
      </c>
      <c r="C27" s="289">
        <f ca="1">C28</f>
        <v>2152</v>
      </c>
      <c r="D27" s="279">
        <f ca="1">C29</f>
        <v>1.5E-3</v>
      </c>
      <c r="E27" s="280" t="s">
        <v>2379</v>
      </c>
      <c r="F27" s="290">
        <f ca="1">IF(B1="",'数据-取费表'!Q16,INDIRECT("'数据-取费表'!q"&amp;$G$1))</f>
        <v>0.1</v>
      </c>
      <c r="G27" s="291" t="s">
        <v>2380</v>
      </c>
    </row>
    <row r="28" spans="1:7" s="258" customFormat="1" ht="13.5" customHeight="1">
      <c r="A28" s="951" t="s">
        <v>791</v>
      </c>
      <c r="B28" s="292" t="s">
        <v>2381</v>
      </c>
      <c r="C28" s="293">
        <f ca="1">ROUND((C5+C19+C20)*F27*'数据-取费表'!B21/'数据-取费表'!B20,0)</f>
        <v>2152</v>
      </c>
      <c r="D28" s="279"/>
      <c r="E28" s="280"/>
      <c r="F28" s="290"/>
      <c r="G28" s="291"/>
    </row>
    <row r="29" spans="1:7" s="258" customFormat="1" ht="13.5" customHeight="1">
      <c r="A29" s="951" t="s">
        <v>792</v>
      </c>
      <c r="B29" s="292" t="s">
        <v>2382</v>
      </c>
      <c r="C29" s="282">
        <f ca="1">ROUND(C21*F27*'数据-取费表'!B21/'数据-取费表'!B20,4)</f>
        <v>1.5E-3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27123</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4633</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4046</v>
      </c>
      <c r="D34" s="261"/>
      <c r="E34" s="264"/>
      <c r="F34" s="301">
        <f ca="1">IF('数据-取费表'!B24=0,1,IF(B1="",'数据-取费表'!N16,INDIRECT("'数据-取费表'!n"&amp;$G$1)))</f>
        <v>1</v>
      </c>
      <c r="G34" s="263" t="s">
        <v>2391</v>
      </c>
    </row>
    <row r="35" spans="1:7" ht="13.5" customHeight="1">
      <c r="A35" s="951" t="s">
        <v>796</v>
      </c>
      <c r="B35" s="259" t="s">
        <v>2392</v>
      </c>
      <c r="C35" s="264">
        <f ca="1">ROUND(C34*F35,0)</f>
        <v>121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405</v>
      </c>
      <c r="D37" s="261">
        <f ca="1">D19</f>
        <v>20228.240000000002</v>
      </c>
      <c r="E37" s="293">
        <f>'数据-取费表'!B35</f>
        <v>200</v>
      </c>
      <c r="F37" s="303"/>
      <c r="G37" s="305" t="s">
        <v>2397</v>
      </c>
    </row>
    <row r="38" spans="1:7" ht="13.5" customHeight="1">
      <c r="A38" s="951" t="s">
        <v>799</v>
      </c>
      <c r="B38" s="259" t="s">
        <v>2398</v>
      </c>
      <c r="C38" s="264">
        <f ca="1">ROUND(C34*F38,0)</f>
        <v>61</v>
      </c>
      <c r="D38" s="264"/>
      <c r="E38" s="264"/>
      <c r="F38" s="303">
        <f>'数据-取费表'!B36</f>
        <v>1.4999999999999999E-2</v>
      </c>
      <c r="G38" s="263" t="s">
        <v>2393</v>
      </c>
    </row>
    <row r="39" spans="1:7" s="258" customFormat="1" ht="13.5" customHeight="1">
      <c r="A39" s="299" t="s">
        <v>2399</v>
      </c>
      <c r="B39" s="254" t="s">
        <v>2400</v>
      </c>
      <c r="C39" s="276">
        <f ca="1">ROUND(C33*F20,0)</f>
        <v>69</v>
      </c>
      <c r="D39" s="276"/>
      <c r="E39" s="276"/>
      <c r="F39" s="277"/>
      <c r="G39" s="278" t="s">
        <v>2401</v>
      </c>
    </row>
    <row r="40" spans="1:7" s="258" customFormat="1" ht="13.5" customHeight="1">
      <c r="A40" s="299" t="s">
        <v>2402</v>
      </c>
      <c r="B40" s="254" t="s">
        <v>2403</v>
      </c>
      <c r="C40" s="1728">
        <f>F21</f>
        <v>1.4999999999999999E-2</v>
      </c>
      <c r="D40" s="280" t="s">
        <v>2404</v>
      </c>
      <c r="E40" s="276"/>
      <c r="F40" s="277"/>
      <c r="G40" s="278" t="s">
        <v>2405</v>
      </c>
    </row>
    <row r="41" spans="1:7" s="258" customFormat="1" ht="13.5" customHeight="1">
      <c r="A41" s="299" t="s">
        <v>2406</v>
      </c>
      <c r="B41" s="254" t="s">
        <v>2407</v>
      </c>
      <c r="C41" s="276">
        <f ca="1">ROUND(SUM(C42:C43),0)</f>
        <v>166</v>
      </c>
      <c r="D41" s="279">
        <f ca="1">C44</f>
        <v>5.0000000000000001E-4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164</v>
      </c>
      <c r="D42" s="282"/>
      <c r="E42" s="282"/>
      <c r="F42" s="283"/>
      <c r="G42" s="3142" t="s">
        <v>2409</v>
      </c>
    </row>
    <row r="43" spans="1:7" ht="13.5" customHeight="1">
      <c r="A43" s="951" t="s">
        <v>792</v>
      </c>
      <c r="B43" s="259" t="s">
        <v>2410</v>
      </c>
      <c r="C43" s="282">
        <f ca="1">ROUND(IF('数据-取费表'!B22&lt;=1,C39*F22*'数据-取费表'!B21/2,C39*(POWER((1+F22),'数据-取费表'!B21/2)-1)),0)</f>
        <v>2</v>
      </c>
      <c r="D43" s="282"/>
      <c r="E43" s="282"/>
      <c r="F43" s="283"/>
      <c r="G43" s="3143"/>
    </row>
    <row r="44" spans="1:7" ht="13.5" customHeight="1">
      <c r="A44" s="951" t="s">
        <v>793</v>
      </c>
      <c r="B44" s="259" t="s">
        <v>2411</v>
      </c>
      <c r="C44" s="282">
        <f ca="1">ROUND(IF('数据-取费表'!B22&lt;=1,C40*F22*'数据-取费表'!B21/2,C40*(POWER((1+F22),'数据-取费表'!B21/2)-1)),4)</f>
        <v>5.0000000000000001E-4</v>
      </c>
      <c r="D44" s="282"/>
      <c r="E44" s="282"/>
      <c r="F44" s="283"/>
      <c r="G44" s="3144"/>
    </row>
    <row r="45" spans="1:7" s="258" customFormat="1" ht="13.5" customHeight="1">
      <c r="A45" s="299" t="s">
        <v>2412</v>
      </c>
      <c r="B45" s="288" t="s">
        <v>2378</v>
      </c>
      <c r="C45" s="289">
        <f ca="1">C46</f>
        <v>470</v>
      </c>
      <c r="D45" s="279">
        <f ca="1">C47</f>
        <v>1.5E-3</v>
      </c>
      <c r="E45" s="280" t="s">
        <v>2404</v>
      </c>
      <c r="F45" s="290"/>
      <c r="G45" s="291" t="s">
        <v>2413</v>
      </c>
    </row>
    <row r="46" spans="1:7" s="258" customFormat="1" ht="13.5" customHeight="1">
      <c r="A46" s="951" t="s">
        <v>791</v>
      </c>
      <c r="B46" s="292" t="s">
        <v>2414</v>
      </c>
      <c r="C46" s="293">
        <f ca="1">ROUND((C33+C39)*F27,0)</f>
        <v>470</v>
      </c>
      <c r="D46" s="307"/>
      <c r="E46" s="280"/>
      <c r="F46" s="290"/>
      <c r="G46" s="291"/>
    </row>
    <row r="47" spans="1:7" s="258" customFormat="1" ht="13.5" customHeight="1">
      <c r="A47" s="951" t="s">
        <v>792</v>
      </c>
      <c r="B47" s="292" t="s">
        <v>2415</v>
      </c>
      <c r="C47" s="282">
        <f ca="1">ROUND(C40*F27,4)</f>
        <v>1.5E-3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5742</v>
      </c>
      <c r="D49" s="276"/>
      <c r="E49" s="276"/>
      <c r="F49" s="308"/>
      <c r="G49" s="278" t="s">
        <v>2419</v>
      </c>
    </row>
    <row r="50" spans="1:7" s="302" customFormat="1" ht="24">
      <c r="A50" s="299" t="s">
        <v>2420</v>
      </c>
      <c r="B50" s="254" t="s">
        <v>2421</v>
      </c>
      <c r="C50" s="276"/>
      <c r="D50" s="276"/>
      <c r="E50" s="276"/>
      <c r="F50" s="308">
        <f>IF('数据-取费表'!B24=0,'数据-取费表'!N16,1)</f>
        <v>0.62</v>
      </c>
      <c r="G50" s="291" t="s">
        <v>2422</v>
      </c>
    </row>
    <row r="51" spans="1:7" ht="16.5" customHeight="1">
      <c r="A51" s="299" t="s">
        <v>2423</v>
      </c>
      <c r="B51" s="254" t="s">
        <v>2424</v>
      </c>
      <c r="C51" s="276">
        <f ca="1">ROUND(C49*F50,0)</f>
        <v>3560</v>
      </c>
      <c r="D51" s="276"/>
      <c r="E51" s="276"/>
      <c r="F51" s="308"/>
      <c r="G51" s="278" t="s">
        <v>2425</v>
      </c>
    </row>
    <row r="52" spans="1:7" s="252" customFormat="1" ht="16.5" thickBot="1">
      <c r="A52" s="309" t="s">
        <v>2426</v>
      </c>
      <c r="B52" s="310"/>
      <c r="C52" s="311">
        <f ca="1">C31+C51</f>
        <v>30683</v>
      </c>
      <c r="D52" s="310"/>
      <c r="E52" s="310"/>
      <c r="F52" s="310"/>
      <c r="G52" s="312"/>
    </row>
    <row r="55" spans="1:7" ht="15">
      <c r="B55" s="314" t="s">
        <v>2427</v>
      </c>
      <c r="C55" s="315"/>
    </row>
    <row r="56" spans="1:7">
      <c r="B56" s="317" t="s">
        <v>1508</v>
      </c>
      <c r="C56" s="319">
        <f ca="1">1-C57</f>
        <v>0.88400000000000001</v>
      </c>
    </row>
    <row r="57" spans="1:7">
      <c r="B57" s="317" t="s">
        <v>1509</v>
      </c>
      <c r="C57" s="318">
        <f ca="1">ROUND(C51/C52,3)</f>
        <v>0.11600000000000001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4595</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2272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4045648</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4045648</v>
      </c>
      <c r="D8" s="266"/>
      <c r="E8" s="264"/>
      <c r="F8" s="265"/>
      <c r="G8" s="255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4045648</v>
      </c>
      <c r="D10" s="1032">
        <f ca="1">IF(B1="",'数据-汇总表'!E6,IF(INDIRECT("'数据-取费表'!c"&amp;$G$1)="住宅",INDIRECT("'数据-取费表'!s"&amp;$G$1),INDIRECT("'数据-取费表'!k"&amp;$G$1)+INDIRECT("'数据-取费表'!s"&amp;$G$1)))</f>
        <v>20228.240000000002</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4045648</v>
      </c>
      <c r="D19" s="1036">
        <f ca="1">D9+D10</f>
        <v>20228.240000000002</v>
      </c>
      <c r="E19" s="255">
        <f>'数据-取费表'!B31</f>
        <v>200</v>
      </c>
      <c r="F19" s="275"/>
      <c r="G19" s="2553"/>
    </row>
    <row r="20" spans="1:7" s="258" customFormat="1" ht="13.5" customHeight="1">
      <c r="A20" s="299" t="s">
        <v>2439</v>
      </c>
      <c r="B20" s="254" t="s">
        <v>2440</v>
      </c>
      <c r="C20" s="276">
        <f ca="1">ROUND((C5+C19)*F20,0)</f>
        <v>121369</v>
      </c>
      <c r="D20" s="276"/>
      <c r="E20" s="276"/>
      <c r="F20" s="277">
        <f>'数据-取费表'!B37</f>
        <v>1.4999999999999999E-2</v>
      </c>
      <c r="G20" s="278" t="s">
        <v>2441</v>
      </c>
    </row>
    <row r="21" spans="1:7" s="258" customFormat="1" ht="13.5" customHeight="1">
      <c r="A21" s="299" t="s">
        <v>2442</v>
      </c>
      <c r="B21" s="254" t="s">
        <v>2443</v>
      </c>
      <c r="C21" s="279">
        <f>F21</f>
        <v>1.4999999999999999E-2</v>
      </c>
      <c r="D21" s="280" t="s">
        <v>2444</v>
      </c>
      <c r="E21" s="276"/>
      <c r="F21" s="277">
        <f>'数据-取费表'!B38</f>
        <v>1.4999999999999999E-2</v>
      </c>
      <c r="G21" s="278" t="s">
        <v>2445</v>
      </c>
    </row>
    <row r="22" spans="1:7" s="258" customFormat="1" ht="13.5" customHeight="1">
      <c r="A22" s="299" t="s">
        <v>2446</v>
      </c>
      <c r="B22" s="254" t="s">
        <v>2447</v>
      </c>
      <c r="C22" s="1380">
        <f ca="1">ROUND(SUM(C23:C25),0)</f>
        <v>587597</v>
      </c>
      <c r="D22" s="279">
        <f ca="1">C26</f>
        <v>5.0000000000000001E-4</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291649</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291649</v>
      </c>
      <c r="D24" s="282"/>
      <c r="E24" s="282"/>
      <c r="F24" s="283"/>
      <c r="G24" s="284" t="s">
        <v>2451</v>
      </c>
    </row>
    <row r="25" spans="1:7" s="258" customFormat="1" ht="24">
      <c r="A25" s="951" t="s">
        <v>2341</v>
      </c>
      <c r="B25" s="259" t="s">
        <v>2452</v>
      </c>
      <c r="C25" s="1381">
        <f ca="1">ROUND(IF('数据-取费表'!B22&lt;=1,C20*F22*'数据-取费表'!B22/2,C20*(POWER((1+F22),'数据-取费表'!B22/2)-1)),0)</f>
        <v>4299</v>
      </c>
      <c r="D25" s="282"/>
      <c r="E25" s="285"/>
      <c r="F25" s="283"/>
      <c r="G25" s="286" t="s">
        <v>2453</v>
      </c>
    </row>
    <row r="26" spans="1:7" s="258" customFormat="1">
      <c r="A26" s="951" t="s">
        <v>795</v>
      </c>
      <c r="B26" s="259" t="s">
        <v>2376</v>
      </c>
      <c r="C26" s="282">
        <f ca="1">ROUND(IF('数据-取费表'!B22&lt;=1,F21*F22*'数据-取费表'!B22/2,F21*(POWER((1+F22),'数据-取费表'!B22/2)-1)),4)</f>
        <v>5.0000000000000001E-4</v>
      </c>
      <c r="D26" s="282"/>
      <c r="E26" s="285"/>
      <c r="F26" s="283"/>
      <c r="G26" s="287"/>
    </row>
    <row r="27" spans="1:7" s="258" customFormat="1" ht="24.75">
      <c r="A27" s="299" t="s">
        <v>2377</v>
      </c>
      <c r="B27" s="288" t="s">
        <v>2378</v>
      </c>
      <c r="C27" s="289">
        <f ca="1">C28</f>
        <v>821267</v>
      </c>
      <c r="D27" s="279">
        <f ca="1">C29</f>
        <v>1.5E-3</v>
      </c>
      <c r="E27" s="280" t="s">
        <v>2379</v>
      </c>
      <c r="F27" s="290">
        <f ca="1">IF(B1="",'数据-取费表'!Q16,INDIRECT("'数据-取费表'!q"&amp;$G$1))</f>
        <v>0.1</v>
      </c>
      <c r="G27" s="291" t="s">
        <v>2380</v>
      </c>
    </row>
    <row r="28" spans="1:7" s="258" customFormat="1" ht="13.5" customHeight="1">
      <c r="A28" s="951" t="s">
        <v>791</v>
      </c>
      <c r="B28" s="292" t="s">
        <v>2381</v>
      </c>
      <c r="C28" s="293">
        <f ca="1">ROUND((C5+C19+C20)*F27,0)</f>
        <v>821267</v>
      </c>
      <c r="D28" s="279"/>
      <c r="E28" s="280"/>
      <c r="F28" s="290"/>
      <c r="G28" s="291"/>
    </row>
    <row r="29" spans="1:7" s="258" customFormat="1" ht="13.5" customHeight="1">
      <c r="A29" s="951" t="s">
        <v>792</v>
      </c>
      <c r="B29" s="292" t="s">
        <v>2382</v>
      </c>
      <c r="C29" s="282">
        <f ca="1">ROUND(C21*F27,4)</f>
        <v>1.5E-3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10349069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46322669</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40456480</v>
      </c>
      <c r="D34" s="261"/>
      <c r="E34" s="264"/>
      <c r="F34" s="301"/>
      <c r="G34" s="263"/>
    </row>
    <row r="35" spans="1:7" ht="13.5" customHeight="1">
      <c r="A35" s="951" t="s">
        <v>796</v>
      </c>
      <c r="B35" s="259" t="s">
        <v>2392</v>
      </c>
      <c r="C35" s="264">
        <f ca="1">ROUND(C34*F35,0)</f>
        <v>1213694</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4045648</v>
      </c>
      <c r="D37" s="261">
        <f ca="1">D19</f>
        <v>20228.240000000002</v>
      </c>
      <c r="E37" s="293">
        <f>'数据-取费表'!B35</f>
        <v>200</v>
      </c>
      <c r="F37" s="303"/>
      <c r="G37" s="305"/>
    </row>
    <row r="38" spans="1:7" ht="13.5" customHeight="1">
      <c r="A38" s="951" t="s">
        <v>799</v>
      </c>
      <c r="B38" s="259" t="s">
        <v>2398</v>
      </c>
      <c r="C38" s="264">
        <f ca="1">ROUND(C34*F38,0)</f>
        <v>606847</v>
      </c>
      <c r="D38" s="264"/>
      <c r="E38" s="264"/>
      <c r="F38" s="303">
        <f>'数据-取费表'!B36</f>
        <v>1.4999999999999999E-2</v>
      </c>
      <c r="G38" s="263" t="s">
        <v>2393</v>
      </c>
    </row>
    <row r="39" spans="1:7" s="258" customFormat="1" ht="13.5" customHeight="1">
      <c r="A39" s="299" t="s">
        <v>2399</v>
      </c>
      <c r="B39" s="254" t="s">
        <v>2400</v>
      </c>
      <c r="C39" s="276">
        <f ca="1">ROUND(C33*F20,0)</f>
        <v>694840</v>
      </c>
      <c r="D39" s="276"/>
      <c r="E39" s="276"/>
      <c r="F39" s="277"/>
      <c r="G39" s="278" t="s">
        <v>2401</v>
      </c>
    </row>
    <row r="40" spans="1:7" s="258" customFormat="1" ht="13.5" customHeight="1">
      <c r="A40" s="299" t="s">
        <v>2402</v>
      </c>
      <c r="B40" s="254" t="s">
        <v>2403</v>
      </c>
      <c r="C40" s="1728">
        <f>F21</f>
        <v>1.4999999999999999E-2</v>
      </c>
      <c r="D40" s="280" t="s">
        <v>2404</v>
      </c>
      <c r="E40" s="276"/>
      <c r="F40" s="277"/>
      <c r="G40" s="278" t="s">
        <v>2405</v>
      </c>
    </row>
    <row r="41" spans="1:7" s="258" customFormat="1" ht="13.5" customHeight="1">
      <c r="A41" s="299" t="s">
        <v>2406</v>
      </c>
      <c r="B41" s="254" t="s">
        <v>2407</v>
      </c>
      <c r="C41" s="276">
        <f ca="1">ROUND(SUM(C42:C43),0)</f>
        <v>1665246</v>
      </c>
      <c r="D41" s="279">
        <f ca="1">C44</f>
        <v>5.0000000000000001E-4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1640636</v>
      </c>
      <c r="D42" s="282"/>
      <c r="E42" s="282"/>
      <c r="F42" s="283"/>
      <c r="G42" s="3142" t="s">
        <v>2456</v>
      </c>
    </row>
    <row r="43" spans="1:7" ht="13.5" customHeight="1">
      <c r="A43" s="951" t="s">
        <v>792</v>
      </c>
      <c r="B43" s="259" t="s">
        <v>2410</v>
      </c>
      <c r="C43" s="282">
        <f ca="1">ROUND(IF('数据-取费表'!B22&lt;=1,C39*F22*'数据-取费表'!B20/2,C39*(POWER((1+F22),'数据-取费表'!B20/2)-1)),0)</f>
        <v>24610</v>
      </c>
      <c r="D43" s="282"/>
      <c r="E43" s="282"/>
      <c r="F43" s="283"/>
      <c r="G43" s="3143"/>
    </row>
    <row r="44" spans="1:7" ht="13.5" customHeight="1">
      <c r="A44" s="951" t="s">
        <v>793</v>
      </c>
      <c r="B44" s="259" t="s">
        <v>2411</v>
      </c>
      <c r="C44" s="282">
        <f ca="1">ROUND(IF('数据-取费表'!B22&lt;=1,C40*F22*'数据-取费表'!B20/2,C40*(POWER((1+F22),'数据-取费表'!B20/2)-1)),4)</f>
        <v>5.0000000000000001E-4</v>
      </c>
      <c r="D44" s="282"/>
      <c r="E44" s="282"/>
      <c r="F44" s="283"/>
      <c r="G44" s="3144"/>
    </row>
    <row r="45" spans="1:7" s="258" customFormat="1" ht="13.5" customHeight="1">
      <c r="A45" s="299" t="s">
        <v>2412</v>
      </c>
      <c r="B45" s="288" t="s">
        <v>2378</v>
      </c>
      <c r="C45" s="289">
        <f ca="1">C46</f>
        <v>4701751</v>
      </c>
      <c r="D45" s="279">
        <f ca="1">C47</f>
        <v>1.5E-3</v>
      </c>
      <c r="E45" s="280" t="s">
        <v>2404</v>
      </c>
      <c r="F45" s="290"/>
      <c r="G45" s="291" t="s">
        <v>2413</v>
      </c>
    </row>
    <row r="46" spans="1:7" s="258" customFormat="1" ht="13.5" customHeight="1">
      <c r="A46" s="951" t="s">
        <v>791</v>
      </c>
      <c r="B46" s="292" t="s">
        <v>2414</v>
      </c>
      <c r="C46" s="293">
        <f ca="1">ROUND((C33+C39)*F27,0)</f>
        <v>4701751</v>
      </c>
      <c r="D46" s="307"/>
      <c r="E46" s="280"/>
      <c r="F46" s="290"/>
      <c r="G46" s="291"/>
    </row>
    <row r="47" spans="1:7" s="258" customFormat="1" ht="13.5" customHeight="1">
      <c r="A47" s="951" t="s">
        <v>792</v>
      </c>
      <c r="B47" s="292" t="s">
        <v>2415</v>
      </c>
      <c r="C47" s="282">
        <f ca="1">ROUND(C40*F27,4)</f>
        <v>1.5E-3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57421218</v>
      </c>
      <c r="D49" s="276"/>
      <c r="E49" s="276"/>
      <c r="F49" s="308"/>
      <c r="G49" s="278" t="s">
        <v>2419</v>
      </c>
    </row>
    <row r="50" spans="1:7" s="302" customFormat="1">
      <c r="A50" s="299" t="s">
        <v>2420</v>
      </c>
      <c r="B50" s="254" t="s">
        <v>2421</v>
      </c>
      <c r="C50" s="276"/>
      <c r="D50" s="276"/>
      <c r="E50" s="276"/>
      <c r="F50" s="308">
        <f>IF('数据-取费表'!B24=0,'数据-取费表'!N16,1)</f>
        <v>0.62</v>
      </c>
      <c r="G50" s="291"/>
    </row>
    <row r="51" spans="1:7" ht="16.5" customHeight="1">
      <c r="A51" s="299" t="s">
        <v>2423</v>
      </c>
      <c r="B51" s="254" t="s">
        <v>2458</v>
      </c>
      <c r="C51" s="276">
        <f ca="1">ROUND(C49*F50,0)</f>
        <v>35601155</v>
      </c>
      <c r="D51" s="276"/>
      <c r="E51" s="276"/>
      <c r="F51" s="308"/>
      <c r="G51" s="278" t="s">
        <v>2425</v>
      </c>
    </row>
    <row r="52" spans="1:7" s="252" customFormat="1" ht="16.5" thickBot="1">
      <c r="A52" s="309" t="s">
        <v>2426</v>
      </c>
      <c r="B52" s="310"/>
      <c r="C52" s="311">
        <f ca="1">C31+C51</f>
        <v>45950224</v>
      </c>
      <c r="D52" s="310"/>
      <c r="E52" s="310"/>
      <c r="F52" s="310"/>
      <c r="G52" s="312"/>
    </row>
    <row r="55" spans="1:7" ht="15">
      <c r="B55" s="314" t="s">
        <v>2427</v>
      </c>
      <c r="C55" s="315"/>
    </row>
    <row r="56" spans="1:7">
      <c r="B56" s="317" t="s">
        <v>1508</v>
      </c>
      <c r="C56" s="319">
        <f ca="1">1-C57</f>
        <v>0.22499999999999998</v>
      </c>
    </row>
    <row r="57" spans="1:7">
      <c r="B57" s="317" t="s">
        <v>1509</v>
      </c>
      <c r="C57" s="318">
        <f ca="1">ROUND(C51/C52,3)</f>
        <v>0.77500000000000002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20228.240000000002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20228.240000000002</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2495</v>
      </c>
      <c r="C20" s="24">
        <f ca="1">ROUND(D20*E20/10000,0)</f>
        <v>405</v>
      </c>
      <c r="D20" s="1033">
        <f ca="1">IF(C1="",'数据-汇总表'!E6,IF(INDIRECT("'数据-取费表'!c"&amp;$K$1)="住宅",INDIRECT("'数据-取费表'!s"&amp;$K$1),INDIRECT("'数据-取费表'!k"&amp;$K$1)+INDIRECT("'数据-取费表'!s"&amp;$K$1)))</f>
        <v>20228.240000000002</v>
      </c>
      <c r="E20" s="24">
        <f>'数据-取费表'!B28</f>
        <v>200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1.4999999999999999E-2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1.4999999999999999E-2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7" sqref="C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36.21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32562</v>
      </c>
      <c r="C2" s="1845" t="s">
        <v>1511</v>
      </c>
      <c r="D2" s="1845"/>
      <c r="E2" s="1846"/>
      <c r="F2" s="1847"/>
      <c r="G2" s="1848"/>
      <c r="H2" s="1840"/>
      <c r="I2" s="1840"/>
      <c r="J2" s="1840"/>
      <c r="K2" s="1841"/>
      <c r="L2" s="1840"/>
      <c r="M2" s="1840"/>
    </row>
    <row r="3" spans="1:37" ht="18" customHeight="1" thickBot="1">
      <c r="A3" s="1849" t="s">
        <v>1512</v>
      </c>
      <c r="B3" s="1850">
        <f ca="1">IF(ISERROR(B2*10000/F43),0,ROUND(B2*10000/F43,0))</f>
        <v>16097</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1663</v>
      </c>
      <c r="D5" s="1822" t="s">
        <v>1397</v>
      </c>
      <c r="E5" s="1293"/>
      <c r="F5" s="1294"/>
      <c r="G5" s="1851"/>
      <c r="H5" s="344">
        <v>1</v>
      </c>
      <c r="I5" s="345" t="s">
        <v>1396</v>
      </c>
      <c r="J5" s="1292">
        <f ca="1">J6+J10+J12</f>
        <v>0</v>
      </c>
      <c r="K5" s="1822" t="s">
        <v>1397</v>
      </c>
      <c r="L5" s="1293"/>
      <c r="M5" s="1294"/>
    </row>
    <row r="6" spans="1:37" ht="18" customHeight="1">
      <c r="A6" s="1291" t="s">
        <v>1032</v>
      </c>
      <c r="B6" s="3147" t="s">
        <v>1398</v>
      </c>
      <c r="C6" s="1296">
        <f ca="1">ROUND(F6*F8*F7*(1-F9)/10000,0)</f>
        <v>1661</v>
      </c>
      <c r="D6" s="164" t="s">
        <v>3030</v>
      </c>
      <c r="E6" s="347" t="s">
        <v>1400</v>
      </c>
      <c r="F6" s="348">
        <f ca="1">INDIRECT("'数据-取费表'!u"&amp;$G$1)</f>
        <v>2.5</v>
      </c>
      <c r="G6" s="1851"/>
      <c r="H6" s="1291" t="s">
        <v>1032</v>
      </c>
      <c r="I6" s="3147" t="s">
        <v>1398</v>
      </c>
      <c r="J6" s="346">
        <f ca="1">ROUND(M6*M8*M7*(1-M9)/10000,0)</f>
        <v>0</v>
      </c>
      <c r="K6" s="164" t="s">
        <v>3029</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20228.240000000002</v>
      </c>
      <c r="G7" s="1851"/>
      <c r="H7" s="349"/>
      <c r="I7" s="3148"/>
      <c r="J7" s="351"/>
      <c r="K7" s="352"/>
      <c r="L7" s="347" t="s">
        <v>1401</v>
      </c>
      <c r="M7" s="348">
        <f ca="1">F7</f>
        <v>20228.240000000002</v>
      </c>
    </row>
    <row r="8" spans="1:37" ht="18" customHeight="1">
      <c r="A8" s="349"/>
      <c r="B8" s="3148"/>
      <c r="C8" s="351"/>
      <c r="D8" s="352"/>
      <c r="E8" s="347" t="s">
        <v>1402</v>
      </c>
      <c r="F8" s="348">
        <f ca="1">INDIRECT("'数据-取费表'!ai"&amp;$G$1)</f>
        <v>365</v>
      </c>
      <c r="G8" s="1851"/>
      <c r="H8" s="349"/>
      <c r="I8" s="3148"/>
      <c r="J8" s="351"/>
      <c r="K8" s="352"/>
      <c r="L8" s="347" t="s">
        <v>1402</v>
      </c>
      <c r="M8" s="348">
        <f ca="1">INDIRECT("'数据-取费表'!ai"&amp;$G$1)</f>
        <v>365</v>
      </c>
    </row>
    <row r="9" spans="1:37" ht="18" customHeight="1">
      <c r="A9" s="349"/>
      <c r="B9" s="3149"/>
      <c r="C9" s="351"/>
      <c r="D9" s="352"/>
      <c r="E9" s="347" t="s">
        <v>1403</v>
      </c>
      <c r="F9" s="357">
        <f ca="1">INDIRECT("'数据-取费表'!w"&amp;$G$1)</f>
        <v>0.1</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2</v>
      </c>
      <c r="D10" s="1824" t="s">
        <v>3039</v>
      </c>
      <c r="E10" s="358" t="s">
        <v>1405</v>
      </c>
      <c r="F10" s="1366" t="s">
        <v>3084</v>
      </c>
      <c r="G10" s="1851"/>
      <c r="H10" s="1291" t="s">
        <v>1036</v>
      </c>
      <c r="I10" s="1823" t="s">
        <v>1404</v>
      </c>
      <c r="J10" s="346">
        <f ca="1">ROUND(IF(M10="押一",J6/12*M11,IF(M10="押二",J6/12*2*M11,IF(M10="押三",J6/12*3*M11,J11*M11))),0)</f>
        <v>0</v>
      </c>
      <c r="K10" s="1824" t="s">
        <v>3038</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3560</v>
      </c>
      <c r="D13" s="1331" t="s">
        <v>1410</v>
      </c>
      <c r="E13" s="1331" t="s">
        <v>1411</v>
      </c>
      <c r="F13" s="1332">
        <f ca="1">INDIRECT("'数据-取费表'!y"&amp;$G$1)</f>
        <v>0.62</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4046</v>
      </c>
      <c r="D14" s="1800" t="s">
        <v>1413</v>
      </c>
      <c r="E14" s="1794"/>
      <c r="F14" s="364"/>
      <c r="G14" s="1851"/>
      <c r="H14" s="1201" t="s">
        <v>1032</v>
      </c>
      <c r="I14" s="347" t="s">
        <v>1414</v>
      </c>
      <c r="J14" s="24">
        <f ca="1">C29</f>
        <v>5742</v>
      </c>
      <c r="K14" s="15"/>
      <c r="L14" s="979"/>
      <c r="M14" s="980"/>
    </row>
    <row r="15" spans="1:37" s="1858" customFormat="1" ht="18" customHeight="1" thickBot="1">
      <c r="A15" s="1201" t="s">
        <v>1033</v>
      </c>
      <c r="B15" s="347" t="s">
        <v>1415</v>
      </c>
      <c r="C15" s="24">
        <f ca="1">ROUND(C14*F15,0)</f>
        <v>121</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117</v>
      </c>
      <c r="K16" s="1337" t="s">
        <v>1420</v>
      </c>
      <c r="L16" s="1338"/>
      <c r="M16" s="1294"/>
    </row>
    <row r="17" spans="1:37" s="1858" customFormat="1" ht="18" customHeight="1">
      <c r="A17" s="1201" t="s">
        <v>1385</v>
      </c>
      <c r="B17" s="347" t="s">
        <v>1421</v>
      </c>
      <c r="C17" s="24">
        <f ca="1">ROUND(F17*(F43+INDIRECT("'数据-取费表'!S"&amp;$G$1))/10000,0)</f>
        <v>405</v>
      </c>
      <c r="D17" s="347" t="s">
        <v>1422</v>
      </c>
      <c r="E17" s="347" t="s">
        <v>1423</v>
      </c>
      <c r="F17" s="26">
        <f>'数据-取费表'!B35</f>
        <v>200</v>
      </c>
      <c r="G17" s="1854"/>
      <c r="H17" s="1201" t="s">
        <v>1032</v>
      </c>
      <c r="I17" s="347" t="s">
        <v>1424</v>
      </c>
      <c r="J17" s="24">
        <f ca="1">ROUND(IF(项目基本情况!B11="自然人",J6*M17/(1+'数据-取费表'!C42),J18+J19+J20),1)</f>
        <v>59.3</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4633</v>
      </c>
      <c r="D19" s="140" t="s">
        <v>1431</v>
      </c>
      <c r="E19" s="1818"/>
      <c r="F19" s="26"/>
      <c r="G19" s="1851"/>
      <c r="H19" s="1201" t="s">
        <v>1033</v>
      </c>
      <c r="I19" s="347" t="s">
        <v>1432</v>
      </c>
      <c r="J19" s="24">
        <f ca="1">IF(K19="按租金收入计税",ROUND(J6*M19/(1+'数据-取费表'!C42),2),ROUND(C29*M19*0.7,2))</f>
        <v>48.23</v>
      </c>
      <c r="K19" s="1828" t="s">
        <v>1433</v>
      </c>
      <c r="L19" s="347" t="s">
        <v>1417</v>
      </c>
      <c r="M19" s="367">
        <f>IF(K19="按租金收入计税",'数据-取费表'!B51,'数据-取费表'!B50)</f>
        <v>1.2E-2</v>
      </c>
    </row>
    <row r="20" spans="1:37" s="1858" customFormat="1" ht="18" customHeight="1">
      <c r="A20" s="1201" t="s">
        <v>1036</v>
      </c>
      <c r="B20" s="347" t="s">
        <v>1434</v>
      </c>
      <c r="C20" s="24">
        <f ca="1">ROUND(C19*F20,0)</f>
        <v>69</v>
      </c>
      <c r="D20" s="369" t="s">
        <v>1435</v>
      </c>
      <c r="E20" s="347" t="s">
        <v>1417</v>
      </c>
      <c r="F20" s="367">
        <f>'数据-取费表'!B37</f>
        <v>1.4999999999999999E-2</v>
      </c>
      <c r="G20" s="1854"/>
      <c r="H20" s="1201" t="s">
        <v>1384</v>
      </c>
      <c r="I20" s="164" t="s">
        <v>1436</v>
      </c>
      <c r="J20" s="25">
        <f ca="1">ROUND(M20*M21/10000,2)</f>
        <v>11.04</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1.4999999999999999E-2</v>
      </c>
      <c r="G21" s="1854"/>
      <c r="H21" s="372"/>
      <c r="I21" s="356"/>
      <c r="J21" s="29"/>
      <c r="K21" s="373"/>
      <c r="L21" s="347" t="s">
        <v>1442</v>
      </c>
      <c r="M21" s="348">
        <f ca="1">INDIRECT("'数据-取费表'!r"&amp;$G$1)</f>
        <v>73586.240000000005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57.4</v>
      </c>
      <c r="K22" s="1798" t="s">
        <v>1445</v>
      </c>
      <c r="L22" s="347" t="s">
        <v>1417</v>
      </c>
      <c r="M22" s="374">
        <f ca="1">INDIRECT("'数据-取费表'!Ak"&amp;$G$1)</f>
        <v>0.01</v>
      </c>
    </row>
    <row r="23" spans="1:37" s="1858" customFormat="1" ht="18" customHeight="1">
      <c r="A23" s="1201" t="s">
        <v>1031</v>
      </c>
      <c r="B23" s="347" t="s">
        <v>1446</v>
      </c>
      <c r="C23" s="24">
        <f ca="1">IF('数据-取费表'!B22&lt;=1,ROUND(C19*F24*F23/2,0)+ROUND(C20*F24*F23/2,0),ROUND(C19*(POWER((1+F24),F23/2)-1),0)+ROUND(C20*(POWER((1+F24),F23/2)-1),0))</f>
        <v>166</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-117</v>
      </c>
      <c r="K25" s="1345" t="s">
        <v>1459</v>
      </c>
      <c r="L25" s="1346"/>
      <c r="M25" s="1347"/>
    </row>
    <row r="26" spans="1:37">
      <c r="A26" s="1201" t="s">
        <v>1031</v>
      </c>
      <c r="B26" s="347" t="s">
        <v>1460</v>
      </c>
      <c r="C26" s="24">
        <f ca="1">ROUND((C19+C20)*F26,0)</f>
        <v>470</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1.5E-3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5742</v>
      </c>
      <c r="D29" s="1342"/>
      <c r="E29" s="1340"/>
      <c r="F29" s="1343"/>
      <c r="G29" s="1854"/>
      <c r="H29" s="380" t="s">
        <v>1030</v>
      </c>
      <c r="I29" s="381" t="s">
        <v>1474</v>
      </c>
      <c r="J29" s="382">
        <f ca="1">ROUND(J26/(1+F40)^F41,0)</f>
        <v>0</v>
      </c>
      <c r="K29" s="383" t="s">
        <v>1475</v>
      </c>
      <c r="L29" s="384"/>
      <c r="M29" s="385">
        <f ca="1">INDIRECT("'数据-取费表'!k"&amp;$G$1)</f>
        <v>20228.240000000002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369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289.5</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IF(项目基本情况!B11="自然人","——",ROUND(C6*F32/(1+'数据-取费表'!C42),2))</f>
        <v>88.59</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189.83</v>
      </c>
      <c r="D33" s="1828" t="s">
        <v>3085</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11.04</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73586.240000000005</v>
      </c>
      <c r="G35" s="1851"/>
      <c r="H35" s="745"/>
      <c r="I35" s="1860"/>
      <c r="J35" s="1861"/>
      <c r="K35" s="1862"/>
      <c r="L35" s="1859"/>
      <c r="M35" s="1859"/>
    </row>
    <row r="36" spans="1:18" ht="18" customHeight="1">
      <c r="A36" s="1352" t="s">
        <v>1036</v>
      </c>
      <c r="B36" s="347" t="s">
        <v>1444</v>
      </c>
      <c r="C36" s="24">
        <f ca="1">ROUND(C29*F36,1)</f>
        <v>57.4</v>
      </c>
      <c r="D36" s="1798" t="s">
        <v>1477</v>
      </c>
      <c r="E36" s="347" t="s">
        <v>1417</v>
      </c>
      <c r="F36" s="374">
        <f ca="1">INDIRECT("'数据-取费表'!Ak"&amp;$G$1)</f>
        <v>0.01</v>
      </c>
      <c r="G36" s="1851"/>
      <c r="H36" s="1859"/>
      <c r="I36" s="1860"/>
      <c r="J36" s="1861"/>
      <c r="K36" s="751"/>
      <c r="L36" s="1859"/>
      <c r="M36" s="1859"/>
    </row>
    <row r="37" spans="1:18" ht="18" customHeight="1">
      <c r="A37" s="1201" t="s">
        <v>1072</v>
      </c>
      <c r="B37" s="347" t="s">
        <v>1448</v>
      </c>
      <c r="C37" s="24">
        <f ca="1">ROUND(C13*F37,1)</f>
        <v>5.3</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16.600000000000001</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1294</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32562</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36.21</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16097</v>
      </c>
      <c r="D43" s="383" t="s">
        <v>1483</v>
      </c>
      <c r="E43" s="384" t="s">
        <v>1484</v>
      </c>
      <c r="F43" s="385">
        <f ca="1">INDIRECT("'数据-取费表'!k"&amp;$G$1)</f>
        <v>20228.240000000002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-42408</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3078</v>
      </c>
      <c r="K47" s="1882" t="s">
        <v>1522</v>
      </c>
      <c r="L47" s="1883">
        <f ca="1">INDIRECT("'数据-取费表'!d"&amp;$G$1)</f>
        <v>50</v>
      </c>
      <c r="M47" s="1838" t="str">
        <f>IF(ISNUMBER(FIND("住宅",C1)),"住宅","非住宅")</f>
        <v>非住宅</v>
      </c>
      <c r="O47" s="1884" t="s">
        <v>1037</v>
      </c>
      <c r="P47" s="1885" t="s">
        <v>1523</v>
      </c>
      <c r="Q47" s="1886">
        <f ca="1">C40+J29</f>
        <v>32562</v>
      </c>
      <c r="R47" s="1886" t="s">
        <v>1524</v>
      </c>
    </row>
    <row r="48" spans="1:18" s="1842" customFormat="1" ht="28.5" thickBot="1">
      <c r="A48" s="1360" t="s">
        <v>1132</v>
      </c>
      <c r="B48" s="345" t="s">
        <v>1396</v>
      </c>
      <c r="C48" s="1817">
        <f ca="1">C49+C53+C55</f>
        <v>0</v>
      </c>
      <c r="D48" s="1362"/>
      <c r="E48" s="1363"/>
      <c r="F48" s="1181"/>
      <c r="G48" s="792"/>
      <c r="H48" s="793"/>
      <c r="I48" s="1887" t="s">
        <v>1525</v>
      </c>
      <c r="J48" s="1888" t="s">
        <v>3086</v>
      </c>
      <c r="K48" s="1889" t="s">
        <v>1526</v>
      </c>
      <c r="L48" s="1890">
        <f ca="1">INDIRECT("'数据-取费表'!f"&amp;$G$1)</f>
        <v>36.21</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3031</v>
      </c>
      <c r="E49" s="1830" t="s">
        <v>1486</v>
      </c>
      <c r="F49" s="1281"/>
      <c r="G49" s="1891"/>
      <c r="H49" s="793"/>
      <c r="I49" s="1887" t="s">
        <v>1529</v>
      </c>
      <c r="J49" s="1892">
        <v>1995</v>
      </c>
      <c r="K49" s="1889" t="s">
        <v>1530</v>
      </c>
      <c r="L49" s="1893"/>
      <c r="O49" s="1894" t="s">
        <v>1039</v>
      </c>
      <c r="P49" s="1885" t="s">
        <v>1531</v>
      </c>
      <c r="Q49" s="1886">
        <f ca="1">C29</f>
        <v>5742</v>
      </c>
      <c r="R49" s="1886" t="s">
        <v>1524</v>
      </c>
    </row>
    <row r="50" spans="1:18" s="1842" customFormat="1" ht="13.5" thickBot="1">
      <c r="A50" s="1195"/>
      <c r="B50" s="1198"/>
      <c r="C50" s="1368"/>
      <c r="D50" s="1172"/>
      <c r="E50" s="1277" t="s">
        <v>1401</v>
      </c>
      <c r="F50" s="1278">
        <f ca="1">F7</f>
        <v>20228.240000000002</v>
      </c>
      <c r="H50" s="793"/>
      <c r="I50" s="1887" t="s">
        <v>1532</v>
      </c>
      <c r="J50" s="1895">
        <f>SUMPRODUCT((I63:I65=J47)*(J62:L62=J48)*(J63:L65))</f>
        <v>80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56</v>
      </c>
      <c r="K51" s="1900" t="s">
        <v>1536</v>
      </c>
      <c r="L51" s="1901">
        <f ca="1">ROUND(-PV(INDIRECT("'数据-取费表'!h"&amp;$G$1),L48,(C39-C13*C76),0),0)</f>
        <v>18795</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36.21</v>
      </c>
      <c r="R52" s="1886" t="s">
        <v>1541</v>
      </c>
    </row>
    <row r="53" spans="1:18" s="1842" customFormat="1" ht="24.75" thickBot="1">
      <c r="A53" s="1405" t="s">
        <v>1134</v>
      </c>
      <c r="B53" s="1831" t="s">
        <v>1404</v>
      </c>
      <c r="C53" s="361">
        <f ca="1">ROUND(IF(F53="押一",C49/12*F11,IF(F53="押二",C49/12*2*F11,IF(F53="押三",C49/12*3*F11,C54*F11))),0)</f>
        <v>0</v>
      </c>
      <c r="D53" s="1824" t="s">
        <v>3038</v>
      </c>
      <c r="E53" s="358" t="s">
        <v>1405</v>
      </c>
      <c r="F53" s="1366"/>
      <c r="I53" s="1905" t="s">
        <v>1542</v>
      </c>
      <c r="J53" s="2953">
        <f ca="1">IF(M47="住宅",IF(D1="——",MAX(J51,L48),MAX(J51,L48-'数据-取费表'!B24)),IF(D1="——",MIN(J51,L48),MIN(J51,L48-'数据-取费表'!B24)))</f>
        <v>36.21</v>
      </c>
      <c r="K53" s="3145" t="s">
        <v>1543</v>
      </c>
      <c r="L53" s="3146"/>
      <c r="O53" s="1884" t="s">
        <v>1043</v>
      </c>
      <c r="P53" s="1885" t="s">
        <v>1544</v>
      </c>
      <c r="Q53" s="1886">
        <f ca="1">Q47+Q48</f>
        <v>32562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3560</v>
      </c>
      <c r="D56" s="1913"/>
      <c r="E56" s="1914"/>
      <c r="F56" s="1906"/>
      <c r="I56" s="1915" t="s">
        <v>1549</v>
      </c>
      <c r="J56" s="1916" t="s">
        <v>3064</v>
      </c>
      <c r="K56" s="1887" t="s">
        <v>1550</v>
      </c>
      <c r="L56" s="1890" t="str">
        <f ca="1">IF(L48&lt;J51,"——",L48-J53)</f>
        <v>——</v>
      </c>
      <c r="O56" s="1884" t="s">
        <v>1037</v>
      </c>
      <c r="P56" s="1885" t="s">
        <v>1523</v>
      </c>
      <c r="Q56" s="1886">
        <f ca="1">C40+J29</f>
        <v>32562</v>
      </c>
      <c r="R56" s="1886" t="s">
        <v>1524</v>
      </c>
    </row>
    <row r="57" spans="1:18" s="1842" customFormat="1" ht="24.75" thickBot="1">
      <c r="A57" s="1917"/>
      <c r="B57" s="1169" t="s">
        <v>1473</v>
      </c>
      <c r="C57" s="282">
        <f ca="1">C29</f>
        <v>5742</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556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493.4</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482.33</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11.04</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32562</v>
      </c>
      <c r="R62" s="1886" t="s">
        <v>1044</v>
      </c>
    </row>
    <row r="63" spans="1:18" s="1842" customFormat="1" ht="13.5" thickBot="1">
      <c r="A63" s="372"/>
      <c r="B63" s="1175"/>
      <c r="C63" s="29"/>
      <c r="D63" s="1185"/>
      <c r="E63" s="1169" t="s">
        <v>1494</v>
      </c>
      <c r="F63" s="348">
        <f t="shared" ca="1" si="0"/>
        <v>73586.240000000005</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57.4</v>
      </c>
      <c r="D64" s="1183" t="s">
        <v>1497</v>
      </c>
      <c r="E64" s="1169" t="s">
        <v>1489</v>
      </c>
      <c r="F64" s="374">
        <f t="shared" ca="1" si="0"/>
        <v>0.01</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5.3</v>
      </c>
      <c r="D65" s="1183" t="s">
        <v>1449</v>
      </c>
      <c r="E65" s="1169" t="s">
        <v>1450</v>
      </c>
      <c r="F65" s="376">
        <f t="shared" ca="1" si="0"/>
        <v>1.5E-3</v>
      </c>
      <c r="I65" s="1928" t="s">
        <v>1574</v>
      </c>
      <c r="J65" s="1929">
        <v>40</v>
      </c>
      <c r="K65" s="1929">
        <v>30</v>
      </c>
      <c r="L65" s="1929">
        <v>50</v>
      </c>
      <c r="M65" s="1931">
        <v>0.02</v>
      </c>
      <c r="O65" s="1884" t="s">
        <v>1037</v>
      </c>
      <c r="P65" s="1885" t="s">
        <v>1575</v>
      </c>
      <c r="Q65" s="1886">
        <f ca="1">C40+J29</f>
        <v>32562</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-556</v>
      </c>
      <c r="D67" s="1182" t="s">
        <v>1459</v>
      </c>
      <c r="E67" s="1187"/>
      <c r="F67" s="1188"/>
      <c r="O67" s="1894" t="s">
        <v>1039</v>
      </c>
      <c r="P67" s="1885" t="s">
        <v>1557</v>
      </c>
      <c r="Q67" s="1932">
        <f ca="1">L51</f>
        <v>18795</v>
      </c>
      <c r="R67" s="1886" t="s">
        <v>1577</v>
      </c>
    </row>
    <row r="68" spans="1:18" s="1842" customFormat="1" ht="16.5" thickBot="1">
      <c r="A68" s="1166" t="s">
        <v>1029</v>
      </c>
      <c r="B68" s="1167" t="s">
        <v>1480</v>
      </c>
      <c r="C68" s="346">
        <f ca="1">ROUND(C67*(1-((1+F70)/(1+F68))^F69)/(F68-F70),0)</f>
        <v>-9846</v>
      </c>
      <c r="D68" s="1184" t="s">
        <v>1464</v>
      </c>
      <c r="E68" s="1169" t="s">
        <v>1465</v>
      </c>
      <c r="F68" s="357">
        <f ca="1">F40</f>
        <v>4.4999999999999998E-2</v>
      </c>
      <c r="O68" s="1894" t="s">
        <v>1040</v>
      </c>
      <c r="P68" s="1933" t="s">
        <v>1578</v>
      </c>
      <c r="Q68" s="1886">
        <f ca="1">ROUND(Q69-Q70*Q71,0)</f>
        <v>991</v>
      </c>
      <c r="R68" s="1886" t="s">
        <v>1048</v>
      </c>
    </row>
    <row r="69" spans="1:18" s="1842" customFormat="1" ht="13.5" thickBot="1">
      <c r="A69" s="1170"/>
      <c r="B69" s="1171"/>
      <c r="C69" s="351"/>
      <c r="D69" s="1189" t="s">
        <v>1468</v>
      </c>
      <c r="E69" s="1169" t="s">
        <v>1469</v>
      </c>
      <c r="F69" s="379">
        <f ca="1">F41</f>
        <v>36.21</v>
      </c>
      <c r="O69" s="1894" t="s">
        <v>1045</v>
      </c>
      <c r="P69" s="1933" t="s">
        <v>1579</v>
      </c>
      <c r="Q69" s="1886">
        <f ca="1">C39</f>
        <v>1294</v>
      </c>
      <c r="R69" s="1886" t="s">
        <v>1524</v>
      </c>
    </row>
    <row r="70" spans="1:18" s="1842" customFormat="1" ht="13.5" thickBot="1">
      <c r="A70" s="1173"/>
      <c r="B70" s="1174"/>
      <c r="C70" s="355"/>
      <c r="D70" s="1185"/>
      <c r="E70" s="1169" t="s">
        <v>1472</v>
      </c>
      <c r="F70" s="1275"/>
      <c r="O70" s="1894" t="s">
        <v>1046</v>
      </c>
      <c r="P70" s="1933" t="s">
        <v>1580</v>
      </c>
      <c r="Q70" s="1886">
        <f ca="1">C13</f>
        <v>3560</v>
      </c>
      <c r="R70" s="1886" t="s">
        <v>1524</v>
      </c>
    </row>
    <row r="71" spans="1:18" s="1842" customFormat="1" ht="13.5" thickBot="1">
      <c r="A71" s="1190" t="s">
        <v>1030</v>
      </c>
      <c r="B71" s="1191" t="s">
        <v>1482</v>
      </c>
      <c r="C71" s="382">
        <f ca="1">ROUND(C68*10000/F71,0)</f>
        <v>-4867</v>
      </c>
      <c r="D71" s="1192" t="s">
        <v>1483</v>
      </c>
      <c r="E71" s="1193" t="s">
        <v>1484</v>
      </c>
      <c r="F71" s="385">
        <f ca="1">F43</f>
        <v>20228.240000000002</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303</v>
      </c>
      <c r="D75" s="1842"/>
      <c r="E75" s="1842"/>
      <c r="F75" s="1842"/>
      <c r="K75" s="1868"/>
      <c r="L75" s="1842"/>
      <c r="O75" s="1884" t="s">
        <v>1043</v>
      </c>
      <c r="P75" s="1885" t="s">
        <v>1544</v>
      </c>
      <c r="Q75" s="1886">
        <f ca="1">Q65+Q66</f>
        <v>32562</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0.76600000000000001</v>
      </c>
    </row>
    <row r="80" spans="1:18">
      <c r="B80" s="386" t="s">
        <v>1506</v>
      </c>
      <c r="C80" s="318">
        <f ca="1">ROUND(C75/C39,3)</f>
        <v>0.23400000000000001</v>
      </c>
    </row>
    <row r="81" spans="2:3">
      <c r="B81" s="314" t="s">
        <v>1507</v>
      </c>
      <c r="C81" s="282"/>
    </row>
    <row r="82" spans="2:3">
      <c r="B82" s="317" t="s">
        <v>1508</v>
      </c>
      <c r="C82" s="319">
        <f ca="1">1-C83</f>
        <v>0.89100000000000001</v>
      </c>
    </row>
    <row r="83" spans="2:3">
      <c r="B83" s="317" t="s">
        <v>1509</v>
      </c>
      <c r="C83" s="318">
        <f ca="1">ROUND(C13/C40,3)</f>
        <v>0.109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7" t="s">
        <v>1398</v>
      </c>
      <c r="C6" s="1296">
        <f ca="1">ROUND(F6*F8*F7*(1-F9),0)</f>
        <v>0</v>
      </c>
      <c r="D6" s="164" t="s">
        <v>3027</v>
      </c>
      <c r="E6" s="347" t="s">
        <v>1400</v>
      </c>
      <c r="F6" s="348">
        <f ca="1">INDIRECT("'数据-取费表'!u"&amp;$G$1)</f>
        <v>0</v>
      </c>
      <c r="G6" s="1851"/>
      <c r="H6" s="1291" t="s">
        <v>1032</v>
      </c>
      <c r="I6" s="3147" t="s">
        <v>1398</v>
      </c>
      <c r="J6" s="346">
        <f ca="1">ROUND(M6*M8*M7*(1-M9),0)</f>
        <v>0</v>
      </c>
      <c r="K6" s="1834" t="s">
        <v>3028</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3038</v>
      </c>
      <c r="E10" s="358" t="s">
        <v>1405</v>
      </c>
      <c r="F10" s="1366"/>
      <c r="G10" s="1851"/>
      <c r="H10" s="1291" t="s">
        <v>1036</v>
      </c>
      <c r="I10" s="1823" t="s">
        <v>1404</v>
      </c>
      <c r="J10" s="346">
        <f ca="1">ROUND(IF(M10="押一",J6/12*M11,IF(M10="押二",J6/12*2*M11,IF(M10="押三",J6/12*3*M11,J11*M11))),0)</f>
        <v>0</v>
      </c>
      <c r="K10" s="1835" t="s">
        <v>3040</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1.4999999999999999E-2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1.4999999999999999E-2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5.0000000000000001E-4</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3041</v>
      </c>
      <c r="E53" s="358" t="s">
        <v>1405</v>
      </c>
      <c r="F53" s="1366"/>
      <c r="I53" s="1905" t="s">
        <v>1542</v>
      </c>
      <c r="J53" s="2953">
        <f ca="1">IF(M47="住宅",IF(D1="——",MAX(J51,L48),MAX(J51,L48-'数据-取费表'!B24)),IF(D1="——",MIN(J51,L48),MIN(J51,L48-'数据-取费表'!B24)))</f>
        <v>0</v>
      </c>
      <c r="K53" s="3145" t="s">
        <v>1543</v>
      </c>
      <c r="L53" s="314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32562</v>
      </c>
      <c r="C2" s="2569" t="s">
        <v>2519</v>
      </c>
      <c r="D2" s="2570" t="s">
        <v>2520</v>
      </c>
      <c r="E2" s="2571">
        <f>SUM(E6:E13)</f>
        <v>20228.240000000002</v>
      </c>
    </row>
    <row r="3" spans="1:6" ht="15.75">
      <c r="A3" s="2567" t="s">
        <v>1390</v>
      </c>
      <c r="B3" s="2568">
        <f ca="1">ROUND(B2*10000/E2,0)</f>
        <v>16097</v>
      </c>
      <c r="C3" s="2569" t="s">
        <v>2527</v>
      </c>
      <c r="D3" s="2572"/>
      <c r="E3" s="2573"/>
    </row>
    <row r="4" spans="1:6" ht="15.75">
      <c r="A4" s="2574"/>
      <c r="B4" s="2572"/>
      <c r="C4" s="2572"/>
      <c r="D4" s="2572"/>
      <c r="E4" s="2573"/>
    </row>
    <row r="5" spans="1:6" ht="15">
      <c r="A5" s="2575" t="s">
        <v>2521</v>
      </c>
      <c r="B5" s="3150" t="s">
        <v>2522</v>
      </c>
      <c r="C5" s="3150"/>
      <c r="D5" s="2576"/>
      <c r="E5" s="2577" t="s">
        <v>2523</v>
      </c>
      <c r="F5" s="2578" t="s">
        <v>2524</v>
      </c>
    </row>
    <row r="6" spans="1:6">
      <c r="A6" s="2579" t="str">
        <f>'数据-取费表'!AN6</f>
        <v>收益法</v>
      </c>
      <c r="B6" s="2578">
        <f ca="1">IF(F6="是",'数据-取费表'!AO6,0)</f>
        <v>32562</v>
      </c>
      <c r="C6" s="2569" t="s">
        <v>2519</v>
      </c>
      <c r="D6" s="2572"/>
      <c r="E6" s="2580">
        <f>IF(OR(A6=0,F6="否"),0,'数据-取费表'!K6+'数据-取费表'!S6)</f>
        <v>20228.240000000002</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60"/>
      <c r="C21" s="3160"/>
      <c r="D21" s="3160"/>
      <c r="E21" s="3160"/>
      <c r="F21" s="3160"/>
      <c r="G21" s="3160"/>
      <c r="H21" s="1765">
        <v>0.1</v>
      </c>
      <c r="I21" s="1310">
        <f>ROUND(I10*H21,0)</f>
        <v>0</v>
      </c>
    </row>
    <row r="22" spans="1:9" ht="14.25">
      <c r="A22" s="3161" t="s">
        <v>1107</v>
      </c>
      <c r="B22" s="3162"/>
      <c r="C22" s="3163"/>
      <c r="D22" s="1317" t="s">
        <v>1108</v>
      </c>
      <c r="E22" s="1317" t="s">
        <v>1109</v>
      </c>
      <c r="F22" s="1318" t="s">
        <v>1110</v>
      </c>
      <c r="G22" s="1318" t="s">
        <v>1111</v>
      </c>
      <c r="H22" s="1311" t="s">
        <v>1112</v>
      </c>
      <c r="I22" s="1302" t="s">
        <v>1113</v>
      </c>
    </row>
    <row r="23" spans="1:9" ht="14.25" thickBot="1">
      <c r="A23" s="3164"/>
      <c r="B23" s="3165"/>
      <c r="C23" s="3166"/>
      <c r="D23" s="1319"/>
      <c r="E23" s="1319"/>
      <c r="F23" s="1319"/>
      <c r="G23" s="1320"/>
      <c r="H23" s="1321"/>
      <c r="I23" s="1322">
        <f>ROUND(E23*D23*F23*(1-G23)/10000,0)</f>
        <v>0</v>
      </c>
    </row>
    <row r="26" spans="1:9">
      <c r="A26" s="1323" t="s">
        <v>1114</v>
      </c>
      <c r="B26" s="1323"/>
      <c r="C26" s="1323"/>
      <c r="D26" s="1323"/>
      <c r="E26" s="3167">
        <f>C27-C30-C31-C32</f>
        <v>0</v>
      </c>
      <c r="F26" s="3167"/>
      <c r="G26" s="3167"/>
      <c r="H26" s="1737"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69" t="s">
        <v>1126</v>
      </c>
      <c r="B33" s="3170"/>
      <c r="C33" s="3170"/>
      <c r="D33" s="3171"/>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2534</v>
      </c>
      <c r="D3" s="399">
        <f>IF(D1="",'数据-汇总表'!E3,SUMIF('数据-汇总表'!$C19:$C33,D1,'数据-汇总表'!$E19:$E33))</f>
        <v>20228.240000000002</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190" t="s">
        <v>2536</v>
      </c>
      <c r="D4" s="3191"/>
      <c r="E4" s="3192" t="s">
        <v>2537</v>
      </c>
      <c r="F4" s="3193"/>
      <c r="G4" s="3190" t="s">
        <v>2538</v>
      </c>
      <c r="H4" s="3191"/>
      <c r="I4" s="3190" t="s">
        <v>2539</v>
      </c>
      <c r="J4" s="3191"/>
      <c r="K4" s="2599" t="s">
        <v>2540</v>
      </c>
      <c r="L4" s="1130"/>
      <c r="M4" s="1131"/>
      <c r="N4" s="1131"/>
      <c r="O4" s="1131"/>
      <c r="P4" s="3194" t="s">
        <v>2541</v>
      </c>
      <c r="Q4" s="3195"/>
      <c r="R4" s="3177" t="s">
        <v>2537</v>
      </c>
      <c r="S4" s="3178"/>
      <c r="T4" s="3177" t="s">
        <v>2538</v>
      </c>
      <c r="U4" s="3178"/>
      <c r="V4" s="3202" t="s">
        <v>2539</v>
      </c>
      <c r="W4" s="3202"/>
      <c r="X4" s="1813"/>
      <c r="Y4" s="3177" t="s">
        <v>2541</v>
      </c>
      <c r="Z4" s="3178"/>
      <c r="AA4" s="3172" t="s">
        <v>2537</v>
      </c>
      <c r="AB4" s="3172" t="s">
        <v>2538</v>
      </c>
      <c r="AC4" s="3172" t="s">
        <v>2539</v>
      </c>
    </row>
    <row r="5" spans="1:29" ht="15">
      <c r="A5" s="404"/>
      <c r="B5" s="405"/>
      <c r="C5" s="3183" t="s">
        <v>2542</v>
      </c>
      <c r="D5" s="3184"/>
      <c r="E5" s="3181" t="s">
        <v>2543</v>
      </c>
      <c r="F5" s="3182"/>
      <c r="G5" s="3183" t="s">
        <v>2544</v>
      </c>
      <c r="H5" s="3184"/>
      <c r="I5" s="3183" t="s">
        <v>2545</v>
      </c>
      <c r="J5" s="3184"/>
      <c r="K5" s="260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260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43707</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75" t="s">
        <v>2549</v>
      </c>
      <c r="Q7" s="3203"/>
      <c r="R7" s="770" t="s">
        <v>23</v>
      </c>
      <c r="S7" s="771">
        <f t="shared" ref="S7:S15" si="0">F7</f>
        <v>0</v>
      </c>
      <c r="T7" s="770" t="s">
        <v>23</v>
      </c>
      <c r="U7" s="771">
        <f t="shared" ref="U7:U15" si="1">H7</f>
        <v>0</v>
      </c>
      <c r="V7" s="770" t="s">
        <v>23</v>
      </c>
      <c r="W7" s="771">
        <f t="shared" ref="W7:W15" si="2">J7</f>
        <v>0</v>
      </c>
      <c r="X7" s="772"/>
      <c r="Y7" s="3175" t="s">
        <v>2549</v>
      </c>
      <c r="Z7" s="3176"/>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75" t="s">
        <v>2552</v>
      </c>
      <c r="Q8" s="3176"/>
      <c r="R8" s="770" t="s">
        <v>23</v>
      </c>
      <c r="S8" s="771">
        <f t="shared" si="0"/>
        <v>0</v>
      </c>
      <c r="T8" s="770" t="s">
        <v>23</v>
      </c>
      <c r="U8" s="771">
        <f t="shared" si="1"/>
        <v>0</v>
      </c>
      <c r="V8" s="770" t="s">
        <v>23</v>
      </c>
      <c r="W8" s="771">
        <f t="shared" si="2"/>
        <v>0</v>
      </c>
      <c r="X8" s="772"/>
      <c r="Y8" s="3175" t="s">
        <v>2552</v>
      </c>
      <c r="Z8" s="3176"/>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9"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2559</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2560</v>
      </c>
      <c r="Q15" s="1810" t="str">
        <f t="shared" si="6"/>
        <v>居住社区成熟度</v>
      </c>
      <c r="R15" s="774" t="s">
        <v>21</v>
      </c>
      <c r="S15" s="775">
        <f t="shared" si="0"/>
        <v>100</v>
      </c>
      <c r="T15" s="774" t="s">
        <v>21</v>
      </c>
      <c r="U15" s="775">
        <f t="shared" si="1"/>
        <v>100</v>
      </c>
      <c r="V15" s="774" t="s">
        <v>21</v>
      </c>
      <c r="W15" s="775">
        <f t="shared" si="2"/>
        <v>100</v>
      </c>
      <c r="X15" s="1813"/>
      <c r="Y15" s="3209"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1" t="s">
        <v>2565</v>
      </c>
      <c r="Q32" s="1810" t="str">
        <f t="shared" si="11"/>
        <v>建筑类型</v>
      </c>
      <c r="R32" s="774" t="s">
        <v>21</v>
      </c>
      <c r="S32" s="775">
        <f t="shared" si="12"/>
        <v>100</v>
      </c>
      <c r="T32" s="774" t="s">
        <v>21</v>
      </c>
      <c r="U32" s="775">
        <f t="shared" si="13"/>
        <v>100</v>
      </c>
      <c r="V32" s="774" t="s">
        <v>21</v>
      </c>
      <c r="W32" s="775">
        <f t="shared" si="14"/>
        <v>100</v>
      </c>
      <c r="X32" s="1813"/>
      <c r="Y32" s="3214"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2" t="s">
        <v>2565</v>
      </c>
      <c r="Q38" s="1810" t="str">
        <f t="shared" si="11"/>
        <v>物业管理</v>
      </c>
      <c r="R38" s="774" t="s">
        <v>21</v>
      </c>
      <c r="S38" s="775">
        <f t="shared" si="12"/>
        <v>100</v>
      </c>
      <c r="T38" s="774" t="s">
        <v>21</v>
      </c>
      <c r="U38" s="775">
        <f t="shared" si="13"/>
        <v>100</v>
      </c>
      <c r="V38" s="774" t="s">
        <v>21</v>
      </c>
      <c r="W38" s="775">
        <f t="shared" si="14"/>
        <v>100</v>
      </c>
      <c r="X38" s="1813"/>
      <c r="Y38" s="3214"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2327</v>
      </c>
      <c r="B2" s="1418" t="e">
        <f ca="1">IF(C2="——",ROUND(C49*D3/10000,0),ROUND(C49*D3/10000,0)-D2)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2329</v>
      </c>
      <c r="B3" s="609" t="e">
        <f ca="1">IF(C2="——",C49,ROUND(B2*10000/D3,0))</f>
        <v>#DIV/0!</v>
      </c>
      <c r="C3" s="400" t="s">
        <v>2644</v>
      </c>
      <c r="D3" s="399">
        <f>IF(D1="",'数据-汇总表'!E3,SUMIF('数据-汇总表'!$C19:$C33,D1,'数据-汇总表'!$E19:$E33))</f>
        <v>20228.240000000002</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202"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2548</v>
      </c>
      <c r="B7" s="409"/>
      <c r="C7" s="410">
        <f>'数据-取费表'!B2</f>
        <v>43707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2560</v>
      </c>
      <c r="Q15" s="1810" t="str">
        <f t="shared" si="6"/>
        <v>商业繁华度</v>
      </c>
      <c r="R15" s="774" t="s">
        <v>17</v>
      </c>
      <c r="S15" s="775">
        <f t="shared" si="0"/>
        <v>100</v>
      </c>
      <c r="T15" s="774" t="s">
        <v>17</v>
      </c>
      <c r="U15" s="775">
        <f t="shared" si="1"/>
        <v>100</v>
      </c>
      <c r="V15" s="774" t="s">
        <v>17</v>
      </c>
      <c r="W15" s="775">
        <f t="shared" si="2"/>
        <v>100</v>
      </c>
      <c r="X15" s="1813"/>
      <c r="Y15" s="3209"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1" t="s">
        <v>2565</v>
      </c>
      <c r="Q32" s="1810" t="str">
        <f t="shared" si="11"/>
        <v>商业类型</v>
      </c>
      <c r="R32" s="774" t="s">
        <v>17</v>
      </c>
      <c r="S32" s="775">
        <f t="shared" si="12"/>
        <v>100</v>
      </c>
      <c r="T32" s="774" t="s">
        <v>17</v>
      </c>
      <c r="U32" s="775">
        <f t="shared" si="13"/>
        <v>100</v>
      </c>
      <c r="V32" s="774" t="s">
        <v>17</v>
      </c>
      <c r="W32" s="775">
        <f t="shared" si="14"/>
        <v>100</v>
      </c>
      <c r="X32" s="1813"/>
      <c r="Y32" s="3214"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2" t="s">
        <v>2565</v>
      </c>
      <c r="Q38" s="1810" t="str">
        <f t="shared" si="11"/>
        <v>业态</v>
      </c>
      <c r="R38" s="774" t="s">
        <v>17</v>
      </c>
      <c r="S38" s="775">
        <f t="shared" si="12"/>
        <v>100</v>
      </c>
      <c r="T38" s="774" t="s">
        <v>17</v>
      </c>
      <c r="U38" s="775">
        <f t="shared" si="13"/>
        <v>100</v>
      </c>
      <c r="V38" s="774" t="s">
        <v>17</v>
      </c>
      <c r="W38" s="775">
        <f t="shared" si="14"/>
        <v>100</v>
      </c>
      <c r="X38" s="1813"/>
      <c r="Y38" s="3214"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20228.240000000002</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224" t="s">
        <v>2651</v>
      </c>
      <c r="Q4" s="3225"/>
      <c r="R4" s="3219" t="s">
        <v>2647</v>
      </c>
      <c r="S4" s="3220"/>
      <c r="T4" s="3219" t="s">
        <v>2648</v>
      </c>
      <c r="U4" s="3220"/>
      <c r="V4" s="3228" t="s">
        <v>2649</v>
      </c>
      <c r="W4" s="3228"/>
      <c r="X4" s="2673"/>
      <c r="Y4" s="3219" t="s">
        <v>2651</v>
      </c>
      <c r="Z4" s="3220"/>
      <c r="AA4" s="3218" t="s">
        <v>2647</v>
      </c>
      <c r="AB4" s="3218" t="s">
        <v>2648</v>
      </c>
      <c r="AC4" s="3221" t="s">
        <v>2649</v>
      </c>
    </row>
    <row r="5" spans="1:29" ht="15">
      <c r="A5" s="404"/>
      <c r="B5" s="405"/>
      <c r="C5" s="3183" t="s">
        <v>2542</v>
      </c>
      <c r="D5" s="3184"/>
      <c r="E5" s="3181" t="s">
        <v>2543</v>
      </c>
      <c r="F5" s="3182"/>
      <c r="G5" s="3183" t="s">
        <v>2544</v>
      </c>
      <c r="H5" s="3184"/>
      <c r="I5" s="3183" t="s">
        <v>2545</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2548</v>
      </c>
      <c r="B7" s="409"/>
      <c r="C7" s="410">
        <f>'数据-取费表'!B2</f>
        <v>43707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2552</v>
      </c>
      <c r="Q8" s="3176"/>
      <c r="R8" s="770" t="s">
        <v>17</v>
      </c>
      <c r="S8" s="771">
        <f t="shared" si="0"/>
        <v>0</v>
      </c>
      <c r="T8" s="770" t="s">
        <v>17</v>
      </c>
      <c r="U8" s="771">
        <f t="shared" si="1"/>
        <v>0</v>
      </c>
      <c r="V8" s="770" t="s">
        <v>17</v>
      </c>
      <c r="W8" s="771">
        <f t="shared" si="2"/>
        <v>0</v>
      </c>
      <c r="X8" s="772"/>
      <c r="Y8" s="3175" t="s">
        <v>2552</v>
      </c>
      <c r="Z8" s="3176"/>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2560</v>
      </c>
      <c r="Q15" s="1810" t="str">
        <f t="shared" si="6"/>
        <v>办公集聚程度</v>
      </c>
      <c r="R15" s="774" t="s">
        <v>17</v>
      </c>
      <c r="S15" s="775">
        <f t="shared" si="0"/>
        <v>100</v>
      </c>
      <c r="T15" s="774" t="s">
        <v>17</v>
      </c>
      <c r="U15" s="775">
        <f t="shared" si="1"/>
        <v>100</v>
      </c>
      <c r="V15" s="774" t="s">
        <v>17</v>
      </c>
      <c r="W15" s="775">
        <f t="shared" si="2"/>
        <v>100</v>
      </c>
      <c r="X15" s="1813"/>
      <c r="Y15" s="3209" t="s">
        <v>2560</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7"/>
      <c r="Q22" s="1810"/>
      <c r="R22" s="774"/>
      <c r="S22" s="775"/>
      <c r="T22" s="774"/>
      <c r="U22" s="775"/>
      <c r="V22" s="774"/>
      <c r="W22" s="775"/>
      <c r="X22" s="1813"/>
      <c r="Y22" s="3210"/>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1" t="s">
        <v>2565</v>
      </c>
      <c r="Q33" s="1810" t="str">
        <f t="shared" si="11"/>
        <v>建筑类型</v>
      </c>
      <c r="R33" s="774" t="s">
        <v>17</v>
      </c>
      <c r="S33" s="775">
        <f t="shared" si="12"/>
        <v>100</v>
      </c>
      <c r="T33" s="774" t="s">
        <v>17</v>
      </c>
      <c r="U33" s="775">
        <f t="shared" si="13"/>
        <v>100</v>
      </c>
      <c r="V33" s="774" t="s">
        <v>17</v>
      </c>
      <c r="W33" s="775">
        <f t="shared" si="14"/>
        <v>100</v>
      </c>
      <c r="X33" s="1813"/>
      <c r="Y33" s="3214"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2565</v>
      </c>
      <c r="Q39" s="1810" t="str">
        <f t="shared" si="11"/>
        <v>物业管理</v>
      </c>
      <c r="R39" s="774" t="s">
        <v>17</v>
      </c>
      <c r="S39" s="775">
        <f t="shared" si="12"/>
        <v>100</v>
      </c>
      <c r="T39" s="774" t="s">
        <v>17</v>
      </c>
      <c r="U39" s="775">
        <f t="shared" si="13"/>
        <v>100</v>
      </c>
      <c r="V39" s="774" t="s">
        <v>17</v>
      </c>
      <c r="W39" s="775">
        <f t="shared" si="14"/>
        <v>100</v>
      </c>
      <c r="X39" s="1813"/>
      <c r="Y39" s="3214" t="s">
        <v>2565</v>
      </c>
      <c r="Z39" s="1814" t="str">
        <f t="shared" si="15"/>
        <v>物业管理</v>
      </c>
      <c r="AA39" s="1811">
        <f t="shared" si="3"/>
        <v>1</v>
      </c>
      <c r="AB39" s="1811">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7">
        <f t="shared" si="5"/>
        <v>1</v>
      </c>
    </row>
    <row r="48" spans="1:29" ht="15">
      <c r="A48" s="479" t="s">
        <v>2577</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2588</v>
      </c>
      <c r="B64" s="528" t="s">
        <v>2554</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2699</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2614</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20228.240000000002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43707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2560</v>
      </c>
      <c r="Q15" s="1810" t="str">
        <f t="shared" si="6"/>
        <v>产业集聚程度</v>
      </c>
      <c r="R15" s="774" t="s">
        <v>17</v>
      </c>
      <c r="S15" s="775">
        <f t="shared" si="0"/>
        <v>100</v>
      </c>
      <c r="T15" s="774" t="s">
        <v>17</v>
      </c>
      <c r="U15" s="775">
        <f t="shared" si="1"/>
        <v>100</v>
      </c>
      <c r="V15" s="774" t="s">
        <v>17</v>
      </c>
      <c r="W15" s="775">
        <f t="shared" si="2"/>
        <v>100</v>
      </c>
      <c r="X15" s="1813"/>
      <c r="Y15" s="3209"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3" t="s">
        <v>2565</v>
      </c>
      <c r="Q29" s="1810" t="str">
        <f t="shared" si="11"/>
        <v>建筑类型</v>
      </c>
      <c r="R29" s="774" t="s">
        <v>17</v>
      </c>
      <c r="S29" s="775">
        <f t="shared" si="12"/>
        <v>100</v>
      </c>
      <c r="T29" s="774" t="s">
        <v>17</v>
      </c>
      <c r="U29" s="775">
        <f t="shared" si="13"/>
        <v>100</v>
      </c>
      <c r="V29" s="774" t="s">
        <v>17</v>
      </c>
      <c r="W29" s="775">
        <f t="shared" si="14"/>
        <v>100</v>
      </c>
      <c r="X29" s="1813"/>
      <c r="Y29" s="3214"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2565</v>
      </c>
      <c r="Q35" s="1810" t="str">
        <f t="shared" si="11"/>
        <v>市政基础设施</v>
      </c>
      <c r="R35" s="774" t="s">
        <v>17</v>
      </c>
      <c r="S35" s="775">
        <f t="shared" si="12"/>
        <v>100</v>
      </c>
      <c r="T35" s="774" t="s">
        <v>17</v>
      </c>
      <c r="U35" s="775">
        <f t="shared" si="13"/>
        <v>100</v>
      </c>
      <c r="V35" s="774" t="s">
        <v>17</v>
      </c>
      <c r="W35" s="775">
        <f t="shared" si="14"/>
        <v>100</v>
      </c>
      <c r="X35" s="1813"/>
      <c r="Y35" s="3214"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估价对象为房地产，为所有。根据《国有土地使用证》[]，估价对象（分摊）出让国有建设用地使用权面积为73586.24平方米，建筑面积为20228.24平方米。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估价对象为房地产,为开发建设的，该项目尚在开发建设中。根据《国有土地使用证》[]，估价对象（分摊）出让国有建设用地使用权面积为73586.24平方米，规划建筑面积为20228.24平方米。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2019年8月30日（评估专业人员实地查勘之日）</v>
      </c>
    </row>
    <row r="16" spans="1:1" ht="18.75">
      <c r="A16" s="1952" t="s">
        <v>1614</v>
      </c>
    </row>
    <row r="17" spans="1:1" ht="75">
      <c r="A17" s="1947" t="s">
        <v>1615</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43707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2549</v>
      </c>
      <c r="Q7" s="3203"/>
      <c r="R7" s="770" t="s">
        <v>17</v>
      </c>
      <c r="S7" s="771">
        <f t="shared" ref="S7:S14" si="0">F7</f>
        <v>0</v>
      </c>
      <c r="T7" s="770" t="s">
        <v>17</v>
      </c>
      <c r="U7" s="771">
        <f t="shared" ref="U7:U14" si="1">H7</f>
        <v>0</v>
      </c>
      <c r="V7" s="770" t="s">
        <v>17</v>
      </c>
      <c r="W7" s="771">
        <f t="shared" ref="W7:W14" si="2">J7</f>
        <v>0</v>
      </c>
      <c r="X7" s="772"/>
      <c r="Y7" s="3175" t="s">
        <v>2549</v>
      </c>
      <c r="Z7" s="3176"/>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2555</v>
      </c>
      <c r="Q9" s="1795" t="str">
        <f t="shared" ref="Q9:Q14" si="6">B9</f>
        <v>用途</v>
      </c>
      <c r="R9" s="770" t="s">
        <v>17</v>
      </c>
      <c r="S9" s="771">
        <f t="shared" si="0"/>
        <v>100</v>
      </c>
      <c r="T9" s="770" t="s">
        <v>17</v>
      </c>
      <c r="U9" s="771">
        <f t="shared" si="1"/>
        <v>100</v>
      </c>
      <c r="V9" s="770" t="s">
        <v>17</v>
      </c>
      <c r="W9" s="771">
        <f t="shared" si="2"/>
        <v>100</v>
      </c>
      <c r="X9" s="772"/>
      <c r="Y9" s="3022"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2560</v>
      </c>
      <c r="Q14" s="1810" t="str">
        <f t="shared" si="6"/>
        <v>交通便捷度</v>
      </c>
      <c r="R14" s="774" t="s">
        <v>17</v>
      </c>
      <c r="S14" s="775">
        <f t="shared" si="0"/>
        <v>100</v>
      </c>
      <c r="T14" s="774" t="s">
        <v>17</v>
      </c>
      <c r="U14" s="775">
        <f t="shared" si="1"/>
        <v>100</v>
      </c>
      <c r="V14" s="774" t="s">
        <v>17</v>
      </c>
      <c r="W14" s="775">
        <f t="shared" si="2"/>
        <v>100</v>
      </c>
      <c r="X14" s="1813"/>
      <c r="Y14" s="3209"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2565</v>
      </c>
      <c r="Q32" s="1810" t="str">
        <f t="shared" si="11"/>
        <v>车位类型</v>
      </c>
      <c r="R32" s="774" t="s">
        <v>17</v>
      </c>
      <c r="S32" s="775">
        <f t="shared" si="12"/>
        <v>100</v>
      </c>
      <c r="T32" s="774" t="s">
        <v>17</v>
      </c>
      <c r="U32" s="775">
        <f t="shared" si="13"/>
        <v>100</v>
      </c>
      <c r="V32" s="774" t="s">
        <v>17</v>
      </c>
      <c r="W32" s="775">
        <f t="shared" si="14"/>
        <v>100</v>
      </c>
      <c r="X32" s="1813"/>
      <c r="Y32" s="3214"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43707</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75" t="s">
        <v>2549</v>
      </c>
      <c r="Q7" s="3203"/>
      <c r="R7" s="770" t="s">
        <v>17</v>
      </c>
      <c r="S7" s="771">
        <f t="shared" ref="S7:S14" si="0">F7</f>
        <v>0</v>
      </c>
      <c r="T7" s="770" t="s">
        <v>17</v>
      </c>
      <c r="U7" s="771">
        <f t="shared" ref="U7:U14" si="1">H7</f>
        <v>0</v>
      </c>
      <c r="V7" s="770" t="s">
        <v>17</v>
      </c>
      <c r="W7" s="771">
        <f t="shared" ref="W7:W14" si="2">J7</f>
        <v>0</v>
      </c>
      <c r="X7" s="772"/>
      <c r="Y7" s="3175" t="s">
        <v>2549</v>
      </c>
      <c r="Z7" s="3176"/>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2555</v>
      </c>
      <c r="Q9" s="1795" t="str">
        <f t="shared" ref="Q9:Q14" si="6">B9</f>
        <v>用途</v>
      </c>
      <c r="R9" s="770" t="s">
        <v>17</v>
      </c>
      <c r="S9" s="771">
        <f t="shared" si="0"/>
        <v>100</v>
      </c>
      <c r="T9" s="770" t="s">
        <v>17</v>
      </c>
      <c r="U9" s="771">
        <f t="shared" si="1"/>
        <v>100</v>
      </c>
      <c r="V9" s="770" t="s">
        <v>17</v>
      </c>
      <c r="W9" s="771">
        <f t="shared" si="2"/>
        <v>100</v>
      </c>
      <c r="X9" s="772"/>
      <c r="Y9" s="3022"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2560</v>
      </c>
      <c r="Q14" s="1810" t="str">
        <f t="shared" si="6"/>
        <v>交通便捷度</v>
      </c>
      <c r="R14" s="774" t="s">
        <v>17</v>
      </c>
      <c r="S14" s="775">
        <f t="shared" si="0"/>
        <v>100</v>
      </c>
      <c r="T14" s="774" t="s">
        <v>17</v>
      </c>
      <c r="U14" s="775">
        <f t="shared" si="1"/>
        <v>100</v>
      </c>
      <c r="V14" s="774" t="s">
        <v>17</v>
      </c>
      <c r="W14" s="775">
        <f t="shared" si="2"/>
        <v>100</v>
      </c>
      <c r="X14" s="1813"/>
      <c r="Y14" s="3209"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3"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2565</v>
      </c>
      <c r="Q32" s="1810">
        <f t="shared" si="11"/>
        <v>111</v>
      </c>
      <c r="R32" s="774" t="s">
        <v>17</v>
      </c>
      <c r="S32" s="775">
        <f t="shared" si="12"/>
        <v>100</v>
      </c>
      <c r="T32" s="774" t="s">
        <v>17</v>
      </c>
      <c r="U32" s="775">
        <f t="shared" si="13"/>
        <v>100</v>
      </c>
      <c r="V32" s="774" t="s">
        <v>17</v>
      </c>
      <c r="W32" s="775">
        <f t="shared" si="14"/>
        <v>100</v>
      </c>
      <c r="X32" s="1813"/>
      <c r="Y32" s="3214"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30" ht="15">
      <c r="A5" s="404"/>
      <c r="B5" s="405"/>
      <c r="C5" s="3183" t="s">
        <v>2542</v>
      </c>
      <c r="D5" s="3184"/>
      <c r="E5" s="3181" t="s">
        <v>2543</v>
      </c>
      <c r="F5" s="3182"/>
      <c r="G5" s="3183" t="s">
        <v>2544</v>
      </c>
      <c r="H5" s="3184"/>
      <c r="I5" s="3183" t="s">
        <v>2545</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2546</v>
      </c>
      <c r="D6" s="3186"/>
      <c r="E6" s="3187" t="s">
        <v>2546</v>
      </c>
      <c r="F6" s="3188"/>
      <c r="G6" s="3185" t="s">
        <v>2546</v>
      </c>
      <c r="H6" s="3186"/>
      <c r="I6" s="3185" t="s">
        <v>2546</v>
      </c>
      <c r="J6" s="3186"/>
      <c r="K6" s="610" t="s">
        <v>2547</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2548</v>
      </c>
      <c r="B7" s="409"/>
      <c r="C7" s="410">
        <f>'数据-取费表'!B2</f>
        <v>43707</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75" t="s">
        <v>2549</v>
      </c>
      <c r="Q7" s="3203"/>
      <c r="R7" s="770" t="s">
        <v>17</v>
      </c>
      <c r="S7" s="771">
        <f t="shared" ref="S7:S15" si="0">F7</f>
        <v>0</v>
      </c>
      <c r="T7" s="770" t="s">
        <v>17</v>
      </c>
      <c r="U7" s="771">
        <f t="shared" ref="U7:U15" si="1">H7</f>
        <v>0</v>
      </c>
      <c r="V7" s="770" t="s">
        <v>17</v>
      </c>
      <c r="W7" s="771">
        <f t="shared" ref="W7:W15" si="2">J7</f>
        <v>0</v>
      </c>
      <c r="X7" s="772"/>
      <c r="Y7" s="3175" t="s">
        <v>2549</v>
      </c>
      <c r="Z7" s="3176"/>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2552</v>
      </c>
      <c r="Q8" s="3176"/>
      <c r="R8" s="770" t="s">
        <v>17</v>
      </c>
      <c r="S8" s="771">
        <f t="shared" si="0"/>
        <v>0</v>
      </c>
      <c r="T8" s="770" t="s">
        <v>17</v>
      </c>
      <c r="U8" s="771">
        <f t="shared" si="1"/>
        <v>0</v>
      </c>
      <c r="V8" s="770" t="s">
        <v>17</v>
      </c>
      <c r="W8" s="771">
        <f t="shared" si="2"/>
        <v>0</v>
      </c>
      <c r="X8" s="772"/>
      <c r="Y8" s="3175" t="s">
        <v>2552</v>
      </c>
      <c r="Z8" s="3176"/>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7"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07"/>
      <c r="Q10" s="1795"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2559</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2560</v>
      </c>
      <c r="Q15" s="1810" t="str">
        <f t="shared" si="6"/>
        <v>居住社区成熟度</v>
      </c>
      <c r="R15" s="774" t="s">
        <v>17</v>
      </c>
      <c r="S15" s="775">
        <f t="shared" si="0"/>
        <v>100</v>
      </c>
      <c r="T15" s="774" t="s">
        <v>17</v>
      </c>
      <c r="U15" s="775">
        <f t="shared" si="1"/>
        <v>100</v>
      </c>
      <c r="V15" s="774" t="s">
        <v>17</v>
      </c>
      <c r="W15" s="775">
        <f t="shared" si="2"/>
        <v>100</v>
      </c>
      <c r="X15" s="1813"/>
      <c r="Y15" s="3209"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2565</v>
      </c>
      <c r="Q36" s="1810">
        <f t="shared" si="8"/>
        <v>111</v>
      </c>
      <c r="R36" s="774" t="s">
        <v>17</v>
      </c>
      <c r="S36" s="775">
        <f t="shared" si="10"/>
        <v>100</v>
      </c>
      <c r="T36" s="774" t="s">
        <v>17</v>
      </c>
      <c r="U36" s="775">
        <f t="shared" si="11"/>
        <v>100</v>
      </c>
      <c r="V36" s="774" t="s">
        <v>17</v>
      </c>
      <c r="W36" s="775">
        <f t="shared" si="12"/>
        <v>100</v>
      </c>
      <c r="X36" s="1813"/>
      <c r="Y36" s="3214"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4" t="s">
        <v>2565</v>
      </c>
      <c r="Q42" s="1810" t="str">
        <f t="shared" si="14"/>
        <v>工程地质条件</v>
      </c>
      <c r="R42" s="774" t="s">
        <v>17</v>
      </c>
      <c r="S42" s="775">
        <f t="shared" si="10"/>
        <v>100</v>
      </c>
      <c r="T42" s="774" t="s">
        <v>17</v>
      </c>
      <c r="U42" s="775">
        <f t="shared" si="11"/>
        <v>100</v>
      </c>
      <c r="V42" s="774" t="s">
        <v>17</v>
      </c>
      <c r="W42" s="775">
        <f t="shared" si="12"/>
        <v>100</v>
      </c>
      <c r="X42" s="1813"/>
      <c r="Y42" s="3214"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190" t="s">
        <v>2764</v>
      </c>
      <c r="H55" s="3236"/>
      <c r="I55" s="144" t="s">
        <v>2765</v>
      </c>
      <c r="J55" s="2710">
        <f>项目基本情况!F35</f>
        <v>0</v>
      </c>
      <c r="K55" s="2711" t="s">
        <v>2766</v>
      </c>
      <c r="L55" s="1106"/>
      <c r="M55" s="1144"/>
      <c r="N55" s="1144"/>
      <c r="O55" s="1144"/>
    </row>
    <row r="56" spans="1:15" s="692" customFormat="1">
      <c r="A56" s="688" t="s">
        <v>2767</v>
      </c>
      <c r="B56" s="689" t="e">
        <f>C48</f>
        <v>#DIV/0!</v>
      </c>
      <c r="C56" s="690">
        <v>1</v>
      </c>
      <c r="D56" s="1163">
        <v>1</v>
      </c>
      <c r="E56" s="690">
        <f>'数据-汇总表'!E8+'数据-汇总表'!E9</f>
        <v>19982.990000000002</v>
      </c>
      <c r="F56" s="1103" t="e">
        <f t="shared" ref="F56:F65" si="15">ROUND(B56*E56/10000,0)</f>
        <v>#DIV/0!</v>
      </c>
      <c r="G56" s="3189"/>
      <c r="H56" s="3207"/>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37"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37"/>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37"/>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37"/>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19982.990000000002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2783</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K11" sqref="K1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20185</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9979</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0" t="s">
        <v>2646</v>
      </c>
      <c r="D4" s="3191"/>
      <c r="E4" s="3192" t="s">
        <v>2647</v>
      </c>
      <c r="F4" s="3193"/>
      <c r="G4" s="3190" t="s">
        <v>2648</v>
      </c>
      <c r="H4" s="3191"/>
      <c r="I4" s="3190" t="s">
        <v>2649</v>
      </c>
      <c r="J4" s="3191"/>
      <c r="K4" s="610" t="s">
        <v>2650</v>
      </c>
      <c r="L4" s="1130"/>
      <c r="M4" s="1131"/>
      <c r="N4" s="1131"/>
      <c r="O4" s="1131"/>
      <c r="P4" s="3194" t="s">
        <v>2651</v>
      </c>
      <c r="Q4" s="3195"/>
      <c r="R4" s="3177" t="s">
        <v>2647</v>
      </c>
      <c r="S4" s="3178"/>
      <c r="T4" s="3177" t="s">
        <v>2648</v>
      </c>
      <c r="U4" s="3178"/>
      <c r="V4" s="3202" t="s">
        <v>2649</v>
      </c>
      <c r="W4" s="3202"/>
      <c r="X4" s="1813"/>
      <c r="Y4" s="3177" t="s">
        <v>2651</v>
      </c>
      <c r="Z4" s="3178"/>
      <c r="AA4" s="3172" t="s">
        <v>2647</v>
      </c>
      <c r="AB4" s="3173" t="s">
        <v>2648</v>
      </c>
      <c r="AC4" s="3172" t="s">
        <v>2649</v>
      </c>
    </row>
    <row r="5" spans="1:29" ht="15">
      <c r="A5" s="404"/>
      <c r="B5" s="405"/>
      <c r="C5" s="3183" t="s">
        <v>2542</v>
      </c>
      <c r="D5" s="3184"/>
      <c r="E5" s="3181" t="str">
        <f>Sheet2!A2</f>
        <v>顺义区赵全营镇SY04-0100-6006-3地块M4工业研发项目</v>
      </c>
      <c r="F5" s="3182"/>
      <c r="G5" s="3183" t="str">
        <f>Sheet2!A3</f>
        <v>顺义区SY02-0200-6001、6002地块M4工业研发项目</v>
      </c>
      <c r="H5" s="3184"/>
      <c r="I5" s="3183" t="str">
        <f>Sheet2!A4</f>
        <v>顺义区赵全营镇SY04-0100-6006-4地块M4工业研发项目</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2797</v>
      </c>
      <c r="D6" s="3239"/>
      <c r="E6" s="3240" t="s">
        <v>2797</v>
      </c>
      <c r="F6" s="3241"/>
      <c r="G6" s="3238" t="s">
        <v>2797</v>
      </c>
      <c r="H6" s="3239"/>
      <c r="I6" s="3238" t="s">
        <v>2797</v>
      </c>
      <c r="J6" s="3239"/>
      <c r="K6" s="610" t="s">
        <v>2547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2548</v>
      </c>
      <c r="B7" s="409"/>
      <c r="C7" s="410">
        <f>'数据-取费表'!B2</f>
        <v>43707</v>
      </c>
      <c r="D7" s="411">
        <v>100</v>
      </c>
      <c r="E7" s="412" t="str">
        <f>Sheet2!H2</f>
        <v>2019-07-16</v>
      </c>
      <c r="F7" s="413">
        <f>SUMIF(65:65,YEAR(E7)&amp;"-"&amp;INT((MONTH(E7)+2)/3),66:66)</f>
        <v>100</v>
      </c>
      <c r="G7" s="2699" t="str">
        <f>Sheet2!H3</f>
        <v>2019-04-22</v>
      </c>
      <c r="H7" s="411">
        <f>SUMIF(65:65,YEAR(G7)&amp;"-"&amp;INT((MONTH(G7)+2)/3),66:66)</f>
        <v>99.5</v>
      </c>
      <c r="I7" s="2699" t="str">
        <f>Sheet2!H4</f>
        <v>2019-04-22</v>
      </c>
      <c r="J7" s="411">
        <f>SUMIF(65:65,YEAR(I7)&amp;"-"&amp;INT((MONTH(I7)+2)/3),66:66)</f>
        <v>99.5</v>
      </c>
      <c r="K7" s="611"/>
      <c r="L7" s="1132"/>
      <c r="M7" s="1133"/>
      <c r="N7" s="1133"/>
      <c r="O7" s="1133"/>
      <c r="P7" s="3175" t="s">
        <v>2549</v>
      </c>
      <c r="Q7" s="3203"/>
      <c r="R7" s="770" t="s">
        <v>17</v>
      </c>
      <c r="S7" s="771">
        <f t="shared" ref="S7:S15" si="0">F7</f>
        <v>100</v>
      </c>
      <c r="T7" s="770" t="s">
        <v>17</v>
      </c>
      <c r="U7" s="771">
        <f t="shared" ref="U7:U15" si="1">H7</f>
        <v>99.5</v>
      </c>
      <c r="V7" s="770" t="s">
        <v>17</v>
      </c>
      <c r="W7" s="771">
        <f t="shared" ref="W7:W15" si="2">J7</f>
        <v>99.5</v>
      </c>
      <c r="X7" s="772"/>
      <c r="Y7" s="3175" t="s">
        <v>2549</v>
      </c>
      <c r="Z7" s="3176"/>
      <c r="AA7" s="773">
        <f>D7/F7</f>
        <v>1</v>
      </c>
      <c r="AB7" s="773">
        <f>D7/H7</f>
        <v>1.0050251256281406</v>
      </c>
      <c r="AC7" s="773">
        <f>D7/J7</f>
        <v>1.0050251256281406</v>
      </c>
    </row>
    <row r="8" spans="1:29" s="117" customFormat="1" ht="15.75" thickBot="1">
      <c r="A8" s="408" t="s">
        <v>2550</v>
      </c>
      <c r="B8" s="409"/>
      <c r="C8" s="414" t="s">
        <v>2551</v>
      </c>
      <c r="D8" s="411">
        <v>100</v>
      </c>
      <c r="E8" s="414" t="s">
        <v>2551</v>
      </c>
      <c r="F8" s="413">
        <f>SUMIF(68:68,E8,69:69)-SUMIF(68:68,C8,69:69)+100</f>
        <v>100</v>
      </c>
      <c r="G8" s="414" t="s">
        <v>2551</v>
      </c>
      <c r="H8" s="411">
        <f>SUMIF(68:68,G8,69:69)-SUMIF(68:68,C8,69:69)+100</f>
        <v>100</v>
      </c>
      <c r="I8" s="414" t="s">
        <v>2551</v>
      </c>
      <c r="J8" s="411">
        <f>SUMIF(68:68,I8,69:69)-SUMIF(68:68,C8,69:69)+100</f>
        <v>100</v>
      </c>
      <c r="K8" s="611"/>
      <c r="L8" s="1132"/>
      <c r="M8" s="1133"/>
      <c r="N8" s="1133"/>
      <c r="O8" s="1133"/>
      <c r="P8" s="3175" t="s">
        <v>2552</v>
      </c>
      <c r="Q8" s="3176"/>
      <c r="R8" s="770" t="s">
        <v>17</v>
      </c>
      <c r="S8" s="771">
        <f t="shared" si="0"/>
        <v>100</v>
      </c>
      <c r="T8" s="770" t="s">
        <v>17</v>
      </c>
      <c r="U8" s="771">
        <f t="shared" si="1"/>
        <v>100</v>
      </c>
      <c r="V8" s="770" t="s">
        <v>17</v>
      </c>
      <c r="W8" s="771">
        <f t="shared" si="2"/>
        <v>100</v>
      </c>
      <c r="X8" s="772"/>
      <c r="Y8" s="3175" t="s">
        <v>2552</v>
      </c>
      <c r="Z8" s="3176"/>
      <c r="AA8" s="773">
        <f t="shared" ref="AA8:AA40" si="3">D8/F8</f>
        <v>1</v>
      </c>
      <c r="AB8" s="773">
        <f t="shared" ref="AB8:AB40" si="4">D8/H8</f>
        <v>1</v>
      </c>
      <c r="AC8" s="773">
        <f t="shared" ref="AC8:AC40" si="5">D8/J8</f>
        <v>1</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7" t="s">
        <v>2555</v>
      </c>
      <c r="Q9" s="1795" t="str">
        <f t="shared" ref="Q9:Q15" si="6">B9</f>
        <v>用途</v>
      </c>
      <c r="R9" s="770" t="s">
        <v>17</v>
      </c>
      <c r="S9" s="771">
        <f t="shared" si="0"/>
        <v>100</v>
      </c>
      <c r="T9" s="770" t="s">
        <v>17</v>
      </c>
      <c r="U9" s="771">
        <f t="shared" si="1"/>
        <v>100</v>
      </c>
      <c r="V9" s="770" t="s">
        <v>17</v>
      </c>
      <c r="W9" s="771">
        <f t="shared" si="2"/>
        <v>100</v>
      </c>
      <c r="X9" s="772"/>
      <c r="Y9" s="3022"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07"/>
      <c r="Q10" s="1795"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29" ht="15">
      <c r="A11" s="428"/>
      <c r="B11" s="422" t="s">
        <v>2558</v>
      </c>
      <c r="C11" s="429">
        <f>'数据-汇总表'!I4</f>
        <v>0.27</v>
      </c>
      <c r="D11" s="136">
        <v>100</v>
      </c>
      <c r="E11" s="429">
        <v>1.8</v>
      </c>
      <c r="F11" s="136">
        <f>LOOKUP(E11,75:75,76:76)-LOOKUP(C11,75:75,76:76)+100</f>
        <v>106</v>
      </c>
      <c r="G11" s="430">
        <v>2</v>
      </c>
      <c r="H11" s="136">
        <f>LOOKUP(G11,75:75,76:76)-LOOKUP(C11,75:75,76:76)+100</f>
        <v>108</v>
      </c>
      <c r="I11" s="429">
        <v>1.8</v>
      </c>
      <c r="J11" s="136">
        <f>LOOKUP(I11,75:75,76:76)-LOOKUP(C11,75:75,76:76)+100</f>
        <v>106</v>
      </c>
      <c r="K11" s="673">
        <v>2</v>
      </c>
      <c r="L11" s="1138"/>
      <c r="M11" s="1131"/>
      <c r="N11" s="1131"/>
      <c r="O11" s="1139"/>
      <c r="P11" s="3207"/>
      <c r="Q11" s="1795" t="str">
        <f t="shared" si="6"/>
        <v>容积率</v>
      </c>
      <c r="R11" s="770" t="s">
        <v>17</v>
      </c>
      <c r="S11" s="771">
        <f t="shared" si="0"/>
        <v>106</v>
      </c>
      <c r="T11" s="770" t="s">
        <v>17</v>
      </c>
      <c r="U11" s="771">
        <f t="shared" si="1"/>
        <v>108</v>
      </c>
      <c r="V11" s="770" t="s">
        <v>17</v>
      </c>
      <c r="W11" s="771">
        <f t="shared" si="2"/>
        <v>106</v>
      </c>
      <c r="X11" s="772"/>
      <c r="Y11" s="3022"/>
      <c r="Z11" s="55" t="str">
        <f t="shared" si="7"/>
        <v>容积率</v>
      </c>
      <c r="AA11" s="773">
        <f t="shared" si="3"/>
        <v>0.94339622641509435</v>
      </c>
      <c r="AB11" s="773">
        <f t="shared" si="4"/>
        <v>0.92592592592592593</v>
      </c>
      <c r="AC11" s="773">
        <f t="shared" si="5"/>
        <v>0.94339622641509435</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2560</v>
      </c>
      <c r="Q15" s="1810" t="str">
        <f t="shared" si="6"/>
        <v>产业集聚程度</v>
      </c>
      <c r="R15" s="774" t="s">
        <v>17</v>
      </c>
      <c r="S15" s="775">
        <f t="shared" si="0"/>
        <v>100</v>
      </c>
      <c r="T15" s="774" t="s">
        <v>17</v>
      </c>
      <c r="U15" s="775">
        <f t="shared" si="1"/>
        <v>100</v>
      </c>
      <c r="V15" s="774" t="s">
        <v>17</v>
      </c>
      <c r="W15" s="775">
        <f t="shared" si="2"/>
        <v>100</v>
      </c>
      <c r="X15" s="1813"/>
      <c r="Y15" s="3209"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2565</v>
      </c>
      <c r="Q32" s="1810">
        <f t="shared" si="8"/>
        <v>111</v>
      </c>
      <c r="R32" s="774" t="s">
        <v>17</v>
      </c>
      <c r="S32" s="775">
        <f t="shared" si="10"/>
        <v>100</v>
      </c>
      <c r="T32" s="774" t="s">
        <v>17</v>
      </c>
      <c r="U32" s="775">
        <f t="shared" si="11"/>
        <v>100</v>
      </c>
      <c r="V32" s="774" t="s">
        <v>17</v>
      </c>
      <c r="W32" s="775">
        <f t="shared" si="12"/>
        <v>100</v>
      </c>
      <c r="X32" s="1813"/>
      <c r="Y32" s="3214"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2563</v>
      </c>
      <c r="B34" s="456" t="s">
        <v>2751</v>
      </c>
      <c r="C34" s="679">
        <f>'数据-汇总表'!D3</f>
        <v>73586.240000000005</v>
      </c>
      <c r="D34" s="467">
        <v>100</v>
      </c>
      <c r="E34" s="679">
        <f>Sheet2!D2</f>
        <v>16697.47</v>
      </c>
      <c r="F34" s="467">
        <f>LOOKUP(E34,108:108,109:109)-LOOKUP(C34,108:108,109:109)+100</f>
        <v>94</v>
      </c>
      <c r="G34" s="679">
        <f>Sheet2!D3</f>
        <v>46618.33</v>
      </c>
      <c r="H34" s="467">
        <f>LOOKUP(G34,108:108,109:109)-LOOKUP(C34,108:108,109:109)+100</f>
        <v>98</v>
      </c>
      <c r="I34" s="530">
        <f>Sheet2!D4</f>
        <v>8700</v>
      </c>
      <c r="J34" s="467">
        <f>LOOKUP(I34,108:108,109:109)-LOOKUP(C34,108:108,109:109)+100</f>
        <v>94</v>
      </c>
      <c r="K34" s="613"/>
      <c r="L34" s="1140"/>
      <c r="M34" s="1131"/>
      <c r="N34" s="1131"/>
      <c r="O34" s="1139"/>
      <c r="P34" s="3214"/>
      <c r="Q34" s="1810" t="str">
        <f>B34</f>
        <v>宗地面积</v>
      </c>
      <c r="R34" s="774" t="s">
        <v>17</v>
      </c>
      <c r="S34" s="775">
        <f t="shared" si="10"/>
        <v>94</v>
      </c>
      <c r="T34" s="774" t="s">
        <v>17</v>
      </c>
      <c r="U34" s="775">
        <f t="shared" si="11"/>
        <v>98</v>
      </c>
      <c r="V34" s="774" t="s">
        <v>17</v>
      </c>
      <c r="W34" s="775">
        <f t="shared" si="12"/>
        <v>94</v>
      </c>
      <c r="X34" s="1813"/>
      <c r="Y34" s="3214"/>
      <c r="Z34" s="1814" t="str">
        <f t="shared" si="13"/>
        <v>宗地面积</v>
      </c>
      <c r="AA34" s="1811">
        <f t="shared" si="3"/>
        <v>1.0638297872340425</v>
      </c>
      <c r="AB34" s="1811">
        <f t="shared" si="4"/>
        <v>1.0204081632653061</v>
      </c>
      <c r="AC34" s="1811">
        <f t="shared" si="5"/>
        <v>1.0638297872340425</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4" t="s">
        <v>2565</v>
      </c>
      <c r="Q37" s="1810" t="str">
        <f t="shared" si="14"/>
        <v>工程地质条件</v>
      </c>
      <c r="R37" s="774" t="s">
        <v>17</v>
      </c>
      <c r="S37" s="775">
        <f t="shared" si="10"/>
        <v>100</v>
      </c>
      <c r="T37" s="774" t="s">
        <v>17</v>
      </c>
      <c r="U37" s="775">
        <f t="shared" si="11"/>
        <v>100</v>
      </c>
      <c r="V37" s="774" t="s">
        <v>17</v>
      </c>
      <c r="W37" s="775">
        <f t="shared" si="12"/>
        <v>100</v>
      </c>
      <c r="X37" s="1813"/>
      <c r="Y37" s="3214"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2720</v>
      </c>
      <c r="B41" s="2707" t="s">
        <v>3160</v>
      </c>
      <c r="C41" s="682" t="s">
        <v>1</v>
      </c>
      <c r="D41" s="481"/>
      <c r="E41" s="482">
        <f>Sheet2!N2</f>
        <v>2981</v>
      </c>
      <c r="F41" s="483"/>
      <c r="G41" s="484">
        <f>Sheet2!N3</f>
        <v>3476</v>
      </c>
      <c r="H41" s="485"/>
      <c r="I41" s="482">
        <f>Sheet2!N4</f>
        <v>2981</v>
      </c>
      <c r="J41" s="485"/>
      <c r="K41" s="783"/>
      <c r="L41" s="1143"/>
      <c r="M41" s="1131"/>
      <c r="N41" s="1131"/>
      <c r="O41" s="1144"/>
      <c r="P41" s="3207" t="str">
        <f>A41</f>
        <v>成交单价</v>
      </c>
      <c r="Q41" s="3207"/>
      <c r="R41" s="3202">
        <f>E41</f>
        <v>2981</v>
      </c>
      <c r="S41" s="3202"/>
      <c r="T41" s="3202">
        <f>G41</f>
        <v>3476</v>
      </c>
      <c r="U41" s="3202"/>
      <c r="V41" s="3202">
        <f>I41</f>
        <v>2981</v>
      </c>
      <c r="W41" s="3202"/>
      <c r="X41" s="759"/>
      <c r="Y41" s="781"/>
      <c r="Z41" s="759"/>
      <c r="AA41" s="759"/>
      <c r="AB41" s="759"/>
      <c r="AC41" s="759"/>
    </row>
    <row r="42" spans="1:29" ht="15.75" thickBot="1">
      <c r="A42" s="486" t="s">
        <v>2669</v>
      </c>
      <c r="B42" s="683"/>
      <c r="C42" s="490">
        <f>R43</f>
        <v>2743</v>
      </c>
      <c r="D42" s="489"/>
      <c r="E42" s="490">
        <f>R42</f>
        <v>2648</v>
      </c>
      <c r="F42" s="491"/>
      <c r="G42" s="488">
        <f>T42</f>
        <v>2921</v>
      </c>
      <c r="H42" s="489"/>
      <c r="I42" s="490">
        <f>V42</f>
        <v>2661</v>
      </c>
      <c r="J42" s="489"/>
      <c r="K42" s="784"/>
      <c r="L42" s="1143"/>
      <c r="M42" s="1131"/>
      <c r="N42" s="1131"/>
      <c r="O42" s="1144"/>
      <c r="P42" s="3207" t="str">
        <f>A42</f>
        <v>比较价值（元/平方米）</v>
      </c>
      <c r="Q42" s="3207"/>
      <c r="R42" s="3234">
        <f>ROUND(PRODUCT(R41,AA7:AA40),0)</f>
        <v>2648</v>
      </c>
      <c r="S42" s="3234"/>
      <c r="T42" s="3234">
        <f>ROUND(PRODUCT(T41,AB7:AB40),0)</f>
        <v>2921</v>
      </c>
      <c r="U42" s="3234"/>
      <c r="V42" s="3234">
        <f>ROUND(PRODUCT(V41,AC7:AC40),0)</f>
        <v>2661</v>
      </c>
      <c r="W42" s="3234"/>
      <c r="X42" s="759"/>
      <c r="Y42" s="759"/>
      <c r="Z42" s="759"/>
      <c r="AA42" s="759"/>
      <c r="AB42" s="759"/>
      <c r="AC42" s="759"/>
    </row>
    <row r="43" spans="1:29" ht="15.75" thickBot="1">
      <c r="A43" s="492" t="s">
        <v>2670</v>
      </c>
      <c r="B43" s="493"/>
      <c r="C43" s="494">
        <f>R43</f>
        <v>2743</v>
      </c>
      <c r="D43" s="494"/>
      <c r="E43" s="494"/>
      <c r="F43" s="494"/>
      <c r="G43" s="494"/>
      <c r="H43" s="494"/>
      <c r="I43" s="494"/>
      <c r="J43" s="494"/>
      <c r="K43" s="785"/>
      <c r="L43" s="1143"/>
      <c r="M43" s="1131"/>
      <c r="N43" s="1131"/>
      <c r="O43" s="1144"/>
      <c r="P43" s="3204" t="str">
        <f>A43</f>
        <v>估价对象XX用房的比较价值（楼面单价，元/平方米）</v>
      </c>
      <c r="Q43" s="3205"/>
      <c r="R43" s="3235">
        <f>ROUND(AVERAGE(R42:V42),0)</f>
        <v>2743</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f>IF(E41&lt;E42,E42/E41-1,E41/E42-1)</f>
        <v>0.12575528700906347</v>
      </c>
      <c r="F46" s="500" t="str">
        <f>IF(OR(E46&gt;=0.3,E46&lt;=-0.3),"超过30%","")</f>
        <v/>
      </c>
      <c r="G46" s="499">
        <f>IF(G41&lt;G42,G42/G41-1,G41/G42-1)</f>
        <v>0.19000342348510779</v>
      </c>
      <c r="H46" s="500" t="str">
        <f>IF(OR(G46&gt;=0.3,G46&lt;=-0.3),"超过30%","")</f>
        <v/>
      </c>
      <c r="I46" s="499">
        <f>IF(I41&lt;I42,I42/I41-1,I41/I42-1)</f>
        <v>0.12025554302893648</v>
      </c>
      <c r="J46" s="500" t="str">
        <f>IF(OR(I46&gt;=0.3,I46&lt;=-0.3),"超过30%","")</f>
        <v/>
      </c>
      <c r="K46" s="1105"/>
      <c r="L46" s="1106"/>
      <c r="M46" s="1131"/>
      <c r="N46" s="1131"/>
      <c r="O46" s="1144"/>
    </row>
    <row r="47" spans="1:29" ht="13.5" customHeight="1">
      <c r="A47" s="1144"/>
      <c r="B47" s="1144"/>
      <c r="C47" s="497" t="s">
        <v>2672</v>
      </c>
      <c r="D47" s="501"/>
      <c r="E47" s="499">
        <f>IF(E42&lt;G42,G42/E42-1,E42/G42-1)</f>
        <v>0.10309667673716016</v>
      </c>
      <c r="F47" s="500" t="str">
        <f>IF(OR(E47&gt;=0.2,E47&lt;=-0.2),"超过20%","")</f>
        <v/>
      </c>
      <c r="G47" s="499">
        <f>IF(G42&lt;I42,I42/G42-1,G42/I42-1)</f>
        <v>9.7707628711010797E-2</v>
      </c>
      <c r="H47" s="500" t="str">
        <f>IF(OR(G47&gt;=0.2,G47&lt;=-0.2),"超过20%","")</f>
        <v/>
      </c>
      <c r="I47" s="499">
        <f>IF(I42&lt;E42,E42/I42-1,I42/E42-1)</f>
        <v>4.9093655589123042E-3</v>
      </c>
      <c r="J47" s="500" t="str">
        <f>IF(OR(I47&gt;=0.2,I47&lt;=-0.2),"超过20%","")</f>
        <v/>
      </c>
      <c r="K47" s="1105"/>
      <c r="L47" s="1106"/>
      <c r="M47" s="1144"/>
      <c r="N47" s="1144"/>
      <c r="O47" s="1144"/>
    </row>
    <row r="48" spans="1:29" s="502" customFormat="1" ht="13.5" customHeight="1">
      <c r="A48" s="1145"/>
      <c r="B48" s="1145"/>
      <c r="C48" s="497" t="s">
        <v>2673</v>
      </c>
      <c r="D48" s="501"/>
      <c r="E48" s="499">
        <f>IF(E41&lt;G41,G41/E41-1,E41/G41-1)</f>
        <v>0.16605166051660514</v>
      </c>
      <c r="F48" s="500" t="str">
        <f>IF(OR(E48&gt;=0.3,E48&lt;=-0.3),"超过30%","")</f>
        <v/>
      </c>
      <c r="G48" s="499">
        <f>IF(G41&lt;I41,I41/G41-1,G41/I41-1)</f>
        <v>0.16605166051660514</v>
      </c>
      <c r="H48" s="500" t="str">
        <f>IF(OR(G48&gt;=0.3,G48&lt;=-0.3),"超过30%","")</f>
        <v/>
      </c>
      <c r="I48" s="499">
        <f>IF(I41&lt;E41,E41/I41-1,I41/E41-1)</f>
        <v>0</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190" t="s">
        <v>2764</v>
      </c>
      <c r="H50" s="3236"/>
      <c r="I50" s="1814" t="s">
        <v>2800</v>
      </c>
      <c r="J50" s="1814">
        <f>项目基本情况!F35</f>
        <v>0</v>
      </c>
      <c r="K50" s="2711" t="s">
        <v>2766</v>
      </c>
      <c r="L50" s="1106"/>
      <c r="M50" s="1144"/>
      <c r="N50" s="1144"/>
      <c r="O50" s="1144"/>
    </row>
    <row r="51" spans="1:17" s="692" customFormat="1">
      <c r="A51" s="688" t="s">
        <v>2767</v>
      </c>
      <c r="B51" s="689">
        <f>C43</f>
        <v>2743</v>
      </c>
      <c r="C51" s="690">
        <v>1</v>
      </c>
      <c r="D51" s="1163">
        <v>1</v>
      </c>
      <c r="E51" s="690">
        <f>'数据-汇总表'!E8+'数据-汇总表'!E9</f>
        <v>19982.990000000002</v>
      </c>
      <c r="F51" s="691">
        <f t="shared" ref="F51:F60" si="15">ROUND(B51*E51/10000,0)</f>
        <v>5481</v>
      </c>
      <c r="G51" s="3189"/>
      <c r="H51" s="3207"/>
      <c r="I51" s="942">
        <v>1</v>
      </c>
      <c r="J51" s="942">
        <v>1</v>
      </c>
      <c r="K51" s="1145"/>
      <c r="L51" s="941"/>
      <c r="M51" s="941"/>
      <c r="N51" s="941"/>
      <c r="O51" s="941"/>
    </row>
    <row r="52" spans="1:17" s="692" customFormat="1">
      <c r="A52" s="693" t="s">
        <v>2768</v>
      </c>
      <c r="B52" s="262">
        <f>ROUND($C$43*C52*D52,0)</f>
        <v>0</v>
      </c>
      <c r="C52" s="200">
        <f t="shared" ref="C52:C60" si="16">IF($C$50="北京市系数",I52,J52)</f>
        <v>0</v>
      </c>
      <c r="D52" s="1164">
        <v>0.25</v>
      </c>
      <c r="E52" s="694"/>
      <c r="F52" s="691">
        <f t="shared" si="15"/>
        <v>0</v>
      </c>
      <c r="G52" s="3237" t="s">
        <v>2769</v>
      </c>
      <c r="H52" s="1104">
        <f>项目基本情况!B37</f>
        <v>0</v>
      </c>
      <c r="I52" s="942">
        <f>SUMIF(修正!A45:A56,H52,修正!B45:B56)</f>
        <v>0</v>
      </c>
      <c r="J52" s="943"/>
      <c r="K52" s="1144"/>
      <c r="L52" s="941"/>
      <c r="M52" s="941"/>
      <c r="N52" s="941"/>
      <c r="O52" s="941"/>
    </row>
    <row r="53" spans="1:17" s="692" customFormat="1">
      <c r="A53" s="693" t="s">
        <v>2770</v>
      </c>
      <c r="B53" s="262">
        <f t="shared" ref="B53:B60" si="17">ROUND($C$43*C53*D53,0)</f>
        <v>0</v>
      </c>
      <c r="C53" s="200">
        <f t="shared" si="16"/>
        <v>0</v>
      </c>
      <c r="D53" s="1164">
        <v>0.25</v>
      </c>
      <c r="E53" s="694"/>
      <c r="F53" s="691">
        <f t="shared" si="15"/>
        <v>0</v>
      </c>
      <c r="G53" s="3237"/>
      <c r="H53" s="1104">
        <f>项目基本情况!B37</f>
        <v>0</v>
      </c>
      <c r="I53" s="942">
        <f>SUMIF(修正!A45:A56,H53,修正!C45:C56)</f>
        <v>0</v>
      </c>
      <c r="J53" s="943"/>
      <c r="K53" s="1145"/>
      <c r="L53" s="941"/>
      <c r="M53" s="941"/>
      <c r="N53" s="941"/>
      <c r="O53" s="941"/>
    </row>
    <row r="54" spans="1:17" s="692" customFormat="1">
      <c r="A54" s="693" t="s">
        <v>2771</v>
      </c>
      <c r="B54" s="262">
        <f t="shared" si="17"/>
        <v>0</v>
      </c>
      <c r="C54" s="200">
        <f t="shared" si="16"/>
        <v>0</v>
      </c>
      <c r="D54" s="1164">
        <v>0.25</v>
      </c>
      <c r="E54" s="694"/>
      <c r="F54" s="691">
        <f t="shared" si="15"/>
        <v>0</v>
      </c>
      <c r="G54" s="3237"/>
      <c r="H54" s="1104">
        <f>项目基本情况!B37</f>
        <v>0</v>
      </c>
      <c r="I54" s="942">
        <f>SUMIF(修正!A45:A56,H54,修正!D45:D56)</f>
        <v>0</v>
      </c>
      <c r="J54" s="943"/>
      <c r="K54" s="1144"/>
      <c r="L54" s="941"/>
      <c r="M54" s="941"/>
      <c r="N54" s="941"/>
      <c r="O54" s="941"/>
    </row>
    <row r="55" spans="1:17" s="692" customFormat="1">
      <c r="A55" s="693" t="s">
        <v>2772</v>
      </c>
      <c r="B55" s="262">
        <f t="shared" si="17"/>
        <v>0</v>
      </c>
      <c r="C55" s="200">
        <f t="shared" si="16"/>
        <v>0</v>
      </c>
      <c r="D55" s="1164">
        <v>0.25</v>
      </c>
      <c r="E55" s="694"/>
      <c r="F55" s="691">
        <f t="shared" si="15"/>
        <v>0</v>
      </c>
      <c r="G55" s="3237"/>
      <c r="H55" s="1104">
        <f>项目基本情况!B37</f>
        <v>0</v>
      </c>
      <c r="I55" s="942">
        <f>SUMIF(修正!A45:A56,H55,修正!E45:E56)</f>
        <v>0</v>
      </c>
      <c r="J55" s="943"/>
      <c r="K55" s="1145"/>
      <c r="L55" s="941"/>
      <c r="M55" s="941"/>
      <c r="N55" s="941"/>
      <c r="O55" s="941"/>
    </row>
    <row r="56" spans="1:17" s="692" customFormat="1">
      <c r="A56" s="693" t="s">
        <v>2773</v>
      </c>
      <c r="B56" s="262">
        <f t="shared" si="17"/>
        <v>0</v>
      </c>
      <c r="C56" s="200">
        <f t="shared" si="16"/>
        <v>0</v>
      </c>
      <c r="D56" s="1164">
        <v>0.25</v>
      </c>
      <c r="E56" s="261">
        <f>'数据-汇总表'!E11</f>
        <v>0</v>
      </c>
      <c r="F56" s="691">
        <f t="shared" si="15"/>
        <v>0</v>
      </c>
      <c r="G56" s="2712" t="s">
        <v>2774</v>
      </c>
      <c r="H56" s="1104">
        <f>项目基本情况!C37</f>
        <v>0</v>
      </c>
      <c r="I56" s="942">
        <f>SUMIF(修正!A45:A56,H56,修正!F45:F56)</f>
        <v>0</v>
      </c>
      <c r="J56" s="943"/>
      <c r="K56" s="1144"/>
      <c r="L56" s="941"/>
      <c r="M56" s="941"/>
      <c r="N56" s="941"/>
      <c r="O56" s="941"/>
    </row>
    <row r="57" spans="1:17" s="692" customFormat="1">
      <c r="A57" s="693" t="s">
        <v>2775</v>
      </c>
      <c r="B57" s="262">
        <f t="shared" si="17"/>
        <v>0</v>
      </c>
      <c r="C57" s="200">
        <f t="shared" si="16"/>
        <v>0</v>
      </c>
      <c r="D57" s="1164">
        <v>0.25</v>
      </c>
      <c r="E57" s="261">
        <f>'数据-汇总表'!E12</f>
        <v>0</v>
      </c>
      <c r="F57" s="691">
        <f t="shared" si="15"/>
        <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f t="shared" si="17"/>
        <v>0</v>
      </c>
      <c r="C58" s="200">
        <f t="shared" si="16"/>
        <v>0</v>
      </c>
      <c r="D58" s="1164">
        <v>0.25</v>
      </c>
      <c r="E58" s="261">
        <f>'数据-汇总表'!E13</f>
        <v>0</v>
      </c>
      <c r="F58" s="691">
        <f t="shared" si="15"/>
        <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f t="shared" si="17"/>
        <v>0</v>
      </c>
      <c r="C59" s="200">
        <f t="shared" si="16"/>
        <v>0</v>
      </c>
      <c r="D59" s="1164">
        <v>0.25</v>
      </c>
      <c r="E59" s="261">
        <f>'数据-汇总表'!E14</f>
        <v>0</v>
      </c>
      <c r="F59" s="691">
        <f t="shared" si="15"/>
        <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f t="shared" si="17"/>
        <v>0</v>
      </c>
      <c r="C60" s="200">
        <f t="shared" si="16"/>
        <v>0</v>
      </c>
      <c r="D60" s="1164">
        <v>0.25</v>
      </c>
      <c r="E60" s="261">
        <f>'数据-汇总表'!E15</f>
        <v>0</v>
      </c>
      <c r="F60" s="691">
        <f t="shared" si="15"/>
        <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73586.240000000005</v>
      </c>
      <c r="F61" s="697">
        <f>IF(B41="楼面地价",SUM(F51:F60),ROUND(C43*E61/10000,0))</f>
        <v>20185</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2801</v>
      </c>
      <c r="B66" s="332" t="str">
        <f>"北京市平均增长率"&amp;TEXT(基准地价修正!P24,"0.00%")</f>
        <v>北京市平均增长率1.40%</v>
      </c>
      <c r="C66" s="603">
        <v>100</v>
      </c>
      <c r="D66" s="595">
        <v>99.5</v>
      </c>
      <c r="E66" s="595">
        <v>99</v>
      </c>
      <c r="F66" s="595">
        <v>98.5</v>
      </c>
      <c r="G66" s="595">
        <v>98</v>
      </c>
      <c r="H66" s="595">
        <v>97.5</v>
      </c>
      <c r="I66" s="595">
        <v>97</v>
      </c>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0（含）-0.5</v>
      </c>
      <c r="D74" s="547" t="str">
        <f t="shared" ref="D74:L74" si="20">D75&amp;"（含）"&amp;"-"&amp;E75</f>
        <v>0.5（含）-1</v>
      </c>
      <c r="E74" s="547" t="str">
        <f t="shared" si="20"/>
        <v>1（含）-1.5</v>
      </c>
      <c r="F74" s="547" t="str">
        <f t="shared" si="20"/>
        <v>1.5（含）-2</v>
      </c>
      <c r="G74" s="547" t="str">
        <f t="shared" si="20"/>
        <v>2（含）-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0</v>
      </c>
      <c r="D75" s="549">
        <v>0.5</v>
      </c>
      <c r="E75" s="549">
        <v>1</v>
      </c>
      <c r="F75" s="549">
        <v>1.5</v>
      </c>
      <c r="G75" s="549">
        <v>2</v>
      </c>
      <c r="H75" s="549"/>
      <c r="I75" s="549"/>
      <c r="J75" s="549"/>
      <c r="K75" s="550"/>
      <c r="L75" s="551"/>
      <c r="M75" s="552"/>
      <c r="N75" s="1152"/>
      <c r="O75" s="1152"/>
      <c r="P75" s="45"/>
      <c r="Q75" s="504"/>
    </row>
    <row r="76" spans="1:17" ht="15.75"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0(含)-20000</v>
      </c>
      <c r="D107" s="529" t="str">
        <f t="shared" si="25"/>
        <v>20000(含)-40000</v>
      </c>
      <c r="E107" s="529" t="str">
        <f t="shared" si="25"/>
        <v>40000(含)-60000</v>
      </c>
      <c r="F107" s="529" t="str">
        <f t="shared" si="25"/>
        <v>60000(含)-80000</v>
      </c>
      <c r="G107" s="529" t="str">
        <f t="shared" si="25"/>
        <v>80000(含)-100000</v>
      </c>
      <c r="H107" s="529" t="str">
        <f t="shared" si="25"/>
        <v>100000(含)-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20000</v>
      </c>
      <c r="E108" s="595">
        <v>40000</v>
      </c>
      <c r="F108" s="595">
        <v>60000</v>
      </c>
      <c r="G108" s="595">
        <v>80000</v>
      </c>
      <c r="H108" s="595">
        <v>100000</v>
      </c>
      <c r="I108" s="595"/>
      <c r="J108" s="596"/>
      <c r="K108" s="596"/>
      <c r="L108" s="597"/>
      <c r="M108" s="598"/>
      <c r="N108" s="1152"/>
      <c r="O108" s="1152"/>
      <c r="P108" s="45"/>
      <c r="Q108" s="504"/>
    </row>
    <row r="109" spans="1:17" ht="15.75" thickBot="1">
      <c r="A109" s="534"/>
      <c r="B109" s="543"/>
      <c r="C109" s="570">
        <v>100</v>
      </c>
      <c r="D109" s="591">
        <v>102</v>
      </c>
      <c r="E109" s="591">
        <v>104</v>
      </c>
      <c r="F109" s="591">
        <v>106</v>
      </c>
      <c r="G109" s="591">
        <v>108</v>
      </c>
      <c r="H109" s="591">
        <v>110</v>
      </c>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L45" sqref="L45"/>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2803</v>
      </c>
      <c r="B1" s="241"/>
      <c r="C1" s="245" t="s">
        <v>2804</v>
      </c>
      <c r="D1" s="388">
        <f>SUM(D29:D30,D33:D39)</f>
        <v>20228.240000000002</v>
      </c>
      <c r="E1" s="2720"/>
      <c r="F1" s="2720"/>
      <c r="G1" s="2720"/>
      <c r="H1" s="2720"/>
      <c r="I1" s="2720"/>
      <c r="J1" s="2720"/>
      <c r="K1" s="1370"/>
      <c r="L1" s="2721" t="s">
        <v>2805</v>
      </c>
      <c r="M1" s="1080">
        <f>SUMPRODUCT((区片价!B5:B9=I2)*(区片价!C3:F3=E2)*(区片价!C5:F9))</f>
        <v>0</v>
      </c>
      <c r="N1" s="1083">
        <f>SUMPRODUCT((因素修正幅度!B5:B9=I2)*(因素修正幅度!C3:F3=E2)*(因素修正幅度!C5:F9))</f>
        <v>0</v>
      </c>
      <c r="O1" s="2722"/>
      <c r="P1" s="2722"/>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9292</v>
      </c>
      <c r="C2" s="2724" t="s">
        <v>2812</v>
      </c>
      <c r="D2" s="2725" t="s">
        <v>2813</v>
      </c>
      <c r="E2" s="2726" t="s">
        <v>6</v>
      </c>
      <c r="F2" s="2725" t="s">
        <v>2814</v>
      </c>
      <c r="G2" s="2727" t="str">
        <f>IF(E2="商业",项目基本情况!B37,IF(E2="办公",项目基本情况!C37,IF(E2="住宅",项目基本情况!D37,项目基本情况!E37)))</f>
        <v>八级</v>
      </c>
      <c r="H2" s="2725" t="s">
        <v>2815</v>
      </c>
      <c r="I2" s="2727" t="str">
        <f>IF(E2="商业",项目基本情况!B38,IF(E2="办公",项目基本情况!C38,IF(E2="住宅",项目基本情况!D38,项目基本情况!E38)))</f>
        <v>Ⅷ-昌1</v>
      </c>
      <c r="J2" s="2728"/>
      <c r="K2" s="1370"/>
      <c r="L2" s="2729"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7.1925999999999997</v>
      </c>
      <c r="T2" s="1602">
        <f ca="1">ROUND($C$5*$C$18*$C$19*$C$20*S2*$C$24,0)</f>
        <v>8720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4594</v>
      </c>
      <c r="C3" s="2724" t="s">
        <v>2818</v>
      </c>
      <c r="D3" s="2725" t="s">
        <v>2819</v>
      </c>
      <c r="E3" s="2730" t="s">
        <v>3092</v>
      </c>
      <c r="F3" s="2731" t="s">
        <v>2820</v>
      </c>
      <c r="G3" s="916">
        <f>IF(F3="宗地容积率",'数据-汇总表'!I4,IF(F3="估价对象容积率",'数据-汇总表'!I6,'数据-汇总表'!I7))</f>
        <v>0.27</v>
      </c>
      <c r="H3" s="198" t="s">
        <v>2821</v>
      </c>
      <c r="I3" s="944"/>
      <c r="J3" s="2728" t="s">
        <v>2822</v>
      </c>
      <c r="K3" s="1370"/>
      <c r="L3" s="272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4.7404000000000002</v>
      </c>
      <c r="T3" s="1602">
        <f t="shared" ref="T3:T16" ca="1" si="0">ROUND($C$5*$C$18*$C$19*$C$20*S3*$C$24,0)</f>
        <v>5747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9"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3.7303999999999999</v>
      </c>
      <c r="T4" s="1602">
        <f t="shared" ca="1" si="0"/>
        <v>4523</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2825</v>
      </c>
      <c r="C5" s="917">
        <f>ROUND(IF(E2="商业",C6*C7+C16,(IF(E2="住宅",C6*C12+C16,C6+C16))),0)</f>
        <v>940</v>
      </c>
      <c r="D5" s="1787">
        <f>ROUND(C6+C16,0)</f>
        <v>940</v>
      </c>
      <c r="E5" s="1787"/>
      <c r="F5" s="2734"/>
      <c r="G5" s="2735"/>
      <c r="H5" s="2735"/>
      <c r="I5" s="2735"/>
      <c r="J5" s="2736"/>
      <c r="K5" s="2737"/>
      <c r="L5" s="272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2.7869999999999999</v>
      </c>
      <c r="T5" s="1602">
        <f t="shared" ca="1" si="0"/>
        <v>3379</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2827</v>
      </c>
      <c r="B6" s="2743" t="s">
        <v>2828</v>
      </c>
      <c r="C6" s="918">
        <f>SUMIF(L1:L12,G2,M1:M12)</f>
        <v>940</v>
      </c>
      <c r="D6" s="2744" t="s">
        <v>2829</v>
      </c>
      <c r="E6" s="2745"/>
      <c r="F6" s="2745"/>
      <c r="G6" s="2746"/>
      <c r="H6" s="2746"/>
      <c r="I6" s="2746"/>
      <c r="J6" s="2747"/>
      <c r="K6" s="1842"/>
      <c r="L6" s="272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2.0958999999999999</v>
      </c>
      <c r="T6" s="1602">
        <f t="shared" ca="1" si="0"/>
        <v>2541</v>
      </c>
      <c r="U6" s="1603"/>
      <c r="V6" s="1602">
        <f t="shared" ca="1" si="1"/>
        <v>0</v>
      </c>
      <c r="W6" s="1606"/>
      <c r="X6" s="1606"/>
      <c r="Y6" s="1606"/>
      <c r="Z6" s="1606"/>
      <c r="AA6" s="1606"/>
      <c r="AB6" s="1606"/>
      <c r="AC6" s="2738"/>
      <c r="AD6" s="2739"/>
      <c r="AE6" s="2739"/>
      <c r="AF6" s="2739"/>
      <c r="AG6" s="2739"/>
      <c r="AH6" s="2739"/>
      <c r="AI6" s="2739"/>
      <c r="AJ6" s="2740"/>
    </row>
    <row r="7" spans="1:36" ht="24">
      <c r="A7" s="3242" t="str">
        <f>IF(E2="商业",IF(C8="不临58条商业街","",2),"")</f>
        <v/>
      </c>
      <c r="B7" s="2748" t="s">
        <v>2831</v>
      </c>
      <c r="C7" s="919">
        <f>IF(C8="不临58条商业街",1,ROUND(1+(1.6*E8+1.2*E9+0.8*E10+0.4*E11)*C9,4))</f>
        <v>1</v>
      </c>
      <c r="D7" s="2749" t="s">
        <v>2832</v>
      </c>
      <c r="E7" s="945"/>
      <c r="F7" s="2750"/>
      <c r="G7" s="2751"/>
      <c r="H7" s="2751"/>
      <c r="I7" s="2751"/>
      <c r="J7" s="2752"/>
      <c r="K7" s="1842"/>
      <c r="L7" s="272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1.6758999999999999</v>
      </c>
      <c r="T7" s="1602">
        <f t="shared" ca="1" si="0"/>
        <v>2032</v>
      </c>
      <c r="U7" s="1603"/>
      <c r="V7" s="1602">
        <f t="shared" ca="1" si="1"/>
        <v>0</v>
      </c>
      <c r="W7" s="1816" t="s">
        <v>2834</v>
      </c>
      <c r="X7" s="1604" t="str">
        <f>G2</f>
        <v>八级</v>
      </c>
      <c r="Y7" s="1604" t="s">
        <v>2835</v>
      </c>
      <c r="Z7" s="1605">
        <f>G3</f>
        <v>0.27</v>
      </c>
      <c r="AA7" s="1606"/>
      <c r="AB7" s="1606"/>
      <c r="AC7" s="1607"/>
      <c r="AD7" s="1608"/>
      <c r="AE7" s="1608"/>
      <c r="AF7" s="1608"/>
      <c r="AG7" s="1608"/>
      <c r="AH7" s="1608"/>
      <c r="AI7" s="1608"/>
      <c r="AJ7" s="1609"/>
    </row>
    <row r="8" spans="1:36" ht="25.5">
      <c r="A8" s="3262"/>
      <c r="B8" s="198" t="s">
        <v>2836</v>
      </c>
      <c r="C8" s="2753" t="s">
        <v>3093</v>
      </c>
      <c r="D8" s="920" t="s">
        <v>139</v>
      </c>
      <c r="E8" s="921" t="e">
        <f>ROUND(C11/E7,4)</f>
        <v>#DIV/0!</v>
      </c>
      <c r="F8" s="2754" t="s">
        <v>2837</v>
      </c>
      <c r="G8" s="2755"/>
      <c r="H8" s="2755"/>
      <c r="I8" s="2755"/>
      <c r="J8" s="2756"/>
      <c r="K8" s="1370"/>
      <c r="L8" s="2729" t="s">
        <v>2838</v>
      </c>
      <c r="M8" s="1081">
        <f>SUMPRODUCT((区片价!B206:B244=I2)*(区片价!C3:F3=E2)*(区片价!C206:F244))</f>
        <v>940</v>
      </c>
      <c r="N8" s="1083">
        <f>SUMPRODUCT((因素修正幅度!B206:B244=I2)*(因素修正幅度!C3:F3=E2)*(因素修正幅度!C206:F244))</f>
        <v>0.15</v>
      </c>
      <c r="O8" s="1370"/>
      <c r="P8" s="1370"/>
      <c r="Q8" s="1370"/>
      <c r="R8" s="1602">
        <v>7</v>
      </c>
      <c r="S8" s="1603"/>
      <c r="T8" s="1602">
        <f t="shared" ca="1" si="0"/>
        <v>0</v>
      </c>
      <c r="U8" s="1603"/>
      <c r="V8" s="1602">
        <f t="shared" ca="1" si="1"/>
        <v>0</v>
      </c>
      <c r="W8" s="3255" t="s">
        <v>2839</v>
      </c>
      <c r="X8" s="325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62"/>
      <c r="B9" s="198" t="s">
        <v>2852</v>
      </c>
      <c r="C9" s="922">
        <f>SUMIF(修正!C59:C119,C8,修正!E59:E119)</f>
        <v>0</v>
      </c>
      <c r="D9" s="200" t="s">
        <v>140</v>
      </c>
      <c r="E9" s="200" t="e">
        <f>ROUND(C11/E7,4)</f>
        <v>#DIV/0!</v>
      </c>
      <c r="F9" s="2754" t="s">
        <v>2853</v>
      </c>
      <c r="G9" s="2755"/>
      <c r="H9" s="2755"/>
      <c r="I9" s="2755"/>
      <c r="J9" s="2756"/>
      <c r="K9" s="1370"/>
      <c r="L9" s="272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2857</v>
      </c>
      <c r="C10" s="200">
        <f>SUMIF(修正!C59:C119,C8,修正!F59:F119)</f>
        <v>0</v>
      </c>
      <c r="D10" s="200" t="s">
        <v>141</v>
      </c>
      <c r="E10" s="200" t="e">
        <f>ROUND(C11/E7,4)</f>
        <v>#DIV/0!</v>
      </c>
      <c r="F10" s="2754" t="s">
        <v>2858</v>
      </c>
      <c r="G10" s="2755"/>
      <c r="H10" s="2755"/>
      <c r="I10" s="2755"/>
      <c r="J10" s="2756"/>
      <c r="K10" s="1370"/>
      <c r="L10" s="272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7" t="s">
        <v>2860</v>
      </c>
      <c r="C11" s="923">
        <f>C10/4</f>
        <v>0</v>
      </c>
      <c r="D11" s="923" t="s">
        <v>142</v>
      </c>
      <c r="E11" s="923" t="e">
        <f>ROUND(C11/E7,4)</f>
        <v>#DIV/0!</v>
      </c>
      <c r="F11" s="2758" t="s">
        <v>2861</v>
      </c>
      <c r="G11" s="2759"/>
      <c r="H11" s="2759"/>
      <c r="I11" s="2759"/>
      <c r="J11" s="2760"/>
      <c r="K11" s="1370"/>
      <c r="L11" s="272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2863</v>
      </c>
      <c r="X11" s="1614" t="s">
        <v>2864</v>
      </c>
      <c r="Y11" s="1615">
        <f>$G$3</f>
        <v>0.27</v>
      </c>
      <c r="Z11" s="1615">
        <f t="shared" ref="Z11:AJ11" si="3">$G$3</f>
        <v>0.27</v>
      </c>
      <c r="AA11" s="1615">
        <f t="shared" si="3"/>
        <v>0.27</v>
      </c>
      <c r="AB11" s="1615">
        <f t="shared" si="3"/>
        <v>0.27</v>
      </c>
      <c r="AC11" s="1615">
        <f t="shared" si="3"/>
        <v>0.27</v>
      </c>
      <c r="AD11" s="1615">
        <f t="shared" si="3"/>
        <v>0.27</v>
      </c>
      <c r="AE11" s="1615">
        <f t="shared" si="3"/>
        <v>0.27</v>
      </c>
      <c r="AF11" s="1615">
        <f t="shared" si="3"/>
        <v>0.27</v>
      </c>
      <c r="AG11" s="1615">
        <f t="shared" si="3"/>
        <v>0.27</v>
      </c>
      <c r="AH11" s="1615">
        <f t="shared" si="3"/>
        <v>0.27</v>
      </c>
      <c r="AI11" s="1615">
        <f t="shared" si="3"/>
        <v>0.27</v>
      </c>
      <c r="AJ11" s="1615">
        <f t="shared" si="3"/>
        <v>0.27</v>
      </c>
    </row>
    <row r="12" spans="1:36" ht="25.5" thickBot="1">
      <c r="A12" s="3242" t="s">
        <v>2865</v>
      </c>
      <c r="B12" s="2761" t="s">
        <v>2866</v>
      </c>
      <c r="C12" s="919">
        <f>ROUND(C15*D15*E15*F15*G15*H15*I15*J15,4)</f>
        <v>1</v>
      </c>
      <c r="D12" s="2762" t="s">
        <v>2867</v>
      </c>
      <c r="E12" s="2763"/>
      <c r="F12" s="2763"/>
      <c r="G12" s="2764"/>
      <c r="H12" s="2764"/>
      <c r="I12" s="2764"/>
      <c r="J12" s="2765"/>
      <c r="K12" s="1370"/>
      <c r="L12" s="276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7" t="s">
        <v>2870</v>
      </c>
      <c r="C13" s="2768" t="s">
        <v>2871</v>
      </c>
      <c r="D13" s="1808" t="s">
        <v>2872</v>
      </c>
      <c r="E13" s="1808" t="s">
        <v>2873</v>
      </c>
      <c r="F13" s="30" t="s">
        <v>2874</v>
      </c>
      <c r="G13" s="2769" t="s">
        <v>2875</v>
      </c>
      <c r="H13" s="2769" t="s">
        <v>2875</v>
      </c>
      <c r="I13" s="2769" t="s">
        <v>2875</v>
      </c>
      <c r="J13" s="2770" t="s">
        <v>2875</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2.8211111111111111</v>
      </c>
      <c r="Z13" s="1613">
        <f t="shared" ref="Z13:AJ13" si="5">(-0.163*(Z12^2)-0.59*Z12+7617)*(10^(-4))/Z11</f>
        <v>2.8211111111111111</v>
      </c>
      <c r="AA13" s="1613">
        <f t="shared" si="5"/>
        <v>2.8211111111111111</v>
      </c>
      <c r="AB13" s="1613">
        <f t="shared" si="5"/>
        <v>2.8211111111111111</v>
      </c>
      <c r="AC13" s="1613">
        <f t="shared" si="5"/>
        <v>2.8211111111111111</v>
      </c>
      <c r="AD13" s="1613">
        <f t="shared" si="5"/>
        <v>2.8211111111111111</v>
      </c>
      <c r="AE13" s="1613">
        <f t="shared" si="5"/>
        <v>2.8211111111111111</v>
      </c>
      <c r="AF13" s="1613">
        <f t="shared" si="5"/>
        <v>2.8211111111111111</v>
      </c>
      <c r="AG13" s="1613">
        <f t="shared" si="5"/>
        <v>2.8211111111111111</v>
      </c>
      <c r="AH13" s="1613">
        <f t="shared" si="5"/>
        <v>2.8211111111111111</v>
      </c>
      <c r="AI13" s="1613">
        <f t="shared" si="5"/>
        <v>2.8211111111111111</v>
      </c>
      <c r="AJ13" s="1613">
        <f t="shared" si="5"/>
        <v>2.8211111111111111</v>
      </c>
    </row>
    <row r="14" spans="1:36" ht="15">
      <c r="A14" s="3263"/>
      <c r="B14" s="2771"/>
      <c r="C14" s="2772"/>
      <c r="D14" s="2773"/>
      <c r="E14" s="2773"/>
      <c r="F14" s="2774"/>
      <c r="G14" s="2775" t="s">
        <v>2876</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4"/>
      <c r="B15" s="277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2" t="s">
        <v>2882</v>
      </c>
      <c r="B16" s="2748" t="s">
        <v>2883</v>
      </c>
      <c r="C16" s="2935">
        <f>ROUND(IF(F17="与级别开发程度一致",0,(G17-E17)/C17),0)</f>
        <v>0</v>
      </c>
      <c r="D16" s="3253" t="s">
        <v>2887</v>
      </c>
      <c r="E16" s="3254"/>
      <c r="F16" s="3253" t="s">
        <v>2884</v>
      </c>
      <c r="G16" s="3254"/>
      <c r="H16" s="2782" t="s">
        <v>3058</v>
      </c>
      <c r="I16" s="2782" t="s">
        <v>3059</v>
      </c>
      <c r="J16" s="2939" t="s">
        <v>3060</v>
      </c>
      <c r="K16" s="2782" t="s">
        <v>3061</v>
      </c>
      <c r="L16" s="2782" t="s">
        <v>3062</v>
      </c>
      <c r="M16" s="2782" t="s">
        <v>3094</v>
      </c>
      <c r="N16" s="2782" t="s">
        <v>70</v>
      </c>
      <c r="O16" s="2783"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3"/>
      <c r="B17" s="2946" t="s">
        <v>2886</v>
      </c>
      <c r="C17" s="2947">
        <f>SUMPRODUCT((修正!A2:A5=E2)*(修正!B1:M1=G2)*(修正!B2:M5))</f>
        <v>1</v>
      </c>
      <c r="D17" s="229" t="str">
        <f>IF(OR(G2="八级",G2="九级",G2="十级",G2="十一级",G2="十二级"),"五通一平","七通一平")</f>
        <v>五通一平</v>
      </c>
      <c r="E17" s="2936">
        <f>SUMPRODUCT((修正!B1:M1=G2)*(修正!B15:M15))</f>
        <v>155</v>
      </c>
      <c r="F17" s="2937" t="s">
        <v>3096</v>
      </c>
      <c r="G17" s="2938">
        <f>SUM(H17:O17)</f>
        <v>155</v>
      </c>
      <c r="H17" s="2947">
        <f>SUMPRODUCT((七通一平=H16)*(修正!B1:M1=G2)*(修正!B6:M14))</f>
        <v>50</v>
      </c>
      <c r="I17" s="2947">
        <f>SUMPRODUCT((七通一平=I16)*(修正!B1:M1=G2)*(修正!B6:M14))</f>
        <v>40</v>
      </c>
      <c r="J17" s="2948">
        <f>SUMPRODUCT((七通一平=J16)*(修正!B1:M1=G2)*(修正!B6:M14))</f>
        <v>10</v>
      </c>
      <c r="K17" s="2947">
        <f>SUMPRODUCT((七通一平=K16)*(修正!B1:M1=G2)*(修正!B6:M14))</f>
        <v>20</v>
      </c>
      <c r="L17" s="2947">
        <f>SUMPRODUCT((七通一平=L16)*(修正!B1:M1=G2)*(修正!B6:M14))</f>
        <v>25</v>
      </c>
      <c r="M17" s="2947">
        <f>SUMPRODUCT((七通一平=M16)*(修正!B1:M1=G2)*(修正!B6:M14))</f>
        <v>10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2889</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2890</v>
      </c>
      <c r="C19" s="924">
        <f>ROUND(IF(H19="按公示增长率计算",SUMPRODUCT((地价!A3:A27=YEAR(G19)&amp;"-"&amp;ROUNDUP(MONTH(G19)/3,0))*(地价!X2:AB2=E2)*(地价!X3:AB27)),IF(H19="地价指数",M20/M19,(1+I19)^O19)),4)</f>
        <v>1.3573</v>
      </c>
      <c r="D19" s="2792" t="s">
        <v>2891</v>
      </c>
      <c r="E19" s="925">
        <v>41640</v>
      </c>
      <c r="F19" s="2792" t="s">
        <v>2892</v>
      </c>
      <c r="G19" s="926">
        <f>'数据-取费表'!B2</f>
        <v>43707</v>
      </c>
      <c r="H19" s="2793" t="s">
        <v>3097</v>
      </c>
      <c r="I19" s="927" t="str">
        <f>IF(H19="季度增幅（自定义）",SUMIF(N21:N24,E2,O21:O24),"")</f>
        <v/>
      </c>
      <c r="J19" s="2790"/>
      <c r="K19" s="1377"/>
      <c r="L19" s="2794" t="s">
        <v>2893</v>
      </c>
      <c r="M19" s="1734">
        <f>ROUND(SUMIF(地价!B2:F2,E2,地价!B27:F27),0)</f>
        <v>230</v>
      </c>
      <c r="N19" s="2795" t="s">
        <v>2894</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2895</v>
      </c>
      <c r="C20" s="929">
        <f ca="1">ROUND(POWER(1+G20,J20-I20)*(POWER(1+G20,I20)-1)/(POWER(1+G20,J20)-1),4)</f>
        <v>0.90359999999999996</v>
      </c>
      <c r="D20" s="2801" t="s">
        <v>2896</v>
      </c>
      <c r="E20" s="1768">
        <f ca="1">存贷款利率!D4/100</f>
        <v>4.3499999999999997E-2</v>
      </c>
      <c r="F20" s="2801" t="s">
        <v>2888</v>
      </c>
      <c r="G20" s="934">
        <f ca="1">SUMIF(M26:P26,E2,M28:P28)</f>
        <v>4.8000000000000001E-2</v>
      </c>
      <c r="H20" s="2801" t="s">
        <v>2897</v>
      </c>
      <c r="I20" s="935">
        <f>SUMIF('数据-取费表'!C6:C15,E2,'数据-取费表'!F6:F15)/COUNTIF('数据-取费表'!C6:C15,E2)</f>
        <v>36.21</v>
      </c>
      <c r="J20" s="936">
        <f>IF(E2="住宅",70,IF(E2="商业",40,50))</f>
        <v>50</v>
      </c>
      <c r="K20" s="1377"/>
      <c r="L20" s="2802" t="s">
        <v>2898</v>
      </c>
      <c r="M20" s="1735">
        <f>ROUND(SUMPRODUCT((地价!A4:A27=YEAR(G19)&amp;"-"&amp;ROUNDUP(MONTH(G19)/3,0))*(地价!B2:F2=E2)*(地价!B4:F27)),0)</f>
        <v>312</v>
      </c>
      <c r="N20" s="2803" t="s">
        <v>2899</v>
      </c>
      <c r="O20" s="2804" t="s">
        <v>2900</v>
      </c>
      <c r="P20" s="2805" t="s">
        <v>2901</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3098</v>
      </c>
      <c r="C21" s="937">
        <f>IF(B21="容积率修正",IF(G3&lt;=10,D22,J22),C23)</f>
        <v>3.8332999999999999</v>
      </c>
      <c r="D21" s="2808"/>
      <c r="E21" s="2808"/>
      <c r="F21" s="2808"/>
      <c r="G21" s="2808"/>
      <c r="H21" s="2808"/>
      <c r="I21" s="2808"/>
      <c r="J21" s="2809"/>
      <c r="K21" s="1377"/>
      <c r="N21" s="2810" t="s">
        <v>2902</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2903</v>
      </c>
      <c r="B22" s="2811" t="s">
        <v>2904</v>
      </c>
      <c r="C22" s="1810" t="s">
        <v>2905</v>
      </c>
      <c r="D22" s="1810">
        <f>IF(E22=G22,F22,IF(G3&lt;=10,ROUND(F22+(H22-F22)*(G3-E22)/(G22-E22),4),"——"))</f>
        <v>3.8332999999999999</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810" t="s">
        <v>155</v>
      </c>
      <c r="J22" s="938" t="str">
        <f>IF(G3&gt;10,D113,"——")</f>
        <v>——</v>
      </c>
      <c r="K22" s="1377"/>
      <c r="N22" s="2810" t="s">
        <v>2906</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2907</v>
      </c>
      <c r="B23" s="2812" t="s">
        <v>2908</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2909</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2910</v>
      </c>
      <c r="C24" s="924">
        <f>SUMIF(A45:A88,E2,B45:B88)</f>
        <v>1.0516000000000001</v>
      </c>
      <c r="D24" s="2789"/>
      <c r="E24" s="2818"/>
      <c r="F24" s="2818"/>
      <c r="G24" s="2818"/>
      <c r="H24" s="2818"/>
      <c r="I24" s="2818"/>
      <c r="J24" s="2819"/>
      <c r="K24" s="1377"/>
      <c r="N24" s="2820" t="s">
        <v>2911</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2912</v>
      </c>
      <c r="C25" s="930"/>
      <c r="D25" s="2751"/>
      <c r="E25" s="2751"/>
      <c r="F25" s="2822"/>
      <c r="G25" s="2751"/>
      <c r="H25" s="2751"/>
      <c r="I25" s="2751"/>
      <c r="J25" s="2752"/>
      <c r="K25" s="1370"/>
      <c r="N25" s="2823" t="s">
        <v>2913</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2914</v>
      </c>
      <c r="C26" s="206">
        <f ca="1">E29+SUM(E33:E39)</f>
        <v>9292</v>
      </c>
      <c r="D26" s="2825"/>
      <c r="E26" s="2776"/>
      <c r="F26" s="2826"/>
      <c r="G26" s="2776"/>
      <c r="H26" s="2776"/>
      <c r="I26" s="2776"/>
      <c r="J26" s="2827"/>
      <c r="K26" s="1370"/>
      <c r="L26" s="2780" t="s">
        <v>2813</v>
      </c>
      <c r="M26" s="920" t="s">
        <v>2878</v>
      </c>
      <c r="N26" s="920" t="s">
        <v>2879</v>
      </c>
      <c r="O26" s="920" t="s">
        <v>2880</v>
      </c>
      <c r="P26" s="2781" t="s">
        <v>2881</v>
      </c>
      <c r="R26" s="1376"/>
      <c r="S26" s="1376"/>
      <c r="T26" s="1371"/>
      <c r="U26" s="1371"/>
      <c r="V26" s="1371"/>
      <c r="W26" s="1370"/>
      <c r="X26" s="1370"/>
      <c r="Y26" s="1370"/>
      <c r="Z26" s="1377"/>
      <c r="AA26" s="1378"/>
      <c r="AB26" s="1378"/>
      <c r="AC26" s="1378"/>
      <c r="AD26" s="1378"/>
    </row>
    <row r="27" spans="1:37" ht="15.75" thickBot="1">
      <c r="A27" s="2824"/>
      <c r="B27" s="2828" t="s">
        <v>2915</v>
      </c>
      <c r="C27" s="931">
        <f ca="1">E30+SUM(I33:I39)</f>
        <v>1</v>
      </c>
      <c r="D27" s="2829"/>
      <c r="E27" s="2830"/>
      <c r="F27" s="2831"/>
      <c r="G27" s="2830"/>
      <c r="H27" s="2830"/>
      <c r="I27" s="2830"/>
      <c r="J27" s="2832"/>
      <c r="K27" s="1370"/>
      <c r="L27" s="278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2916</v>
      </c>
      <c r="C28" s="2835" t="s">
        <v>2917</v>
      </c>
      <c r="D28" s="2835" t="s">
        <v>2918</v>
      </c>
      <c r="E28" s="2836" t="s">
        <v>2919</v>
      </c>
      <c r="F28" s="2837"/>
      <c r="G28" s="2764"/>
      <c r="H28" s="2764"/>
      <c r="I28" s="2764"/>
      <c r="J28" s="2765"/>
      <c r="K28" s="1370"/>
      <c r="L28" s="278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2920</v>
      </c>
      <c r="C29" s="206">
        <f ca="1">ROUND(C5*C18*C19*C20*C21*C24,0)</f>
        <v>4647</v>
      </c>
      <c r="D29" s="2840">
        <f>'数据-汇总表'!F19</f>
        <v>19982.990000000002</v>
      </c>
      <c r="E29" s="942">
        <f ca="1">ROUND(C29*D29/10000,0)</f>
        <v>9286</v>
      </c>
      <c r="F29" s="2841" t="s">
        <v>2921</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2922</v>
      </c>
      <c r="C30" s="229">
        <f ca="1">ROUND(IF(E2="工业",C29*M39,C29*M38),0)</f>
        <v>697</v>
      </c>
      <c r="D30" s="2846"/>
      <c r="E30" s="942">
        <f ca="1">ROUND(C30*D30/10000,0)</f>
        <v>0</v>
      </c>
      <c r="F30" s="2847" t="s">
        <v>2923</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2924</v>
      </c>
      <c r="C31" s="2852" t="s">
        <v>2925</v>
      </c>
      <c r="D31" s="2764"/>
      <c r="E31" s="2852"/>
      <c r="F31" s="2852"/>
      <c r="G31" s="2762" t="s">
        <v>2926</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2917</v>
      </c>
      <c r="D32" s="498" t="s">
        <v>2918</v>
      </c>
      <c r="E32" s="498" t="s">
        <v>2919</v>
      </c>
      <c r="F32" s="388" t="s">
        <v>2927</v>
      </c>
      <c r="G32" s="2855" t="s">
        <v>2917</v>
      </c>
      <c r="H32" s="2855" t="s">
        <v>2918</v>
      </c>
      <c r="I32" s="285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50" t="s">
        <v>2928</v>
      </c>
      <c r="B33" s="2856" t="s">
        <v>2929</v>
      </c>
      <c r="C33" s="206">
        <f ca="1">ROUND(D5*C19*C20*C24*F33,0)</f>
        <v>727</v>
      </c>
      <c r="D33" s="2840"/>
      <c r="E33" s="200">
        <f ca="1">ROUND(C33*D33/10000,0)</f>
        <v>0</v>
      </c>
      <c r="F33" s="200">
        <f>SUMIF(修正!A45:A56,G2,修正!B45:B56)</f>
        <v>0.6</v>
      </c>
      <c r="G33" s="200">
        <f t="shared" ref="G33" ca="1" si="6">ROUND(IF(E2="工业",C33*$M$39,C33*$M$38),0)</f>
        <v>109</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8" t="s">
        <v>2930</v>
      </c>
      <c r="C34" s="206">
        <f ca="1">ROUND(D5*C19*C20*C24*F34,0)</f>
        <v>364</v>
      </c>
      <c r="D34" s="2840"/>
      <c r="E34" s="200">
        <f t="shared" ref="E34:E39" ca="1" si="7">ROUND(C34*D34/10000,0)</f>
        <v>0</v>
      </c>
      <c r="F34" s="200">
        <f>SUMIF(修正!A45:A56,G2,修正!C45:C56)</f>
        <v>0.3</v>
      </c>
      <c r="G34" s="200">
        <f ca="1">ROUND(IF(E2="工业",C34*$M$39,C34*$M$38),0)</f>
        <v>55</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8" t="s">
        <v>2931</v>
      </c>
      <c r="C35" s="206">
        <f ca="1">ROUND(D5*C19*C20*C24*F35,0)</f>
        <v>242</v>
      </c>
      <c r="D35" s="2840"/>
      <c r="E35" s="200">
        <f t="shared" ca="1" si="7"/>
        <v>0</v>
      </c>
      <c r="F35" s="200">
        <f>SUMIF(修正!A45:A56,G2,修正!D45:D56)</f>
        <v>0.2</v>
      </c>
      <c r="G35" s="200">
        <f ca="1">ROUND(IF(E2="工业",C35*$M$39,C35*$M$38),0)</f>
        <v>36</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52"/>
      <c r="B36" s="2768" t="s">
        <v>2932</v>
      </c>
      <c r="C36" s="206">
        <f ca="1">ROUND(D5*C19*C20*C24*F36,0)</f>
        <v>242</v>
      </c>
      <c r="D36" s="2840"/>
      <c r="E36" s="200">
        <f t="shared" ca="1" si="7"/>
        <v>0</v>
      </c>
      <c r="F36" s="200">
        <f>SUMIF(修正!A45:A56,G2,修正!E45:E56)</f>
        <v>0.2</v>
      </c>
      <c r="G36" s="200">
        <f ca="1">ROUND(IF(E2="工业",C36*$M$39,C36*$M$38),0)</f>
        <v>36</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2933</v>
      </c>
      <c r="C37" s="200">
        <f ca="1">ROUND(D5*C19*C20*C24*F37,0)</f>
        <v>242</v>
      </c>
      <c r="D37" s="2840"/>
      <c r="E37" s="200">
        <f t="shared" ca="1" si="7"/>
        <v>0</v>
      </c>
      <c r="F37" s="206">
        <f>SUMIF(修正!A45:A56,G2,修正!F45:F56)</f>
        <v>0.2</v>
      </c>
      <c r="G37" s="200">
        <f ca="1">ROUND(IF(E2="工业",C37*$M$39,C37*$M$38),0)</f>
        <v>36</v>
      </c>
      <c r="H37" s="200">
        <f t="shared" si="8"/>
        <v>0</v>
      </c>
      <c r="I37" s="200">
        <f t="shared" ca="1" si="9"/>
        <v>0</v>
      </c>
      <c r="J37" s="2857"/>
      <c r="K37" s="1370"/>
      <c r="L37" s="2859" t="s">
        <v>2934</v>
      </c>
      <c r="M37" s="2860"/>
      <c r="N37" s="1370"/>
      <c r="O37" s="1370"/>
      <c r="P37" s="1370"/>
      <c r="Q37" s="1370"/>
      <c r="R37" s="1370"/>
      <c r="S37" s="1370"/>
      <c r="T37" s="1370"/>
      <c r="U37" s="1370"/>
      <c r="V37" s="1370"/>
      <c r="W37" s="1370"/>
      <c r="X37" s="1370"/>
      <c r="Y37" s="1370"/>
      <c r="Z37" s="1371"/>
    </row>
    <row r="38" spans="1:37">
      <c r="A38" s="2858"/>
      <c r="B38" s="2768" t="s">
        <v>2935</v>
      </c>
      <c r="C38" s="200">
        <f ca="1">ROUND(D5*C19*C41*C24*F38,0)</f>
        <v>242</v>
      </c>
      <c r="D38" s="2840">
        <f>'数据-汇总表'!G19</f>
        <v>245.25</v>
      </c>
      <c r="E38" s="200">
        <f t="shared" ca="1" si="7"/>
        <v>6</v>
      </c>
      <c r="F38" s="206">
        <f>SUMIF(修正!A45:A56,G2,修正!G45:G56)</f>
        <v>0.2</v>
      </c>
      <c r="G38" s="200">
        <f ca="1">ROUND(IF(E2="工业",C38*$M$39,C38*$M$38),0)</f>
        <v>36</v>
      </c>
      <c r="H38" s="200">
        <f t="shared" si="8"/>
        <v>245.25</v>
      </c>
      <c r="I38" s="200">
        <f t="shared" ca="1" si="9"/>
        <v>1</v>
      </c>
      <c r="J38" s="2857"/>
      <c r="K38" s="1370"/>
      <c r="L38" s="1887" t="s">
        <v>2936</v>
      </c>
      <c r="M38" s="2861">
        <v>0.25</v>
      </c>
      <c r="N38" s="1370"/>
      <c r="O38" s="1370"/>
      <c r="P38" s="1370"/>
      <c r="Q38" s="1370"/>
      <c r="R38" s="1370"/>
      <c r="S38" s="1370"/>
      <c r="T38" s="1370"/>
      <c r="U38" s="1370"/>
      <c r="V38" s="1370"/>
      <c r="W38" s="1370"/>
      <c r="X38" s="1370"/>
      <c r="Y38" s="1370"/>
      <c r="Z38" s="1371"/>
    </row>
    <row r="39" spans="1:37" ht="13.5" thickBot="1">
      <c r="A39" s="2844"/>
      <c r="B39" s="2862" t="s">
        <v>2937</v>
      </c>
      <c r="C39" s="229">
        <f ca="1">ROUND(D5*C19*C41*C24*F39,0)</f>
        <v>182</v>
      </c>
      <c r="D39" s="2846"/>
      <c r="E39" s="229">
        <f t="shared" ca="1" si="7"/>
        <v>0</v>
      </c>
      <c r="F39" s="932">
        <f>SUMIF(修正!A45:A56,G2,修正!H45:H56)</f>
        <v>0.15</v>
      </c>
      <c r="G39" s="229">
        <f ca="1">ROUND(IF(E2="工业",C39*$M$39,C39*$M$38),0)</f>
        <v>27</v>
      </c>
      <c r="H39" s="229">
        <f t="shared" si="8"/>
        <v>0</v>
      </c>
      <c r="I39" s="229">
        <f t="shared" ca="1" si="9"/>
        <v>0</v>
      </c>
      <c r="J39" s="2863"/>
      <c r="K39" s="1370"/>
      <c r="L39" s="2864" t="s">
        <v>2881</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3048</v>
      </c>
      <c r="C41" s="388">
        <f ca="1">ROUND(POWER(1+E41,H41-G41)*(POWER(1+E41,G41)-1)/(POWER(1+E41,H41)-1),4)</f>
        <v>0.90359999999999996</v>
      </c>
      <c r="D41" s="200" t="s">
        <v>2888</v>
      </c>
      <c r="E41" s="2932">
        <f ca="1">G20</f>
        <v>4.8000000000000001E-2</v>
      </c>
      <c r="F41" s="200" t="s">
        <v>2897</v>
      </c>
      <c r="G41" s="218">
        <f>项目基本情况!I15</f>
        <v>36.21</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2938</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2939</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2940</v>
      </c>
      <c r="B47" s="1809" t="s">
        <v>2941</v>
      </c>
      <c r="C47" s="1809" t="s">
        <v>2942</v>
      </c>
      <c r="D47" s="1809" t="s">
        <v>2943</v>
      </c>
      <c r="E47" s="819" t="s">
        <v>2944</v>
      </c>
      <c r="F47" s="2874" t="s">
        <v>2945</v>
      </c>
      <c r="G47" s="1809" t="s">
        <v>754</v>
      </c>
      <c r="H47" s="2875" t="s">
        <v>2946</v>
      </c>
      <c r="I47" s="1809"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2948</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2949</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2950</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2951</v>
      </c>
      <c r="B51" s="2878" t="s">
        <v>2952</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2953</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2954</v>
      </c>
      <c r="B53" s="2879" t="s">
        <v>2955</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2956</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2957</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2958</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2959</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2940</v>
      </c>
      <c r="B58" s="1809"/>
      <c r="C58" s="1809" t="s">
        <v>2942</v>
      </c>
      <c r="D58" s="1809" t="s">
        <v>2943</v>
      </c>
      <c r="E58" s="819" t="s">
        <v>2944</v>
      </c>
      <c r="F58" s="2874" t="s">
        <v>2960</v>
      </c>
      <c r="G58" s="1809" t="s">
        <v>754</v>
      </c>
      <c r="H58" s="2875" t="s">
        <v>2946</v>
      </c>
      <c r="I58" s="1809"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2961</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2949</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2950</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2951</v>
      </c>
      <c r="B62" s="2878" t="s">
        <v>2952</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2953</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2954</v>
      </c>
      <c r="B64" s="2879" t="s">
        <v>2955</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2956</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2957</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2958</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2962</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2940</v>
      </c>
      <c r="B69" s="1809"/>
      <c r="C69" s="1809" t="s">
        <v>2942</v>
      </c>
      <c r="D69" s="1809" t="s">
        <v>2943</v>
      </c>
      <c r="E69" s="819" t="s">
        <v>2944</v>
      </c>
      <c r="F69" s="2874" t="s">
        <v>2960</v>
      </c>
      <c r="G69" s="1809" t="s">
        <v>754</v>
      </c>
      <c r="H69" s="2875" t="s">
        <v>2946</v>
      </c>
      <c r="I69" s="1809"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2963</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2949</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2950</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2964</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2956</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2957</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2954</v>
      </c>
      <c r="B76" s="2879" t="s">
        <v>2955</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2958</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2965</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2966</v>
      </c>
      <c r="B79" s="2870">
        <f>1+E81</f>
        <v>1.0516000000000001</v>
      </c>
      <c r="C79" s="814"/>
      <c r="D79" s="814"/>
      <c r="E79" s="815"/>
      <c r="F79" s="2872"/>
      <c r="G79" s="6"/>
      <c r="H79" s="6"/>
      <c r="I79" s="6"/>
      <c r="J79" s="7"/>
      <c r="K79" s="7"/>
      <c r="L79" s="7"/>
      <c r="M79" s="7"/>
      <c r="N79" s="7"/>
      <c r="Z79" s="2723"/>
      <c r="AA79" s="2791"/>
      <c r="AG79" s="1372"/>
      <c r="AK79" s="2791"/>
    </row>
    <row r="80" spans="1:37" ht="24.75">
      <c r="A80" s="2873" t="s">
        <v>2940</v>
      </c>
      <c r="B80" s="1809"/>
      <c r="C80" s="1809" t="s">
        <v>2942</v>
      </c>
      <c r="D80" s="1809" t="s">
        <v>2943</v>
      </c>
      <c r="E80" s="819" t="s">
        <v>2944</v>
      </c>
      <c r="F80" s="2874" t="s">
        <v>2960</v>
      </c>
      <c r="G80" s="1809" t="s">
        <v>754</v>
      </c>
      <c r="H80" s="2875" t="s">
        <v>2946</v>
      </c>
      <c r="I80" s="1809" t="s">
        <v>2947</v>
      </c>
      <c r="J80" s="603" t="s">
        <v>2597</v>
      </c>
      <c r="K80" s="603" t="s">
        <v>2598</v>
      </c>
      <c r="L80" s="603" t="s">
        <v>2599</v>
      </c>
      <c r="M80" s="603" t="s">
        <v>2600</v>
      </c>
      <c r="N80" s="603" t="s">
        <v>2601</v>
      </c>
      <c r="Z80" s="2723"/>
      <c r="AA80" s="2791"/>
      <c r="AG80" s="1372"/>
      <c r="AK80" s="2791"/>
    </row>
    <row r="81" spans="1:37" ht="38.25">
      <c r="A81" s="2873" t="s">
        <v>2967</v>
      </c>
      <c r="B81" s="2877" t="str">
        <f>估价对象房地状况!G15</f>
        <v>估价对象位于XX开发区，园区建设成熟度XX，产业集聚程度XX</v>
      </c>
      <c r="C81" s="2773" t="s">
        <v>3100</v>
      </c>
      <c r="D81" s="1286">
        <f t="shared" ref="D81:D88" si="25">SUMIF($J$80:$N$80,C81,J81:N81)</f>
        <v>1.95E-2</v>
      </c>
      <c r="E81" s="821">
        <f>ROUND(SUM(D81:D88),4)</f>
        <v>5.16E-2</v>
      </c>
      <c r="F81" s="2504">
        <f>IF(E2="工业",SUMIF(L1:L12,G2,N1:N12),"——")</f>
        <v>0.15</v>
      </c>
      <c r="G81" s="1284">
        <f>H81</f>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23"/>
      <c r="AA81" s="2791"/>
      <c r="AG81" s="1372"/>
      <c r="AK81" s="2791"/>
    </row>
    <row r="82" spans="1:37" ht="51">
      <c r="A82" s="2873" t="s">
        <v>2949</v>
      </c>
      <c r="B82" s="2877" t="str">
        <f>估价对象房地状况!G16</f>
        <v>估价对象周边道路状况、公共交通通达情况、停车便捷程度，综合评价交通便捷度较好</v>
      </c>
      <c r="C82" s="2773" t="s">
        <v>3100</v>
      </c>
      <c r="D82" s="1286">
        <f t="shared" si="25"/>
        <v>2.47E-2</v>
      </c>
      <c r="E82" s="826"/>
      <c r="F82" s="2504"/>
      <c r="G82" s="1284">
        <f t="shared" ref="G82:G88" si="30">H82</f>
        <v>2.47E-2</v>
      </c>
      <c r="H82" s="1288">
        <f t="shared" si="26"/>
        <v>2.47E-2</v>
      </c>
      <c r="I82" s="820">
        <v>0.33</v>
      </c>
      <c r="J82" s="1285">
        <f t="shared" si="27"/>
        <v>4.9399999999999999E-2</v>
      </c>
      <c r="K82" s="1285">
        <f t="shared" si="28"/>
        <v>2.47E-2</v>
      </c>
      <c r="L82" s="1285">
        <v>0</v>
      </c>
      <c r="M82" s="1285">
        <f t="shared" si="29"/>
        <v>-2.47E-2</v>
      </c>
      <c r="N82" s="1285">
        <f t="shared" si="29"/>
        <v>-4.9399999999999999E-2</v>
      </c>
      <c r="Z82" s="2723"/>
      <c r="AA82" s="2791"/>
      <c r="AG82" s="1372"/>
      <c r="AK82" s="2791"/>
    </row>
    <row r="83" spans="1:37" ht="24">
      <c r="A83" s="2873" t="s">
        <v>2950</v>
      </c>
      <c r="B83" s="2877">
        <f>估价对象房地状况!G17</f>
        <v>0</v>
      </c>
      <c r="C83" s="2773" t="s">
        <v>3100</v>
      </c>
      <c r="D83" s="1286">
        <f t="shared" si="25"/>
        <v>3.7000000000000002E-3</v>
      </c>
      <c r="E83" s="826"/>
      <c r="F83" s="2504"/>
      <c r="G83" s="1284">
        <f t="shared" si="30"/>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23"/>
      <c r="AA83" s="2791"/>
      <c r="AG83" s="1372"/>
      <c r="AK83" s="2791"/>
    </row>
    <row r="84" spans="1:37" ht="14.25">
      <c r="A84" s="2873" t="s">
        <v>2964</v>
      </c>
      <c r="B84" s="2877">
        <f>估价对象房地状况!G22</f>
        <v>0</v>
      </c>
      <c r="C84" s="2773" t="s">
        <v>3101</v>
      </c>
      <c r="D84" s="1286">
        <f t="shared" si="25"/>
        <v>0</v>
      </c>
      <c r="E84" s="826"/>
      <c r="F84" s="2504"/>
      <c r="G84" s="1284">
        <f t="shared" si="30"/>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23"/>
      <c r="AA84" s="2791"/>
      <c r="AG84" s="1372"/>
      <c r="AK84" s="2791"/>
    </row>
    <row r="85" spans="1:37" ht="25.5">
      <c r="A85" s="2873" t="s">
        <v>2956</v>
      </c>
      <c r="B85" s="1725" t="str">
        <f>估价对象房地状况!G19</f>
        <v>估价对象所在区域公共配套设施齐备情况</v>
      </c>
      <c r="C85" s="2773" t="s">
        <v>3101</v>
      </c>
      <c r="D85" s="1286">
        <f t="shared" si="25"/>
        <v>0</v>
      </c>
      <c r="E85" s="826"/>
      <c r="F85" s="2504"/>
      <c r="G85" s="1284">
        <f t="shared" si="30"/>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23"/>
      <c r="AA85" s="2791"/>
      <c r="AG85" s="1372"/>
      <c r="AK85" s="2791"/>
    </row>
    <row r="86" spans="1:37" ht="25.5">
      <c r="A86" s="2873" t="s">
        <v>2957</v>
      </c>
      <c r="B86" s="1725" t="str">
        <f>估价对象房地状况!G20</f>
        <v>估价对象所在区域基础设施水平</v>
      </c>
      <c r="C86" s="2773" t="s">
        <v>3101</v>
      </c>
      <c r="D86" s="1286">
        <f t="shared" si="25"/>
        <v>0</v>
      </c>
      <c r="E86" s="826"/>
      <c r="F86" s="2504"/>
      <c r="G86" s="1284">
        <f t="shared" si="30"/>
        <v>1.12E-2</v>
      </c>
      <c r="H86" s="1288">
        <f t="shared" si="26"/>
        <v>1.12E-2</v>
      </c>
      <c r="I86" s="820">
        <v>0.15</v>
      </c>
      <c r="J86" s="1285">
        <f t="shared" si="27"/>
        <v>2.24E-2</v>
      </c>
      <c r="K86" s="1285">
        <f t="shared" si="28"/>
        <v>1.12E-2</v>
      </c>
      <c r="L86" s="1285">
        <v>0</v>
      </c>
      <c r="M86" s="1285">
        <f t="shared" si="29"/>
        <v>-1.12E-2</v>
      </c>
      <c r="N86" s="1285">
        <f t="shared" si="29"/>
        <v>-2.24E-2</v>
      </c>
      <c r="Z86" s="2723"/>
      <c r="AA86" s="2791"/>
      <c r="AG86" s="1372"/>
      <c r="AK86" s="2791"/>
    </row>
    <row r="87" spans="1:37" ht="24">
      <c r="A87" s="2873" t="s">
        <v>2954</v>
      </c>
      <c r="B87" s="2879" t="s">
        <v>2968</v>
      </c>
      <c r="C87" s="2773" t="s">
        <v>3100</v>
      </c>
      <c r="D87" s="1286">
        <f t="shared" si="25"/>
        <v>3.7000000000000002E-3</v>
      </c>
      <c r="E87" s="826"/>
      <c r="F87" s="2504"/>
      <c r="G87" s="1284">
        <f t="shared" si="30"/>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23"/>
      <c r="AA87" s="2791"/>
      <c r="AG87" s="1372"/>
      <c r="AK87" s="2791"/>
    </row>
    <row r="88" spans="1:37" ht="39" thickBot="1">
      <c r="A88" s="2881" t="s">
        <v>2969</v>
      </c>
      <c r="B88" s="2886" t="str">
        <f>估价对象房地状况!G18</f>
        <v>该园区内是否有污染型企业，绿化情况，卫生条件，整体环境状况判断</v>
      </c>
      <c r="C88" s="2773" t="s">
        <v>3101</v>
      </c>
      <c r="D88" s="1286">
        <f t="shared" si="25"/>
        <v>0</v>
      </c>
      <c r="E88" s="827"/>
      <c r="F88" s="2504"/>
      <c r="G88" s="1284">
        <f t="shared" si="30"/>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23"/>
      <c r="AA88" s="2791"/>
      <c r="AG88" s="1372"/>
      <c r="AK88" s="2791"/>
    </row>
    <row r="90" spans="1:37">
      <c r="A90" s="3244" t="s">
        <v>2970</v>
      </c>
      <c r="B90" s="3244"/>
      <c r="C90" s="3244"/>
      <c r="D90" s="3244"/>
      <c r="E90" s="3244"/>
      <c r="F90" s="3244"/>
      <c r="G90" s="3244"/>
      <c r="H90" s="3244"/>
      <c r="I90" s="3244"/>
      <c r="J90" s="3244"/>
      <c r="K90" s="2887"/>
      <c r="L90" s="2887"/>
      <c r="M90" s="2887"/>
      <c r="N90" s="2887"/>
    </row>
    <row r="91" spans="1:37">
      <c r="A91" s="3246" t="s">
        <v>2971</v>
      </c>
      <c r="B91" s="3246" t="s">
        <v>2972</v>
      </c>
      <c r="C91" s="2841" t="s">
        <v>2973</v>
      </c>
      <c r="D91" s="2842"/>
      <c r="E91" s="2842"/>
      <c r="F91" s="2842"/>
      <c r="G91" s="2842"/>
      <c r="H91" s="2842"/>
      <c r="I91" s="2842"/>
      <c r="J91" s="2888"/>
      <c r="K91" s="2889"/>
      <c r="L91" s="2889"/>
      <c r="M91" s="2889"/>
      <c r="N91" s="2889"/>
    </row>
    <row r="92" spans="1:37">
      <c r="A92" s="3246"/>
      <c r="B92" s="324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47"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8"/>
      <c r="B99" s="2890" t="s">
        <v>2856</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4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47" t="s">
        <v>2975</v>
      </c>
      <c r="B101" s="2894" t="s">
        <v>2976</v>
      </c>
      <c r="C101" s="2895">
        <f>$G$3</f>
        <v>0.27</v>
      </c>
      <c r="D101" s="2895">
        <f t="shared" ref="D101:N101" si="32">$G$3</f>
        <v>0.27</v>
      </c>
      <c r="E101" s="2895">
        <f t="shared" si="32"/>
        <v>0.27</v>
      </c>
      <c r="F101" s="2895">
        <f t="shared" si="32"/>
        <v>0.27</v>
      </c>
      <c r="G101" s="2895">
        <f t="shared" si="32"/>
        <v>0.27</v>
      </c>
      <c r="H101" s="2895">
        <f t="shared" si="32"/>
        <v>0.27</v>
      </c>
      <c r="I101" s="2895">
        <f t="shared" si="32"/>
        <v>0.27</v>
      </c>
      <c r="J101" s="2895">
        <f t="shared" si="32"/>
        <v>0.27</v>
      </c>
      <c r="K101" s="2895">
        <f t="shared" si="32"/>
        <v>0.27</v>
      </c>
      <c r="L101" s="2895">
        <f t="shared" si="32"/>
        <v>0.27</v>
      </c>
      <c r="M101" s="2895">
        <f t="shared" si="32"/>
        <v>0.27</v>
      </c>
      <c r="N101" s="2895">
        <f t="shared" si="32"/>
        <v>0.27</v>
      </c>
    </row>
    <row r="102" spans="1:14">
      <c r="A102" s="3248"/>
      <c r="B102" s="2890">
        <v>1</v>
      </c>
      <c r="C102" s="2891">
        <f>1.9362/C101</f>
        <v>7.1711111111111103</v>
      </c>
      <c r="D102" s="2891">
        <f>1.9362/D101</f>
        <v>7.1711111111111103</v>
      </c>
      <c r="E102" s="2891">
        <f>1.8629/E101</f>
        <v>6.8996296296296293</v>
      </c>
      <c r="F102" s="2891">
        <f>1.8629/F101</f>
        <v>6.8996296296296293</v>
      </c>
      <c r="G102" s="2891">
        <f>1.8629/G101</f>
        <v>6.8996296296296293</v>
      </c>
      <c r="H102" s="2891">
        <f>1.8629/H101</f>
        <v>6.8996296296296293</v>
      </c>
      <c r="I102" s="2891">
        <f>1.8629/I101</f>
        <v>6.8996296296296293</v>
      </c>
      <c r="J102" s="2891">
        <f>1.942/J101</f>
        <v>7.1925925925925922</v>
      </c>
      <c r="K102" s="2891">
        <f>1.942/K101</f>
        <v>7.1925925925925922</v>
      </c>
      <c r="L102" s="2891">
        <f>1.942/L101</f>
        <v>7.1925925925925922</v>
      </c>
      <c r="M102" s="2891">
        <f>1.942/M101</f>
        <v>7.1925925925925922</v>
      </c>
      <c r="N102" s="2891">
        <f>1.942/N101</f>
        <v>7.1925925925925922</v>
      </c>
    </row>
    <row r="103" spans="1:14">
      <c r="A103" s="3248"/>
      <c r="B103" s="2890">
        <v>2</v>
      </c>
      <c r="C103" s="2891">
        <f>1.4198/C101</f>
        <v>5.2585185185185184</v>
      </c>
      <c r="D103" s="2891">
        <f>1.4198/D101</f>
        <v>5.2585185185185184</v>
      </c>
      <c r="E103" s="2891">
        <f>1.3372/E101</f>
        <v>4.952592592592592</v>
      </c>
      <c r="F103" s="2891">
        <f>1.3372/F101</f>
        <v>4.952592592592592</v>
      </c>
      <c r="G103" s="2891">
        <f>1.3372/G101</f>
        <v>4.952592592592592</v>
      </c>
      <c r="H103" s="2891">
        <f>1.3372/H101</f>
        <v>4.952592592592592</v>
      </c>
      <c r="I103" s="2891">
        <f>1.3372/I101</f>
        <v>4.952592592592592</v>
      </c>
      <c r="J103" s="2891">
        <f>1.2799/J101</f>
        <v>4.7403703703703703</v>
      </c>
      <c r="K103" s="2891">
        <f>1.2799/K101</f>
        <v>4.7403703703703703</v>
      </c>
      <c r="L103" s="2891">
        <f>1.2799/L101</f>
        <v>4.7403703703703703</v>
      </c>
      <c r="M103" s="2891">
        <f>1.2799/M101</f>
        <v>4.7403703703703703</v>
      </c>
      <c r="N103" s="2891">
        <f>1.2799/N101</f>
        <v>4.7403703703703703</v>
      </c>
    </row>
    <row r="104" spans="1:14">
      <c r="A104" s="3248"/>
      <c r="B104" s="2890">
        <v>3</v>
      </c>
      <c r="C104" s="2891">
        <f>1.1594/C101</f>
        <v>4.2940740740740742</v>
      </c>
      <c r="D104" s="2891">
        <f>1.1594/D101</f>
        <v>4.2940740740740742</v>
      </c>
      <c r="E104" s="2891">
        <f>1.0788/E101</f>
        <v>3.9955555555555553</v>
      </c>
      <c r="F104" s="2891">
        <f>1.0788/F101</f>
        <v>3.9955555555555553</v>
      </c>
      <c r="G104" s="2891">
        <f>1.0788/G101</f>
        <v>3.9955555555555553</v>
      </c>
      <c r="H104" s="2891">
        <f>1.0788/H101</f>
        <v>3.9955555555555553</v>
      </c>
      <c r="I104" s="2891">
        <f>1.0788/I101</f>
        <v>3.9955555555555553</v>
      </c>
      <c r="J104" s="2891">
        <f>1.0072/J101</f>
        <v>3.7303703703703706</v>
      </c>
      <c r="K104" s="2891">
        <f>1.0072/K101</f>
        <v>3.7303703703703706</v>
      </c>
      <c r="L104" s="2891">
        <f>1.0072/L101</f>
        <v>3.7303703703703706</v>
      </c>
      <c r="M104" s="2891">
        <f>1.0072/M101</f>
        <v>3.7303703703703706</v>
      </c>
      <c r="N104" s="2891">
        <f>1.0072/N101</f>
        <v>3.7303703703703706</v>
      </c>
    </row>
    <row r="105" spans="1:14">
      <c r="A105" s="3248"/>
      <c r="B105" s="2890">
        <v>4</v>
      </c>
      <c r="C105" s="2891">
        <f>0.9622/C101</f>
        <v>3.5637037037037036</v>
      </c>
      <c r="D105" s="2891">
        <f>0.9622/D101</f>
        <v>3.5637037037037036</v>
      </c>
      <c r="E105" s="2891">
        <f>0.8656/E101</f>
        <v>3.2059259259259258</v>
      </c>
      <c r="F105" s="2891">
        <f>0.8656/F101</f>
        <v>3.2059259259259258</v>
      </c>
      <c r="G105" s="2891">
        <f>0.8656/G101</f>
        <v>3.2059259259259258</v>
      </c>
      <c r="H105" s="2891">
        <f>0.8656/H101</f>
        <v>3.2059259259259258</v>
      </c>
      <c r="I105" s="2891">
        <f>0.8656/I101</f>
        <v>3.2059259259259258</v>
      </c>
      <c r="J105" s="2891">
        <f>0.7525/J101</f>
        <v>2.7870370370370368</v>
      </c>
      <c r="K105" s="2891">
        <f>0.7525/K101</f>
        <v>2.7870370370370368</v>
      </c>
      <c r="L105" s="2891">
        <f>0.7525/L101</f>
        <v>2.7870370370370368</v>
      </c>
      <c r="M105" s="2891">
        <f>0.7525/M101</f>
        <v>2.7870370370370368</v>
      </c>
      <c r="N105" s="2891">
        <f>0.7525/N101</f>
        <v>2.7870370370370368</v>
      </c>
    </row>
    <row r="106" spans="1:14">
      <c r="A106" s="3248"/>
      <c r="B106" s="2890">
        <v>5</v>
      </c>
      <c r="C106" s="2891">
        <f>0.8417/C101</f>
        <v>3.1174074074074074</v>
      </c>
      <c r="D106" s="2891">
        <f>0.8417/D101</f>
        <v>3.1174074074074074</v>
      </c>
      <c r="E106" s="2891">
        <f>0.7371/E101</f>
        <v>2.7299999999999995</v>
      </c>
      <c r="F106" s="2891">
        <f>0.7371/F101</f>
        <v>2.7299999999999995</v>
      </c>
      <c r="G106" s="2891">
        <f>0.7371/G101</f>
        <v>2.7299999999999995</v>
      </c>
      <c r="H106" s="2891">
        <f>0.7371/H101</f>
        <v>2.7299999999999995</v>
      </c>
      <c r="I106" s="2891">
        <f>0.7371/I101</f>
        <v>2.7299999999999995</v>
      </c>
      <c r="J106" s="2891">
        <f>0.5659/J101</f>
        <v>2.0959259259259255</v>
      </c>
      <c r="K106" s="2891">
        <f>0.5659/K101</f>
        <v>2.0959259259259255</v>
      </c>
      <c r="L106" s="2891">
        <f>0.5659/L101</f>
        <v>2.0959259259259255</v>
      </c>
      <c r="M106" s="2891">
        <f>0.5659/M101</f>
        <v>2.0959259259259255</v>
      </c>
      <c r="N106" s="2891">
        <f>0.5659/N101</f>
        <v>2.0959259259259255</v>
      </c>
    </row>
    <row r="107" spans="1:14">
      <c r="A107" s="3248"/>
      <c r="B107" s="2890">
        <v>6</v>
      </c>
      <c r="C107" s="2891">
        <f>0.7608/C101</f>
        <v>2.8177777777777777</v>
      </c>
      <c r="D107" s="2891">
        <f>0.7608/D101</f>
        <v>2.8177777777777777</v>
      </c>
      <c r="E107" s="2891">
        <f>0.6482/E101</f>
        <v>2.4007407407407406</v>
      </c>
      <c r="F107" s="2891">
        <f>0.6482/F101</f>
        <v>2.4007407407407406</v>
      </c>
      <c r="G107" s="2891">
        <f>0.6482/G101</f>
        <v>2.4007407407407406</v>
      </c>
      <c r="H107" s="2891">
        <f>0.6482/H101</f>
        <v>2.4007407407407406</v>
      </c>
      <c r="I107" s="2891">
        <f>0.6482/I101</f>
        <v>2.4007407407407406</v>
      </c>
      <c r="J107" s="2891">
        <f>0.4525/J101</f>
        <v>1.6759259259259258</v>
      </c>
      <c r="K107" s="2891">
        <f>0.4525/K101</f>
        <v>1.6759259259259258</v>
      </c>
      <c r="L107" s="2891">
        <f>0.4525/L101</f>
        <v>1.6759259259259258</v>
      </c>
      <c r="M107" s="2891">
        <f>0.4525/M101</f>
        <v>1.6759259259259258</v>
      </c>
      <c r="N107" s="2891">
        <f>0.4525/N101</f>
        <v>1.6759259259259258</v>
      </c>
    </row>
    <row r="108" spans="1:14">
      <c r="A108" s="3248"/>
      <c r="B108" s="3076" t="s">
        <v>2977</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49"/>
      <c r="B109" s="3077"/>
      <c r="C109" s="2893">
        <f>(-0.163*(C108^2)-0.59*C108+7617)*(10^(-4))/C101</f>
        <v>2.8211111111111111</v>
      </c>
      <c r="D109" s="2893">
        <f>(-0.163*(D108^2)-0.59*D108+7617)*(10^(-4))/D101</f>
        <v>2.8211111111111111</v>
      </c>
      <c r="E109" s="2893">
        <f>(-0.161*(E108^2)-7.509*E108+6533)*(10^(-4))/E101</f>
        <v>2.4196296296296294</v>
      </c>
      <c r="F109" s="2893">
        <f>(-0.161*(F108^2)-7.509*F108+6533)*(10^(-4))/F101</f>
        <v>2.4196296296296294</v>
      </c>
      <c r="G109" s="2893">
        <f>(-0.161*(G108^2)-7.509*G108+6533)*(10^(-4))/G101</f>
        <v>2.4196296296296294</v>
      </c>
      <c r="H109" s="2893">
        <f>(-0.161*(H108^2)-7.509*H108+6533)*(10^(-4))/H101</f>
        <v>2.4196296296296294</v>
      </c>
      <c r="I109" s="2893">
        <f>(-0.161*(I108^2)-7.509*I108+6533)*(10^(-4))/I101</f>
        <v>2.4196296296296294</v>
      </c>
      <c r="J109" s="2893">
        <f>(-0.214*(J108^2)-21.991*J108+4665)*(10^(-4))/J101</f>
        <v>1.7277777777777779</v>
      </c>
      <c r="K109" s="2893">
        <f>(-0.214*(K108^2)-21.991*K108+4665)*(10^(-4))/K101</f>
        <v>1.7277777777777779</v>
      </c>
      <c r="L109" s="2893">
        <f>(-0.214*(L108^2)-21.991*L108+4665)*(10^(-4))/L101</f>
        <v>1.7277777777777779</v>
      </c>
      <c r="M109" s="2893">
        <f>(-0.214*(M108^2)-21.991*M108+4665)*(10^(-4))/M101</f>
        <v>1.7277777777777779</v>
      </c>
      <c r="N109" s="2893">
        <f>(-0.214*(N108^2)-21.991*N108+4665)*(10^(-4))/N101</f>
        <v>1.7277777777777779</v>
      </c>
    </row>
    <row r="110" spans="1:14">
      <c r="A110" s="3245" t="s">
        <v>2978</v>
      </c>
      <c r="B110" s="3245"/>
      <c r="C110" s="3245"/>
      <c r="D110" s="3245"/>
      <c r="E110" s="3245"/>
      <c r="F110" s="3245"/>
      <c r="G110" s="3245"/>
      <c r="H110" s="3245"/>
      <c r="I110" s="3245"/>
      <c r="J110" s="3245"/>
      <c r="K110" s="2896"/>
      <c r="L110" s="2896"/>
      <c r="M110" s="2896"/>
      <c r="N110" s="2896"/>
    </row>
    <row r="112" spans="1:14" ht="13.5" thickBot="1"/>
    <row r="113" spans="1:13" ht="25.5" thickBot="1">
      <c r="A113" s="903" t="s">
        <v>2979</v>
      </c>
      <c r="B113" s="1287">
        <f>G3</f>
        <v>0.27</v>
      </c>
      <c r="C113" s="904" t="s">
        <v>2980</v>
      </c>
      <c r="D113" s="905">
        <f>SUMPRODUCT((A115:A118=F113)*(B114:M114=H113)*B115:M118)</f>
        <v>0.56299999999999994</v>
      </c>
      <c r="E113" s="2727" t="s">
        <v>2813</v>
      </c>
      <c r="F113" s="2898" t="str">
        <f>E2</f>
        <v>工业</v>
      </c>
      <c r="G113" s="2727" t="s">
        <v>2814</v>
      </c>
      <c r="H113" s="2898" t="str">
        <f>G2</f>
        <v>八级</v>
      </c>
      <c r="I113" s="2727"/>
      <c r="J113" s="2899"/>
      <c r="K113" s="2899"/>
      <c r="L113" s="2899"/>
      <c r="M113" s="2899"/>
    </row>
    <row r="114" spans="1:13">
      <c r="A114" s="908"/>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9" t="s">
        <v>2878</v>
      </c>
      <c r="B115" s="910">
        <f>ROUND(0.9335-0.0094*B113,4)</f>
        <v>0.93100000000000005</v>
      </c>
      <c r="C115" s="910">
        <f>B115</f>
        <v>0.93100000000000005</v>
      </c>
      <c r="D115" s="910">
        <f>ROUND(0.8331-0.0109*B113,4)</f>
        <v>0.83020000000000005</v>
      </c>
      <c r="E115" s="910">
        <f>D115</f>
        <v>0.83020000000000005</v>
      </c>
      <c r="F115" s="910">
        <f>E115</f>
        <v>0.83020000000000005</v>
      </c>
      <c r="G115" s="910">
        <f>F115</f>
        <v>0.83020000000000005</v>
      </c>
      <c r="H115" s="910">
        <f>G115</f>
        <v>0.83020000000000005</v>
      </c>
      <c r="I115" s="910">
        <f>ROUND(0.689-0.0155*B113,4)</f>
        <v>0.68479999999999996</v>
      </c>
      <c r="J115" s="910">
        <f t="shared" ref="J115:M118" si="34">I115</f>
        <v>0.68479999999999996</v>
      </c>
      <c r="K115" s="910">
        <f t="shared" si="34"/>
        <v>0.68479999999999996</v>
      </c>
      <c r="L115" s="910">
        <f t="shared" si="34"/>
        <v>0.68479999999999996</v>
      </c>
      <c r="M115" s="911">
        <f t="shared" si="34"/>
        <v>0.68479999999999996</v>
      </c>
    </row>
    <row r="116" spans="1:13">
      <c r="A116" s="909" t="s">
        <v>2879</v>
      </c>
      <c r="B116" s="910">
        <f>ROUND(0.949-0.012*B113,4)</f>
        <v>0.94579999999999997</v>
      </c>
      <c r="C116" s="910">
        <f>B116</f>
        <v>0.94579999999999997</v>
      </c>
      <c r="D116" s="910">
        <f>ROUND(0.8567-0.013*B113,4)</f>
        <v>0.85319999999999996</v>
      </c>
      <c r="E116" s="910">
        <f t="shared" ref="E116:H117" si="35">D116</f>
        <v>0.85319999999999996</v>
      </c>
      <c r="F116" s="910">
        <f t="shared" si="35"/>
        <v>0.85319999999999996</v>
      </c>
      <c r="G116" s="910">
        <f t="shared" si="35"/>
        <v>0.85319999999999996</v>
      </c>
      <c r="H116" s="910">
        <f t="shared" si="35"/>
        <v>0.85319999999999996</v>
      </c>
      <c r="I116" s="910">
        <f>ROUND(0.7694-0.014*B113,4)</f>
        <v>0.76559999999999995</v>
      </c>
      <c r="J116" s="910">
        <f t="shared" si="34"/>
        <v>0.76559999999999995</v>
      </c>
      <c r="K116" s="910">
        <f t="shared" si="34"/>
        <v>0.76559999999999995</v>
      </c>
      <c r="L116" s="910">
        <f t="shared" si="34"/>
        <v>0.76559999999999995</v>
      </c>
      <c r="M116" s="911">
        <f t="shared" si="34"/>
        <v>0.76559999999999995</v>
      </c>
    </row>
    <row r="117" spans="1:13">
      <c r="A117" s="909" t="s">
        <v>2880</v>
      </c>
      <c r="B117" s="910">
        <f>ROUND(0.8808-0.006*B113,4)</f>
        <v>0.87919999999999998</v>
      </c>
      <c r="C117" s="910">
        <f>B117</f>
        <v>0.87919999999999998</v>
      </c>
      <c r="D117" s="910">
        <f>ROUND(0.8748-0.008*B113,4)</f>
        <v>0.87260000000000004</v>
      </c>
      <c r="E117" s="910">
        <f t="shared" si="35"/>
        <v>0.87260000000000004</v>
      </c>
      <c r="F117" s="910">
        <f t="shared" si="35"/>
        <v>0.87260000000000004</v>
      </c>
      <c r="G117" s="910">
        <f t="shared" si="35"/>
        <v>0.87260000000000004</v>
      </c>
      <c r="H117" s="910">
        <f t="shared" si="35"/>
        <v>0.87260000000000004</v>
      </c>
      <c r="I117" s="910">
        <f>ROUND(0.7412-0.0095*B113,4)</f>
        <v>0.73860000000000003</v>
      </c>
      <c r="J117" s="910">
        <f t="shared" si="34"/>
        <v>0.73860000000000003</v>
      </c>
      <c r="K117" s="910">
        <f t="shared" si="34"/>
        <v>0.73860000000000003</v>
      </c>
      <c r="L117" s="910">
        <f t="shared" si="34"/>
        <v>0.73860000000000003</v>
      </c>
      <c r="M117" s="911">
        <f t="shared" si="34"/>
        <v>0.73860000000000003</v>
      </c>
    </row>
    <row r="118" spans="1:13" ht="13.5" thickBot="1">
      <c r="A118" s="714" t="s">
        <v>2881</v>
      </c>
      <c r="B118" s="912">
        <f>ROUND(0.7275-0.01*B113,4)</f>
        <v>0.7248</v>
      </c>
      <c r="C118" s="912">
        <f>B118</f>
        <v>0.7248</v>
      </c>
      <c r="D118" s="912">
        <f>ROUND(0.7043-0.012*B113,4)</f>
        <v>0.70109999999999995</v>
      </c>
      <c r="E118" s="912">
        <f>D118</f>
        <v>0.70109999999999995</v>
      </c>
      <c r="F118" s="912">
        <f>E118</f>
        <v>0.70109999999999995</v>
      </c>
      <c r="G118" s="912">
        <f>ROUND(0.6299-0.0122*B113,4)</f>
        <v>0.62660000000000005</v>
      </c>
      <c r="H118" s="912">
        <f>G118</f>
        <v>0.62660000000000005</v>
      </c>
      <c r="I118" s="912">
        <f>ROUND(0.5667-0.0136*B113,4)</f>
        <v>0.56299999999999994</v>
      </c>
      <c r="J118" s="912">
        <f t="shared" si="34"/>
        <v>0.56299999999999994</v>
      </c>
      <c r="K118" s="912">
        <f t="shared" si="34"/>
        <v>0.56299999999999994</v>
      </c>
      <c r="L118" s="912">
        <f t="shared" si="34"/>
        <v>0.56299999999999994</v>
      </c>
      <c r="M118" s="913">
        <f t="shared" si="34"/>
        <v>0.56299999999999994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3001</v>
      </c>
    </row>
    <row r="2" spans="1:5" ht="15.75">
      <c r="A2" s="2905" t="s">
        <v>2993</v>
      </c>
      <c r="B2" s="2906">
        <f ca="1">SUMIF(B6:B13,"&lt;&gt;#ref!",B6:B13)</f>
        <v>9292</v>
      </c>
      <c r="C2" s="2905" t="s">
        <v>2994</v>
      </c>
      <c r="D2" s="2905" t="s">
        <v>2995</v>
      </c>
      <c r="E2" s="2906">
        <f ca="1">SUMIF(E6:E13,"&lt;&gt;#ref!",E6:E13)</f>
        <v>20228.240000000002</v>
      </c>
    </row>
    <row r="3" spans="1:5" ht="15.75">
      <c r="A3" s="2905" t="s">
        <v>2996</v>
      </c>
      <c r="B3" s="2906">
        <f ca="1">ROUND(B2*10000/E2,0)</f>
        <v>4594</v>
      </c>
      <c r="C3" s="2905" t="s">
        <v>3002</v>
      </c>
      <c r="D3" s="2907"/>
      <c r="E3" s="2907"/>
    </row>
    <row r="4" spans="1:5" ht="15.75">
      <c r="A4" s="2908"/>
      <c r="B4" s="2907"/>
      <c r="C4" s="2907"/>
      <c r="D4" s="2907"/>
      <c r="E4" s="2907"/>
    </row>
    <row r="5" spans="1:5" ht="28.5">
      <c r="A5" s="2909" t="s">
        <v>2997</v>
      </c>
      <c r="B5" s="2905" t="s">
        <v>2998</v>
      </c>
      <c r="C5" s="2906"/>
      <c r="D5" s="2907"/>
      <c r="E5" s="2905" t="s">
        <v>2999</v>
      </c>
    </row>
    <row r="6" spans="1:5" ht="15.75">
      <c r="A6" s="2910" t="s">
        <v>3000</v>
      </c>
      <c r="B6" s="2906">
        <f ca="1">SUMIF(INDIRECT("'"&amp;A6&amp;"'"&amp;"!A:A"),"总价",INDIRECT("'"&amp;A6&amp;"'"&amp;"!B:B"))</f>
        <v>9292</v>
      </c>
      <c r="C6" s="2905" t="s">
        <v>2994</v>
      </c>
      <c r="D6" s="2907"/>
      <c r="E6" s="2578">
        <f ca="1">SUMIF(INDIRECT("'"&amp;A6&amp;"'"&amp;"!C:C"),"建筑面积",INDIRECT("'"&amp;A6&amp;"'"&amp;"!D:D"))</f>
        <v>20228.240000000002</v>
      </c>
    </row>
    <row r="7" spans="1:5" ht="15.75">
      <c r="A7" s="2910"/>
      <c r="B7" s="2906" t="e">
        <f ca="1">SUMIF(INDIRECT("'"&amp;A7&amp;"'"&amp;"!A:A"),"总价",INDIRECT("'"&amp;A7&amp;"'"&amp;"!B:B"))</f>
        <v>#REF!</v>
      </c>
      <c r="C7" s="2905" t="s">
        <v>2994</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2994</v>
      </c>
      <c r="D8" s="2907"/>
      <c r="E8" s="2578" t="e">
        <f t="shared" ca="1" si="0"/>
        <v>#REF!</v>
      </c>
    </row>
    <row r="9" spans="1:5" ht="15.75">
      <c r="A9" s="2910"/>
      <c r="B9" s="2906" t="e">
        <f t="shared" ca="1" si="1"/>
        <v>#REF!</v>
      </c>
      <c r="C9" s="2905" t="s">
        <v>2994</v>
      </c>
      <c r="D9" s="2907"/>
      <c r="E9" s="2578" t="e">
        <f t="shared" ca="1" si="0"/>
        <v>#REF!</v>
      </c>
    </row>
    <row r="10" spans="1:5" ht="15.75">
      <c r="A10" s="2910"/>
      <c r="B10" s="2906" t="e">
        <f t="shared" ca="1" si="1"/>
        <v>#REF!</v>
      </c>
      <c r="C10" s="2905" t="s">
        <v>2994</v>
      </c>
      <c r="D10" s="2907"/>
      <c r="E10" s="2578" t="e">
        <f t="shared" ca="1" si="0"/>
        <v>#REF!</v>
      </c>
    </row>
    <row r="11" spans="1:5" ht="15.75">
      <c r="A11" s="2910"/>
      <c r="B11" s="2906" t="e">
        <f t="shared" ca="1" si="1"/>
        <v>#REF!</v>
      </c>
      <c r="C11" s="2905" t="s">
        <v>2994</v>
      </c>
      <c r="D11" s="2907"/>
      <c r="E11" s="2578" t="e">
        <f t="shared" ca="1" si="0"/>
        <v>#REF!</v>
      </c>
    </row>
    <row r="12" spans="1:5" ht="15.75">
      <c r="A12" s="2910"/>
      <c r="B12" s="2906" t="e">
        <f t="shared" ca="1" si="1"/>
        <v>#REF!</v>
      </c>
      <c r="C12" s="2905" t="s">
        <v>2994</v>
      </c>
      <c r="D12" s="2907"/>
      <c r="E12" s="2578" t="e">
        <f t="shared" ca="1" si="0"/>
        <v>#REF!</v>
      </c>
    </row>
    <row r="13" spans="1:5" ht="15.75">
      <c r="A13" s="2910"/>
      <c r="B13" s="2906" t="e">
        <f t="shared" ca="1" si="1"/>
        <v>#REF!</v>
      </c>
      <c r="C13" s="2905" t="s">
        <v>2994</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3036</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3037</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3052</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3049</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3054</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69">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3043</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9"/>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3042</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9"/>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3035</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3032</v>
      </c>
      <c r="B12" s="1469">
        <v>439</v>
      </c>
      <c r="C12" s="1469">
        <v>327</v>
      </c>
      <c r="D12" s="1469">
        <f>C12</f>
        <v>327</v>
      </c>
      <c r="E12" s="1469">
        <v>627</v>
      </c>
      <c r="F12" s="1470">
        <v>283</v>
      </c>
      <c r="G12" s="327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3033</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9"/>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9"/>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9"/>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9"/>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0"/>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8">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9"/>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9"/>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0"/>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8">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9"/>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9"/>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0"/>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8">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9"/>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9"/>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0"/>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8">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9">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9">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0">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8">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9">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9">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0">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8">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9">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9">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0">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8">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9">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9">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0">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8">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9">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9">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0">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8">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9">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9">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0">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8">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9">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9">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0">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8">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9">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9">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0">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8">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9">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9">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0">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8">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9">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9">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0">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8" t="s">
        <v>3004</v>
      </c>
      <c r="D1" s="3279"/>
      <c r="E1" s="3279"/>
      <c r="F1" s="3279"/>
      <c r="G1" s="3279"/>
      <c r="H1" s="3279"/>
      <c r="I1" s="3279"/>
      <c r="J1" s="3279"/>
      <c r="K1" s="3279"/>
      <c r="L1" s="3279"/>
      <c r="M1" s="3279"/>
      <c r="N1" s="3279"/>
      <c r="O1" s="3279"/>
      <c r="P1" s="3279"/>
      <c r="Q1" s="3279"/>
      <c r="R1" s="3279"/>
      <c r="S1" s="3280"/>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3013</v>
      </c>
      <c r="B17" s="2912"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4" t="s">
        <v>3017</v>
      </c>
      <c r="E20" s="1793"/>
      <c r="F20" s="1204" t="e">
        <f ca="1">SUMIF(INDIRECT("'"&amp;H20&amp;"'"&amp;"!A:A"),"承租人权益价值",INDIRECT("'"&amp;H20&amp;"'"&amp;"!c:c"))</f>
        <v>#REF!</v>
      </c>
      <c r="G20" s="1204" t="s">
        <v>3018</v>
      </c>
      <c r="H20" s="2915"/>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1625</v>
      </c>
      <c r="C4" s="2960"/>
      <c r="D4" s="2960"/>
      <c r="E4" s="1960"/>
    </row>
    <row r="5" spans="1:5" ht="16.5" thickTop="1">
      <c r="A5" s="1958"/>
      <c r="B5" s="2958" t="s">
        <v>1617</v>
      </c>
      <c r="C5" s="1961" t="s">
        <v>1618</v>
      </c>
      <c r="D5" s="1040">
        <f ca="1">结果表!H101</f>
        <v>31623</v>
      </c>
      <c r="E5" s="1958"/>
    </row>
    <row r="6" spans="1:5" ht="15.75">
      <c r="A6" s="1958"/>
      <c r="B6" s="2958"/>
      <c r="C6" s="1961" t="s">
        <v>1619</v>
      </c>
      <c r="D6" s="1040" t="str">
        <f ca="1">NUMBERSTRING(INT(D5*10000),2)&amp;"元整"</f>
        <v>叁亿壹仟陆佰贰拾叁万元整</v>
      </c>
      <c r="E6" s="1958"/>
    </row>
    <row r="7" spans="1:5" ht="15.75">
      <c r="A7" s="1958"/>
      <c r="B7" s="2963"/>
      <c r="C7" s="1962" t="s">
        <v>1620</v>
      </c>
      <c r="D7" s="1041">
        <f ca="1">结果表!H102</f>
        <v>15633</v>
      </c>
      <c r="E7" s="1958"/>
    </row>
    <row r="8" spans="1:5" ht="15.75">
      <c r="A8" s="1958"/>
      <c r="B8" s="2964" t="str">
        <f>结果表!E103</f>
        <v>2.估价师知悉的法定优先受偿款</v>
      </c>
      <c r="C8" s="1963" t="s">
        <v>1621</v>
      </c>
      <c r="D8" s="1041">
        <f>结果表!H103</f>
        <v>0</v>
      </c>
      <c r="E8" s="1958"/>
    </row>
    <row r="9" spans="1:5" ht="15.75">
      <c r="A9" s="1958"/>
      <c r="B9" s="296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7" t="str">
        <f>结果表!E107</f>
        <v>3.房地产抵押价值</v>
      </c>
      <c r="C13" s="1966" t="s">
        <v>1618</v>
      </c>
      <c r="D13" s="1043">
        <f ca="1">结果表!H107</f>
        <v>31623</v>
      </c>
      <c r="E13" s="1958"/>
    </row>
    <row r="14" spans="1:5" ht="15.75">
      <c r="A14" s="1958"/>
      <c r="B14" s="2958"/>
      <c r="C14" s="1961" t="s">
        <v>1619</v>
      </c>
      <c r="D14" s="1040" t="str">
        <f ca="1">NUMBERSTRING(INT(D13*10000),2)&amp;"元整"</f>
        <v>叁亿壹仟陆佰贰拾叁万元整</v>
      </c>
      <c r="E14" s="1958"/>
    </row>
    <row r="15" spans="1:5" ht="15">
      <c r="A15" s="1958"/>
      <c r="B15" s="2963"/>
      <c r="C15" s="1962" t="s">
        <v>1629</v>
      </c>
      <c r="D15" s="1052">
        <f ca="1">结果表!H108</f>
        <v>15633</v>
      </c>
      <c r="E15" s="1958"/>
    </row>
    <row r="16" spans="1:5" ht="15">
      <c r="A16" s="1958"/>
      <c r="B16" s="2964" t="str">
        <f>结果表!E109</f>
        <v>——</v>
      </c>
      <c r="C16" s="1966" t="s">
        <v>1630</v>
      </c>
      <c r="D16" s="1967" t="str">
        <f>结果表!H109</f>
        <v>——</v>
      </c>
      <c r="E16" s="1958"/>
    </row>
    <row r="17" spans="1:5" ht="15.75">
      <c r="A17" s="1958"/>
      <c r="B17" s="2965"/>
      <c r="C17" s="1961" t="s">
        <v>1631</v>
      </c>
      <c r="D17" s="1040" t="e">
        <f>NUMBERSTRING(INT(D16*10000),2)&amp;"元整"</f>
        <v>#VALUE!</v>
      </c>
      <c r="E17" s="1958"/>
    </row>
    <row r="18" spans="1:5" ht="15">
      <c r="A18" s="1958"/>
      <c r="B18" s="2966"/>
      <c r="C18" s="1962" t="s">
        <v>1620</v>
      </c>
      <c r="D18" s="1052" t="str">
        <f>结果表!H110</f>
        <v>——</v>
      </c>
      <c r="E18" s="1958"/>
    </row>
    <row r="19" spans="1:5" ht="15.75">
      <c r="A19" s="1958"/>
      <c r="B19" s="2957" t="str">
        <f>结果表!E111</f>
        <v>——</v>
      </c>
      <c r="C19" s="1966" t="s">
        <v>1618</v>
      </c>
      <c r="D19" s="1041" t="str">
        <f>结果表!H111</f>
        <v>——</v>
      </c>
      <c r="E19" s="1958"/>
    </row>
    <row r="20" spans="1:5" ht="15.75">
      <c r="A20" s="1958"/>
      <c r="B20" s="2958"/>
      <c r="C20" s="1961" t="s">
        <v>1631</v>
      </c>
      <c r="D20" s="1040" t="e">
        <f>NUMBERSTRING(INT(D19*10000),2)&amp;"元整"</f>
        <v>#VALUE!</v>
      </c>
      <c r="E20" s="1958"/>
    </row>
    <row r="21" spans="1:5" ht="15.75" thickBot="1">
      <c r="A21" s="1958"/>
      <c r="B21" s="295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30440</v>
      </c>
      <c r="C2" s="2" t="s">
        <v>133</v>
      </c>
      <c r="D2" s="243"/>
      <c r="E2" s="243"/>
      <c r="F2" s="243"/>
      <c r="G2" s="243"/>
    </row>
    <row r="3" spans="1:7" s="244" customFormat="1" ht="18" customHeight="1" thickBot="1">
      <c r="A3" s="247" t="s">
        <v>85</v>
      </c>
      <c r="B3" s="248">
        <f ca="1">ROUND(B2*10000/'数据-汇总表'!E3,0)</f>
        <v>15048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405</v>
      </c>
      <c r="D10" s="1032">
        <f>'数据-汇总表'!E6</f>
        <v>20228.240000000002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405</v>
      </c>
      <c r="D19" s="1036">
        <f>'数据-汇总表'!E3</f>
        <v>20228.240000000002</v>
      </c>
      <c r="E19" s="255">
        <f>'数据-取费表'!B31</f>
        <v>200</v>
      </c>
      <c r="F19" s="275"/>
      <c r="G19" s="1" t="s">
        <v>1071</v>
      </c>
    </row>
    <row r="20" spans="1:7" s="258" customFormat="1" ht="13.5" customHeight="1">
      <c r="A20" s="948" t="s">
        <v>1054</v>
      </c>
      <c r="B20" s="254" t="s">
        <v>104</v>
      </c>
      <c r="C20" s="276">
        <f>ROUND((C5+C19)*F20,0)</f>
        <v>315</v>
      </c>
      <c r="D20" s="276"/>
      <c r="E20" s="276"/>
      <c r="F20" s="277">
        <f>'数据-取费表'!B37</f>
        <v>1.4999999999999999E-2</v>
      </c>
      <c r="G20" s="1289" t="s">
        <v>1065</v>
      </c>
    </row>
    <row r="21" spans="1:7" s="258" customFormat="1" ht="13.5" customHeight="1">
      <c r="A21" s="948" t="s">
        <v>1056</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1526</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v>
      </c>
      <c r="D24" s="282"/>
      <c r="E24" s="282"/>
      <c r="F24" s="283"/>
      <c r="G24" s="284" t="s">
        <v>109</v>
      </c>
    </row>
    <row r="25" spans="1:7" s="258" customFormat="1" ht="24">
      <c r="A25" s="951" t="s">
        <v>793</v>
      </c>
      <c r="B25" s="259" t="s">
        <v>1055</v>
      </c>
      <c r="C25" s="1355">
        <f ca="1">ROUND(IF('数据-取费表'!B22&lt;=1,C20*F22*'数据-取费表'!B23/2,C20*(POWER((1+F22),'数据-取费表'!B23/2)-1)),0)</f>
        <v>11</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2133</v>
      </c>
      <c r="D27" s="279">
        <f>C29</f>
        <v>1.5E-3</v>
      </c>
      <c r="E27" s="280" t="s">
        <v>126</v>
      </c>
      <c r="F27" s="290">
        <f>'数据-取费表'!Q16</f>
        <v>0.1</v>
      </c>
      <c r="G27" s="291" t="s">
        <v>1066</v>
      </c>
    </row>
    <row r="28" spans="1:7" s="258" customFormat="1" ht="13.5" customHeight="1">
      <c r="A28" s="951" t="s">
        <v>794</v>
      </c>
      <c r="B28" s="292" t="s">
        <v>1059</v>
      </c>
      <c r="C28" s="293">
        <f>ROUND((C5+C19+C20)*F27*'数据-取费表'!B21/'数据-取费表'!B20,0)</f>
        <v>2133</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26880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4633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4046</v>
      </c>
      <c r="D34" s="261"/>
      <c r="E34" s="264"/>
      <c r="F34" s="301">
        <f>IF('数据-取费表'!B24=0,1,'数据-取费表'!N16)</f>
        <v>1</v>
      </c>
      <c r="G34" s="263" t="s">
        <v>116</v>
      </c>
    </row>
    <row r="35" spans="1:7" ht="13.5" customHeight="1">
      <c r="A35" s="951" t="s">
        <v>796</v>
      </c>
      <c r="B35" s="259" t="s">
        <v>60</v>
      </c>
      <c r="C35" s="264">
        <f>ROUND(C34*F35,0)</f>
        <v>121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405</v>
      </c>
      <c r="D37" s="261">
        <f>'数据-汇总表'!E3</f>
        <v>20228.240000000002</v>
      </c>
      <c r="E37" s="293">
        <f>'数据-取费表'!B35</f>
        <v>200</v>
      </c>
      <c r="F37" s="303"/>
      <c r="G37" s="305" t="s">
        <v>119</v>
      </c>
    </row>
    <row r="38" spans="1:7" ht="13.5" customHeight="1">
      <c r="A38" s="951" t="s">
        <v>799</v>
      </c>
      <c r="B38" s="259" t="s">
        <v>63</v>
      </c>
      <c r="C38" s="264">
        <f>ROUND(C34*F38,0)</f>
        <v>61</v>
      </c>
      <c r="D38" s="264"/>
      <c r="E38" s="264"/>
      <c r="F38" s="303">
        <f>'数据-取费表'!B36</f>
        <v>1.4999999999999999E-2</v>
      </c>
      <c r="G38" s="263" t="s">
        <v>117</v>
      </c>
    </row>
    <row r="39" spans="1:7" s="258" customFormat="1" ht="13.5" customHeight="1">
      <c r="A39" s="948" t="s">
        <v>783</v>
      </c>
      <c r="B39" s="254" t="s">
        <v>104</v>
      </c>
      <c r="C39" s="276">
        <f>ROUND(C33*F20,0)</f>
        <v>69</v>
      </c>
      <c r="D39" s="276"/>
      <c r="E39" s="276"/>
      <c r="F39" s="277"/>
      <c r="G39" s="1289" t="s">
        <v>1068</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166</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164</v>
      </c>
      <c r="D42" s="282"/>
      <c r="E42" s="282"/>
      <c r="F42" s="283"/>
      <c r="G42" s="3142" t="s">
        <v>121</v>
      </c>
    </row>
    <row r="43" spans="1:7" ht="13.5" customHeight="1">
      <c r="A43" s="951" t="s">
        <v>792</v>
      </c>
      <c r="B43" s="259" t="s">
        <v>1061</v>
      </c>
      <c r="C43" s="282">
        <f ca="1">ROUND(IF('数据-取费表'!B22&lt;=1,C39*F22*'数据-取费表'!B21/2,C39*(POWER((1+F22),'数据-取费表'!B21/2)-1)),0)</f>
        <v>2</v>
      </c>
      <c r="D43" s="282"/>
      <c r="E43" s="282"/>
      <c r="F43" s="283"/>
      <c r="G43" s="3143"/>
    </row>
    <row r="44" spans="1:7" ht="13.5" customHeight="1">
      <c r="A44" s="951" t="s">
        <v>793</v>
      </c>
      <c r="B44" s="259" t="s">
        <v>1063</v>
      </c>
      <c r="C44" s="282">
        <f ca="1">ROUND(IF('数据-取费表'!B22&lt;=1,C40*F22*'数据-取费表'!B21/2,C40*(POWER((1+F22),'数据-取费表'!B21/2)-1)),4)</f>
        <v>5.0000000000000001E-4</v>
      </c>
      <c r="D44" s="282"/>
      <c r="E44" s="282"/>
      <c r="F44" s="283"/>
      <c r="G44" s="3144"/>
    </row>
    <row r="45" spans="1:7" s="258" customFormat="1" ht="13.5" customHeight="1">
      <c r="A45" s="948" t="s">
        <v>786</v>
      </c>
      <c r="B45" s="288" t="s">
        <v>112</v>
      </c>
      <c r="C45" s="289">
        <f>C46</f>
        <v>470</v>
      </c>
      <c r="D45" s="279">
        <f>C47</f>
        <v>1.5E-3</v>
      </c>
      <c r="E45" s="280" t="s">
        <v>129</v>
      </c>
      <c r="F45" s="290"/>
      <c r="G45" s="291" t="s">
        <v>1069</v>
      </c>
    </row>
    <row r="46" spans="1:7" s="258" customFormat="1" ht="13.5" customHeight="1">
      <c r="A46" s="951" t="s">
        <v>794</v>
      </c>
      <c r="B46" s="292" t="s">
        <v>1062</v>
      </c>
      <c r="C46" s="293">
        <f>ROUND((C33+C39)*F27,0)</f>
        <v>470</v>
      </c>
      <c r="D46" s="307"/>
      <c r="E46" s="280"/>
      <c r="F46" s="290"/>
      <c r="G46" s="291"/>
    </row>
    <row r="47" spans="1:7" s="258" customFormat="1" ht="13.5" customHeight="1">
      <c r="A47" s="951" t="s">
        <v>792</v>
      </c>
      <c r="B47" s="292" t="s">
        <v>1064</v>
      </c>
      <c r="C47" s="282">
        <f>ROUND(C40*F27,4)</f>
        <v>1.5E-3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5742</v>
      </c>
      <c r="D49" s="276"/>
      <c r="E49" s="276"/>
      <c r="F49" s="308"/>
      <c r="G49" s="278" t="s">
        <v>1070</v>
      </c>
    </row>
    <row r="50" spans="1:7" s="302" customFormat="1" ht="24">
      <c r="A50" s="948" t="s">
        <v>789</v>
      </c>
      <c r="B50" s="254" t="s">
        <v>124</v>
      </c>
      <c r="C50" s="276"/>
      <c r="D50" s="276"/>
      <c r="E50" s="276"/>
      <c r="F50" s="308">
        <f>IF('数据-取费表'!B24=0,'数据-取费表'!N16,1)</f>
        <v>0.62</v>
      </c>
      <c r="G50" s="291" t="s">
        <v>125</v>
      </c>
    </row>
    <row r="51" spans="1:7" ht="16.5" customHeight="1">
      <c r="A51" s="948" t="s">
        <v>790</v>
      </c>
      <c r="B51" s="254" t="s">
        <v>132</v>
      </c>
      <c r="C51" s="276">
        <f ca="1">ROUND(C49*F50,0)</f>
        <v>3560</v>
      </c>
      <c r="D51" s="276"/>
      <c r="E51" s="276"/>
      <c r="F51" s="308"/>
      <c r="G51" s="278" t="s">
        <v>64</v>
      </c>
    </row>
    <row r="52" spans="1:7" s="252" customFormat="1" ht="16.5" thickBot="1">
      <c r="A52" s="309" t="s">
        <v>65</v>
      </c>
      <c r="B52" s="310"/>
      <c r="C52" s="311">
        <f ca="1">C31+C51</f>
        <v>30440</v>
      </c>
      <c r="D52" s="310"/>
      <c r="E52" s="310"/>
      <c r="F52" s="310"/>
      <c r="G52" s="312"/>
    </row>
    <row r="55" spans="1:7" ht="15">
      <c r="B55" s="314" t="s">
        <v>66</v>
      </c>
      <c r="C55" s="315"/>
    </row>
    <row r="56" spans="1:7">
      <c r="B56" s="317" t="s">
        <v>67</v>
      </c>
      <c r="C56" s="318">
        <f ca="1">ROUND(C51/C52,3)</f>
        <v>0.11700000000000001</v>
      </c>
    </row>
    <row r="57" spans="1:7">
      <c r="B57" s="317" t="s">
        <v>68</v>
      </c>
      <c r="C57" s="319">
        <f ca="1">1-C56</f>
        <v>0.88300000000000001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43707</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I6" sqref="I6"/>
    </sheetView>
  </sheetViews>
  <sheetFormatPr defaultRowHeight="13.5"/>
  <cols>
    <col min="5" max="5" width="12" customWidth="1"/>
  </cols>
  <sheetData>
    <row r="1" spans="1:7">
      <c r="B1" s="3286" t="s">
        <v>3074</v>
      </c>
      <c r="F1" s="3286" t="s">
        <v>3082</v>
      </c>
    </row>
    <row r="2" spans="1:7">
      <c r="A2" s="3286" t="s">
        <v>3067</v>
      </c>
      <c r="B2" s="3287" t="s">
        <v>3075</v>
      </c>
      <c r="C2" s="3286" t="s">
        <v>3077</v>
      </c>
      <c r="D2">
        <v>1995</v>
      </c>
      <c r="E2">
        <v>3636.6</v>
      </c>
      <c r="F2">
        <f>ROUND((2019-D2)/50,2)</f>
        <v>0.48</v>
      </c>
      <c r="G2">
        <f>F2*E2</f>
        <v>1745.568</v>
      </c>
    </row>
    <row r="3" spans="1:7">
      <c r="A3" s="3286" t="s">
        <v>3068</v>
      </c>
      <c r="B3">
        <v>1</v>
      </c>
      <c r="C3" s="3286" t="s">
        <v>3077</v>
      </c>
      <c r="D3">
        <v>1995</v>
      </c>
      <c r="E3">
        <v>275.39999999999998</v>
      </c>
      <c r="F3">
        <f t="shared" ref="F3:F5" si="0">ROUND((2019-D3)/50,2)</f>
        <v>0.48</v>
      </c>
      <c r="G3">
        <f t="shared" ref="G3:G8" si="1">F3*E3</f>
        <v>132.19199999999998</v>
      </c>
    </row>
    <row r="4" spans="1:7">
      <c r="A4" s="3286" t="s">
        <v>3069</v>
      </c>
      <c r="B4">
        <v>1</v>
      </c>
      <c r="C4" s="3286" t="s">
        <v>3077</v>
      </c>
      <c r="D4">
        <v>1995</v>
      </c>
      <c r="E4">
        <v>706</v>
      </c>
      <c r="F4">
        <f t="shared" si="0"/>
        <v>0.48</v>
      </c>
      <c r="G4">
        <f t="shared" si="1"/>
        <v>338.88</v>
      </c>
    </row>
    <row r="5" spans="1:7">
      <c r="A5" s="3286" t="s">
        <v>3070</v>
      </c>
      <c r="B5">
        <v>1</v>
      </c>
      <c r="C5" s="3286" t="s">
        <v>3079</v>
      </c>
      <c r="D5">
        <v>1995</v>
      </c>
      <c r="E5">
        <v>3677.4</v>
      </c>
      <c r="F5">
        <f>ROUND((2019-D5)/60,2)</f>
        <v>0.4</v>
      </c>
      <c r="G5">
        <f t="shared" si="1"/>
        <v>1470.96</v>
      </c>
    </row>
    <row r="6" spans="1:7">
      <c r="A6" s="3286" t="s">
        <v>3071</v>
      </c>
      <c r="B6">
        <v>1</v>
      </c>
      <c r="C6" s="3286" t="s">
        <v>3080</v>
      </c>
      <c r="D6">
        <v>1995</v>
      </c>
      <c r="E6">
        <v>3288</v>
      </c>
      <c r="F6">
        <f>ROUND((2019-D6)/50,2)</f>
        <v>0.48</v>
      </c>
      <c r="G6">
        <f t="shared" si="1"/>
        <v>1578.24</v>
      </c>
    </row>
    <row r="7" spans="1:7">
      <c r="A7" s="3286" t="s">
        <v>3072</v>
      </c>
      <c r="B7">
        <v>1</v>
      </c>
      <c r="C7" s="3286" t="s">
        <v>3081</v>
      </c>
      <c r="E7">
        <v>5170.24</v>
      </c>
      <c r="F7">
        <f>ROUND((2019-D6)/60,2)</f>
        <v>0.4</v>
      </c>
      <c r="G7">
        <f t="shared" si="1"/>
        <v>2068.096</v>
      </c>
    </row>
    <row r="8" spans="1:7">
      <c r="A8" s="3286" t="s">
        <v>3073</v>
      </c>
      <c r="B8" s="3288" t="s">
        <v>3076</v>
      </c>
      <c r="C8" s="3286" t="s">
        <v>3081</v>
      </c>
      <c r="E8">
        <f>245.25+3229.35</f>
        <v>3474.6</v>
      </c>
      <c r="F8">
        <f>ROUND((2019-D6)/60,2)</f>
        <v>0.4</v>
      </c>
      <c r="G8">
        <f t="shared" si="1"/>
        <v>1389.8400000000001</v>
      </c>
    </row>
    <row r="9" spans="1:7">
      <c r="E9">
        <f>SUM(E2:E8)</f>
        <v>20228.239999999998</v>
      </c>
      <c r="F9">
        <f>ROUND(G9/E9,2)</f>
        <v>0.43</v>
      </c>
      <c r="G9">
        <f>SUM(G2:G8)</f>
        <v>8723.7759999999998</v>
      </c>
    </row>
    <row r="10" spans="1:7">
      <c r="F10">
        <v>0.8</v>
      </c>
    </row>
    <row r="11" spans="1:7">
      <c r="F11">
        <f>ROUND((F9+F10)/2,2)</f>
        <v>0.62</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A4" sqref="A4"/>
    </sheetView>
  </sheetViews>
  <sheetFormatPr defaultRowHeight="13.5"/>
  <cols>
    <col min="1" max="1" width="43.75" customWidth="1"/>
  </cols>
  <sheetData>
    <row r="1" spans="1:16">
      <c r="A1" s="3289" t="s">
        <v>3103</v>
      </c>
      <c r="B1" s="3289" t="s">
        <v>3104</v>
      </c>
      <c r="C1" s="3289" t="s">
        <v>3105</v>
      </c>
      <c r="D1" s="3289" t="s">
        <v>3106</v>
      </c>
      <c r="E1" s="3289" t="s">
        <v>3107</v>
      </c>
      <c r="F1" s="3289" t="s">
        <v>3108</v>
      </c>
      <c r="G1" s="3289" t="s">
        <v>3109</v>
      </c>
      <c r="H1" s="3289" t="s">
        <v>3110</v>
      </c>
      <c r="I1" s="3289" t="s">
        <v>3111</v>
      </c>
      <c r="J1" s="3289" t="s">
        <v>3112</v>
      </c>
      <c r="K1" s="3289" t="s">
        <v>3113</v>
      </c>
      <c r="L1" s="3289" t="s">
        <v>3114</v>
      </c>
      <c r="M1" s="3289" t="s">
        <v>3115</v>
      </c>
    </row>
    <row r="2" spans="1:16" s="3291" customFormat="1">
      <c r="A2" s="3290" t="s">
        <v>3116</v>
      </c>
      <c r="B2" s="3290" t="s">
        <v>3117</v>
      </c>
      <c r="C2" s="3290" t="s">
        <v>3092</v>
      </c>
      <c r="D2" s="3290">
        <v>16697.47</v>
      </c>
      <c r="E2" s="3290">
        <v>30055</v>
      </c>
      <c r="F2" s="3290">
        <v>1.8</v>
      </c>
      <c r="G2" s="3290" t="s">
        <v>3118</v>
      </c>
      <c r="H2" s="3290" t="s">
        <v>3119</v>
      </c>
      <c r="I2" s="3290">
        <v>4977.1000000000004</v>
      </c>
      <c r="J2" s="3290">
        <v>4977.1000000000004</v>
      </c>
      <c r="K2" s="3290">
        <v>1656</v>
      </c>
      <c r="L2" s="3290">
        <v>0</v>
      </c>
      <c r="M2" s="3290" t="s">
        <v>3120</v>
      </c>
      <c r="N2" s="3291">
        <f>ROUND(J2*10000/D2,0)</f>
        <v>2981</v>
      </c>
      <c r="P2" s="3291">
        <f>J2/D2*666.67</f>
        <v>198.71772532006344</v>
      </c>
    </row>
    <row r="3" spans="1:16" s="3291" customFormat="1">
      <c r="A3" s="3290" t="s">
        <v>3121</v>
      </c>
      <c r="B3" s="3290" t="s">
        <v>3117</v>
      </c>
      <c r="C3" s="3290" t="s">
        <v>3092</v>
      </c>
      <c r="D3" s="3290">
        <v>46618.33</v>
      </c>
      <c r="E3" s="3290">
        <v>93237</v>
      </c>
      <c r="F3" s="3290">
        <v>2</v>
      </c>
      <c r="G3" s="3290" t="s">
        <v>3118</v>
      </c>
      <c r="H3" s="3290" t="s">
        <v>3122</v>
      </c>
      <c r="I3" s="3290">
        <v>16204.59</v>
      </c>
      <c r="J3" s="3290">
        <v>16204.59</v>
      </c>
      <c r="K3" s="3290">
        <v>1738</v>
      </c>
      <c r="L3" s="3290">
        <v>0</v>
      </c>
      <c r="M3" s="3290" t="s">
        <v>3123</v>
      </c>
      <c r="N3" s="3291">
        <f t="shared" ref="N3:N10" si="0">ROUND(J3*10000/D3,0)</f>
        <v>3476</v>
      </c>
      <c r="P3" s="3291">
        <f t="shared" ref="P3:P15" si="1">J3/D3*666.67</f>
        <v>231.73532847058226</v>
      </c>
    </row>
    <row r="4" spans="1:16" s="3291" customFormat="1">
      <c r="A4" s="3290" t="s">
        <v>3124</v>
      </c>
      <c r="B4" s="3290" t="s">
        <v>3117</v>
      </c>
      <c r="C4" s="3290" t="s">
        <v>3092</v>
      </c>
      <c r="D4" s="3290">
        <v>8700</v>
      </c>
      <c r="E4" s="3290">
        <v>15660</v>
      </c>
      <c r="F4" s="3290">
        <v>1.8</v>
      </c>
      <c r="G4" s="3290" t="s">
        <v>3118</v>
      </c>
      <c r="H4" s="3290" t="s">
        <v>3122</v>
      </c>
      <c r="I4" s="3290">
        <v>2593.3000000000002</v>
      </c>
      <c r="J4" s="3290">
        <v>2593.3000000000002</v>
      </c>
      <c r="K4" s="3290">
        <v>1656</v>
      </c>
      <c r="L4" s="3290">
        <v>0</v>
      </c>
      <c r="M4" s="3290" t="s">
        <v>3125</v>
      </c>
      <c r="N4" s="3291">
        <f t="shared" si="0"/>
        <v>2981</v>
      </c>
      <c r="P4" s="3291">
        <f t="shared" si="1"/>
        <v>198.72130011494252</v>
      </c>
    </row>
    <row r="5" spans="1:16">
      <c r="A5" s="3289" t="s">
        <v>3126</v>
      </c>
      <c r="B5" s="3289" t="s">
        <v>3117</v>
      </c>
      <c r="C5" s="3289" t="s">
        <v>3092</v>
      </c>
      <c r="D5" s="3289">
        <v>4280.58</v>
      </c>
      <c r="E5" s="3289">
        <v>3424</v>
      </c>
      <c r="F5" s="3289">
        <v>0.8</v>
      </c>
      <c r="G5" s="3289" t="s">
        <v>3118</v>
      </c>
      <c r="H5" s="3289" t="s">
        <v>3127</v>
      </c>
      <c r="I5" s="3289">
        <v>642.09</v>
      </c>
      <c r="J5" s="3289">
        <v>642.09</v>
      </c>
      <c r="K5" s="3289">
        <v>1875.25</v>
      </c>
      <c r="L5" s="3289">
        <v>0</v>
      </c>
      <c r="M5" s="3289" t="s">
        <v>3128</v>
      </c>
      <c r="P5" s="3291">
        <f t="shared" si="1"/>
        <v>100.00096722874004</v>
      </c>
    </row>
    <row r="6" spans="1:16">
      <c r="A6" s="3289" t="s">
        <v>3129</v>
      </c>
      <c r="B6" s="3289" t="s">
        <v>3117</v>
      </c>
      <c r="C6" s="3289" t="s">
        <v>3092</v>
      </c>
      <c r="D6" s="3289">
        <v>31386.9</v>
      </c>
      <c r="E6" s="3289">
        <v>25110</v>
      </c>
      <c r="F6" s="3289">
        <v>0.8</v>
      </c>
      <c r="G6" s="3289" t="s">
        <v>3118</v>
      </c>
      <c r="H6" s="3289" t="s">
        <v>3130</v>
      </c>
      <c r="I6" s="3289">
        <v>11547.52</v>
      </c>
      <c r="J6" s="3289">
        <v>11547.52</v>
      </c>
      <c r="K6" s="3289">
        <v>4598.7700000000004</v>
      </c>
      <c r="L6" s="3289">
        <v>0</v>
      </c>
      <c r="M6" s="3289" t="s">
        <v>3131</v>
      </c>
      <c r="P6" s="3291">
        <f t="shared" si="1"/>
        <v>245.27382947662875</v>
      </c>
    </row>
    <row r="7" spans="1:16">
      <c r="A7" s="3289" t="s">
        <v>3132</v>
      </c>
      <c r="B7" s="3289" t="s">
        <v>3117</v>
      </c>
      <c r="C7" s="3289" t="s">
        <v>3092</v>
      </c>
      <c r="D7" s="3289">
        <v>45231.1</v>
      </c>
      <c r="E7" s="3289">
        <v>36185</v>
      </c>
      <c r="F7" s="3289">
        <v>0.8</v>
      </c>
      <c r="G7" s="3289" t="s">
        <v>3118</v>
      </c>
      <c r="H7" s="3289" t="s">
        <v>3133</v>
      </c>
      <c r="I7" s="3289">
        <v>13943.25</v>
      </c>
      <c r="J7" s="3289">
        <v>13943.25</v>
      </c>
      <c r="K7" s="3289">
        <v>3853.32</v>
      </c>
      <c r="L7" s="3289">
        <v>0</v>
      </c>
      <c r="M7" s="3289" t="s">
        <v>3134</v>
      </c>
      <c r="P7" s="3291">
        <f t="shared" si="1"/>
        <v>205.51227976989284</v>
      </c>
    </row>
    <row r="8" spans="1:16">
      <c r="A8" s="3289" t="s">
        <v>3135</v>
      </c>
      <c r="B8" s="3289" t="s">
        <v>3117</v>
      </c>
      <c r="C8" s="3289" t="s">
        <v>3092</v>
      </c>
      <c r="D8" s="3289">
        <v>401615.3</v>
      </c>
      <c r="E8" s="3289">
        <v>401615</v>
      </c>
      <c r="F8" s="3289">
        <v>1</v>
      </c>
      <c r="G8" s="3289" t="s">
        <v>3118</v>
      </c>
      <c r="H8" s="3289" t="s">
        <v>3133</v>
      </c>
      <c r="I8" s="3289">
        <v>109378.8</v>
      </c>
      <c r="J8" s="3289">
        <v>109378.8</v>
      </c>
      <c r="K8" s="3289">
        <v>2723.46</v>
      </c>
      <c r="L8" s="3289">
        <v>0</v>
      </c>
      <c r="M8" s="3289" t="s">
        <v>3136</v>
      </c>
      <c r="P8" s="3291">
        <f t="shared" si="1"/>
        <v>181.56570378668343</v>
      </c>
    </row>
    <row r="9" spans="1:16">
      <c r="A9" s="3289" t="s">
        <v>3137</v>
      </c>
      <c r="B9" s="3289" t="s">
        <v>3117</v>
      </c>
      <c r="C9" s="3289" t="s">
        <v>3092</v>
      </c>
      <c r="D9" s="3289">
        <v>11912.8</v>
      </c>
      <c r="E9" s="3289">
        <v>9530</v>
      </c>
      <c r="F9" s="3289">
        <v>0.8</v>
      </c>
      <c r="G9" s="3289" t="s">
        <v>3118</v>
      </c>
      <c r="H9" s="3289" t="s">
        <v>3138</v>
      </c>
      <c r="I9" s="3289">
        <v>1798</v>
      </c>
      <c r="J9" s="3289">
        <v>1798</v>
      </c>
      <c r="K9" s="3289">
        <v>1886.67</v>
      </c>
      <c r="L9" s="3289">
        <v>0</v>
      </c>
      <c r="M9" s="3289" t="s">
        <v>3139</v>
      </c>
      <c r="P9" s="3291">
        <f t="shared" si="1"/>
        <v>100.62056443489357</v>
      </c>
    </row>
    <row r="10" spans="1:16">
      <c r="A10" s="3289" t="s">
        <v>3140</v>
      </c>
      <c r="B10" s="3289" t="s">
        <v>3117</v>
      </c>
      <c r="C10" s="3289" t="s">
        <v>3092</v>
      </c>
      <c r="D10" s="3289">
        <v>13289.21</v>
      </c>
      <c r="E10" s="3289">
        <v>10631</v>
      </c>
      <c r="F10" s="3289">
        <v>0.8</v>
      </c>
      <c r="G10" s="3289" t="s">
        <v>3118</v>
      </c>
      <c r="H10" s="3289" t="s">
        <v>3141</v>
      </c>
      <c r="I10" s="3289">
        <v>1597.44</v>
      </c>
      <c r="J10" s="3289">
        <v>1597.44</v>
      </c>
      <c r="K10" s="3289">
        <v>1502.61</v>
      </c>
      <c r="L10" s="3289">
        <v>0</v>
      </c>
      <c r="M10" s="3289" t="s">
        <v>3142</v>
      </c>
      <c r="P10" s="3291">
        <f t="shared" si="1"/>
        <v>80.137594695245241</v>
      </c>
    </row>
    <row r="11" spans="1:16">
      <c r="A11" s="3289" t="s">
        <v>3143</v>
      </c>
      <c r="B11" s="3289" t="s">
        <v>3117</v>
      </c>
      <c r="C11" s="3289" t="s">
        <v>3092</v>
      </c>
      <c r="D11" s="3289">
        <v>56802.68</v>
      </c>
      <c r="E11" s="3289">
        <v>45442</v>
      </c>
      <c r="F11" s="3289">
        <v>0.8</v>
      </c>
      <c r="G11" s="3289" t="s">
        <v>3118</v>
      </c>
      <c r="H11" s="3289" t="s">
        <v>3141</v>
      </c>
      <c r="I11" s="3289">
        <v>7121.07</v>
      </c>
      <c r="J11" s="3289">
        <v>7121.07</v>
      </c>
      <c r="K11" s="3289">
        <v>1567.06</v>
      </c>
      <c r="L11" s="3289">
        <v>0</v>
      </c>
      <c r="M11" s="3289" t="s">
        <v>3144</v>
      </c>
      <c r="P11" s="3291">
        <f t="shared" si="1"/>
        <v>83.577108279045987</v>
      </c>
    </row>
    <row r="12" spans="1:16">
      <c r="A12" s="3289" t="s">
        <v>3145</v>
      </c>
      <c r="B12" s="3289" t="s">
        <v>3117</v>
      </c>
      <c r="C12" s="3289" t="s">
        <v>3092</v>
      </c>
      <c r="D12" s="3289">
        <v>71328.36</v>
      </c>
      <c r="E12" s="3289">
        <v>57063</v>
      </c>
      <c r="F12" s="3289">
        <v>0.8</v>
      </c>
      <c r="G12" s="3289" t="s">
        <v>3118</v>
      </c>
      <c r="H12" s="3289" t="s">
        <v>3146</v>
      </c>
      <c r="I12" s="3289">
        <v>8967.77</v>
      </c>
      <c r="J12" s="3289">
        <v>8967.77</v>
      </c>
      <c r="K12" s="3289">
        <v>1571.55</v>
      </c>
      <c r="L12" s="3289">
        <v>0</v>
      </c>
      <c r="M12" s="3289" t="s">
        <v>3147</v>
      </c>
      <c r="P12" s="3291">
        <f t="shared" si="1"/>
        <v>83.817197337777003</v>
      </c>
    </row>
    <row r="13" spans="1:16">
      <c r="A13" s="3289" t="s">
        <v>3148</v>
      </c>
      <c r="B13" s="3289" t="s">
        <v>3117</v>
      </c>
      <c r="C13" s="3289" t="s">
        <v>3092</v>
      </c>
      <c r="D13" s="3289">
        <v>41930.26</v>
      </c>
      <c r="E13" s="3289">
        <v>33544</v>
      </c>
      <c r="F13" s="3289">
        <v>0.8</v>
      </c>
      <c r="G13" s="3289" t="s">
        <v>3118</v>
      </c>
      <c r="H13" s="3289" t="s">
        <v>3149</v>
      </c>
      <c r="I13" s="3289">
        <v>5256.6</v>
      </c>
      <c r="J13" s="3289">
        <v>5256.6</v>
      </c>
      <c r="K13" s="3289">
        <v>1567.07</v>
      </c>
      <c r="L13" s="3289">
        <v>0</v>
      </c>
      <c r="M13" s="3289" t="s">
        <v>3150</v>
      </c>
      <c r="P13" s="3291">
        <f t="shared" si="1"/>
        <v>83.577290529560273</v>
      </c>
    </row>
    <row r="14" spans="1:16">
      <c r="A14" s="3289" t="s">
        <v>3151</v>
      </c>
      <c r="B14" s="3289" t="s">
        <v>3117</v>
      </c>
      <c r="C14" s="3289" t="s">
        <v>3092</v>
      </c>
      <c r="D14" s="3289">
        <v>58598.03</v>
      </c>
      <c r="E14" s="3289">
        <v>46878</v>
      </c>
      <c r="F14" s="3289">
        <v>0.8</v>
      </c>
      <c r="G14" s="3289" t="s">
        <v>3118</v>
      </c>
      <c r="H14" s="3289" t="s">
        <v>3152</v>
      </c>
      <c r="I14" s="3289">
        <v>6769.31</v>
      </c>
      <c r="J14" s="3289">
        <v>6769.31</v>
      </c>
      <c r="K14" s="3289">
        <v>1444.02</v>
      </c>
      <c r="L14" s="3289">
        <v>0</v>
      </c>
      <c r="M14" s="3289" t="s">
        <v>3153</v>
      </c>
      <c r="P14" s="3291">
        <f t="shared" si="1"/>
        <v>77.014464440186813</v>
      </c>
    </row>
    <row r="15" spans="1:16">
      <c r="A15" s="3289" t="s">
        <v>3154</v>
      </c>
      <c r="B15" s="3289" t="s">
        <v>3117</v>
      </c>
      <c r="C15" s="3289" t="s">
        <v>3092</v>
      </c>
      <c r="D15" s="3289">
        <v>30396.400000000001</v>
      </c>
      <c r="E15" s="3289">
        <v>24317</v>
      </c>
      <c r="F15" s="3289">
        <v>0.8</v>
      </c>
      <c r="G15" s="3289" t="s">
        <v>3118</v>
      </c>
      <c r="H15" s="3289" t="s">
        <v>3155</v>
      </c>
      <c r="I15" s="3289">
        <v>2215.0100000000002</v>
      </c>
      <c r="J15" s="3289">
        <v>2235.0100000000002</v>
      </c>
      <c r="K15" s="3289">
        <v>919.11</v>
      </c>
      <c r="L15" s="3289">
        <v>0.9</v>
      </c>
      <c r="M15" s="3289" t="s">
        <v>3156</v>
      </c>
      <c r="P15" s="3291">
        <f t="shared" si="1"/>
        <v>49.019427192035891</v>
      </c>
    </row>
    <row r="16" spans="1:16">
      <c r="A16" s="3289" t="s">
        <v>3157</v>
      </c>
      <c r="B16" s="3289" t="s">
        <v>3117</v>
      </c>
      <c r="C16" s="3289" t="s">
        <v>3092</v>
      </c>
      <c r="D16" s="3289">
        <v>17200</v>
      </c>
      <c r="E16" s="3289">
        <v>13760</v>
      </c>
      <c r="F16" s="3289">
        <v>0.8</v>
      </c>
      <c r="G16" s="3289" t="s">
        <v>3118</v>
      </c>
      <c r="H16" s="3289" t="s">
        <v>3158</v>
      </c>
      <c r="I16" s="3289">
        <v>1255.0899999999999</v>
      </c>
      <c r="J16" s="3289">
        <v>3700</v>
      </c>
      <c r="K16" s="3289">
        <v>2688.94</v>
      </c>
      <c r="L16" s="3289">
        <v>194.8</v>
      </c>
      <c r="M16" s="3289" t="s">
        <v>3159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1636</v>
      </c>
      <c r="B2" s="2968" t="s">
        <v>1637</v>
      </c>
      <c r="C2" s="2968" t="s">
        <v>1638</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1633</v>
      </c>
      <c r="E3" s="1044" t="s">
        <v>1639</v>
      </c>
      <c r="F3" s="1044" t="s">
        <v>1633</v>
      </c>
      <c r="G3" s="1044" t="s">
        <v>1634</v>
      </c>
      <c r="H3" s="1044" t="s">
        <v>1633</v>
      </c>
      <c r="I3" s="1044" t="s">
        <v>1634</v>
      </c>
    </row>
    <row r="4" spans="1:9" ht="30">
      <c r="A4" s="1972" t="str">
        <f>项目基本情况!S2</f>
        <v>房地产</v>
      </c>
      <c r="B4" s="1044">
        <f>项目基本情况!C17</f>
        <v>20228.240000000002</v>
      </c>
      <c r="C4" s="1044">
        <f>项目基本情况!C18</f>
        <v>73586.240000000005</v>
      </c>
      <c r="D4" s="1044">
        <f ca="1">结果表!D118</f>
        <v>27955</v>
      </c>
      <c r="E4" s="1044">
        <f ca="1">结果表!E118</f>
        <v>13820</v>
      </c>
      <c r="F4" s="1044">
        <f ca="1">结果表!F118</f>
        <v>3668</v>
      </c>
      <c r="G4" s="1044">
        <f ca="1">结果表!G118</f>
        <v>1813</v>
      </c>
      <c r="H4" s="1044">
        <f ca="1">结果表!H118</f>
        <v>31623</v>
      </c>
      <c r="I4" s="1044">
        <f ca="1">结果表!I118</f>
        <v>15633</v>
      </c>
    </row>
    <row r="5" spans="1:9" ht="30" customHeight="1">
      <c r="A5" s="2969" t="s">
        <v>1635</v>
      </c>
      <c r="B5" s="2969"/>
      <c r="C5" s="2969"/>
      <c r="D5" s="2970" t="str">
        <f ca="1">结果表!D119</f>
        <v>贰亿柒仟玖佰伍拾伍万元整</v>
      </c>
      <c r="E5" s="2970"/>
      <c r="F5" s="2970" t="str">
        <f ca="1">结果表!F119</f>
        <v>叁仟陆佰陆拾捌万元整</v>
      </c>
      <c r="G5" s="2970"/>
      <c r="H5" s="2970" t="str">
        <f ca="1">结果表!H119</f>
        <v>叁亿壹仟陆佰贰拾叁万元整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1635</v>
      </c>
      <c r="B7" s="2969"/>
      <c r="C7" s="2969"/>
      <c r="D7" s="2972" t="str">
        <f>结果表!D121</f>
        <v>零元整</v>
      </c>
      <c r="E7" s="2973"/>
      <c r="F7" s="2973"/>
      <c r="G7" s="2973"/>
      <c r="H7" s="2973"/>
      <c r="I7" s="2974"/>
    </row>
    <row r="8" spans="1:9" ht="15.75">
      <c r="A8" s="2971" t="str">
        <f>结果表!A122</f>
        <v>房地产抵押价值</v>
      </c>
      <c r="B8" s="2971"/>
      <c r="C8" s="2971"/>
      <c r="D8" s="2971">
        <f ca="1">结果表!D122</f>
        <v>31623</v>
      </c>
      <c r="E8" s="2971"/>
      <c r="F8" s="2971"/>
      <c r="G8" s="2971"/>
      <c r="H8" s="2971"/>
      <c r="I8" s="2971"/>
    </row>
    <row r="9" spans="1:9" ht="15">
      <c r="A9" s="2969" t="s">
        <v>1635</v>
      </c>
      <c r="B9" s="2969"/>
      <c r="C9" s="2969"/>
      <c r="D9" s="2970" t="str">
        <f ca="1">结果表!D123</f>
        <v>叁亿壹仟陆佰贰拾叁万元整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1635</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1657</v>
      </c>
      <c r="B1" s="2978"/>
      <c r="C1" s="2978"/>
      <c r="D1" s="2978"/>
    </row>
    <row r="2" spans="1:4" ht="18">
      <c r="A2" s="2979" t="s">
        <v>1641</v>
      </c>
      <c r="B2" s="2979"/>
      <c r="C2" s="2979"/>
      <c r="D2" s="2979"/>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79" t="s">
        <v>1647</v>
      </c>
      <c r="B6" s="2979"/>
      <c r="C6" s="2979"/>
      <c r="D6" s="297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0"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4" t="s">
        <v>1651</v>
      </c>
      <c r="B16" s="2984"/>
      <c r="C16" s="2984"/>
      <c r="D16" s="2984"/>
    </row>
    <row r="17" spans="1:4" ht="144" customHeight="1">
      <c r="A17" s="2984" t="s">
        <v>1652</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1653</v>
      </c>
      <c r="B22" s="2986"/>
      <c r="C22" s="2986"/>
      <c r="D22" s="298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2" t="s">
        <v>1664</v>
      </c>
      <c r="B15" s="2987" t="s">
        <v>136</v>
      </c>
      <c r="C15" s="2988"/>
    </row>
    <row r="16" spans="1:7" ht="13.5">
      <c r="A16" s="2993"/>
      <c r="B16" s="2987" t="s">
        <v>69</v>
      </c>
      <c r="C16" s="2988"/>
    </row>
    <row r="17" spans="1:3" ht="13.5">
      <c r="A17" s="2993"/>
      <c r="B17" s="2990" t="s">
        <v>1665</v>
      </c>
      <c r="C17" s="1999" t="s">
        <v>1664</v>
      </c>
    </row>
    <row r="18" spans="1:3" ht="13.5">
      <c r="A18" s="2993"/>
      <c r="B18" s="2990"/>
      <c r="C18" s="1999" t="s">
        <v>1666</v>
      </c>
    </row>
    <row r="19" spans="1:3" ht="13.5">
      <c r="A19" s="2993"/>
      <c r="B19" s="2990"/>
      <c r="C19" s="1999" t="s">
        <v>1667</v>
      </c>
    </row>
    <row r="20" spans="1:3" ht="13.5">
      <c r="A20" s="2994"/>
      <c r="B20" s="2989" t="s">
        <v>1668</v>
      </c>
      <c r="C20" s="2988"/>
    </row>
    <row r="21" spans="1:3" ht="13.5">
      <c r="A21" s="2000" t="s">
        <v>1669</v>
      </c>
      <c r="B21" s="2001"/>
      <c r="C21" s="2002"/>
    </row>
    <row r="22" spans="1:3" ht="13.5">
      <c r="A22" s="2991" t="s">
        <v>1670</v>
      </c>
      <c r="B22" s="2989" t="s">
        <v>1671</v>
      </c>
      <c r="C22" s="2988"/>
    </row>
    <row r="23" spans="1:3" ht="13.5">
      <c r="A23" s="2991"/>
      <c r="B23" s="2989" t="s">
        <v>1672</v>
      </c>
      <c r="C23" s="2988"/>
    </row>
    <row r="24" spans="1:3" ht="13.5">
      <c r="A24" s="2991"/>
      <c r="B24" s="2989" t="s">
        <v>1673</v>
      </c>
      <c r="C24" s="2988"/>
    </row>
    <row r="25" spans="1:3" ht="13.5">
      <c r="A25" s="2991"/>
      <c r="B25" s="2990" t="s">
        <v>1674</v>
      </c>
      <c r="C25" s="1999" t="s">
        <v>1675</v>
      </c>
    </row>
    <row r="26" spans="1:3" ht="13.5">
      <c r="A26" s="2991"/>
      <c r="B26" s="2990"/>
      <c r="C26" s="1999" t="s">
        <v>1676</v>
      </c>
    </row>
    <row r="27" spans="1:3" ht="13.5">
      <c r="A27" s="2991"/>
      <c r="B27" s="2990"/>
      <c r="C27" s="1999" t="s">
        <v>1677</v>
      </c>
    </row>
    <row r="28" spans="1:3" ht="13.5">
      <c r="A28" s="2991"/>
      <c r="B28" s="2990"/>
      <c r="C28" s="1999" t="s">
        <v>1678</v>
      </c>
    </row>
    <row r="29" spans="1:3" ht="13.5">
      <c r="A29" s="2991"/>
      <c r="B29" s="2990"/>
      <c r="C29" s="1999" t="s">
        <v>1679</v>
      </c>
    </row>
    <row r="30" spans="1:3" ht="13.5">
      <c r="A30" s="2991"/>
      <c r="B30" s="2990"/>
      <c r="C30" s="1999" t="s">
        <v>1680</v>
      </c>
    </row>
    <row r="31" spans="1:3" ht="13.5">
      <c r="A31" s="2991"/>
      <c r="B31" s="2990"/>
      <c r="C31" s="1999" t="s">
        <v>1681</v>
      </c>
    </row>
    <row r="32" spans="1:3" ht="13.5">
      <c r="A32" s="2991"/>
      <c r="B32" s="2990"/>
      <c r="C32" s="1999" t="s">
        <v>1682</v>
      </c>
    </row>
    <row r="33" spans="1:3" ht="13.5">
      <c r="A33" s="2991"/>
      <c r="B33" s="299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43707</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3044</v>
      </c>
      <c r="B14" s="1022">
        <f ca="1">IF(C14&lt;B2,"已过期",1120040230)</f>
        <v>1120040230</v>
      </c>
      <c r="C14" s="2348">
        <v>43835</v>
      </c>
      <c r="D14" s="2351" t="s">
        <v>3044</v>
      </c>
      <c r="E14" s="1022">
        <f ca="1">IF(F14&lt;B2,"已过期",98030020)</f>
        <v>98030020</v>
      </c>
      <c r="F14" s="1030">
        <v>47118</v>
      </c>
    </row>
    <row r="15" spans="1:6" ht="24" customHeight="1">
      <c r="A15" s="1703" t="s">
        <v>3045</v>
      </c>
      <c r="B15" s="1022">
        <f ca="1">IF(C15&lt;B2,"已过期",1120070085)</f>
        <v>1120070085</v>
      </c>
      <c r="C15" s="2348">
        <v>43814</v>
      </c>
      <c r="D15" s="2352" t="s">
        <v>3045</v>
      </c>
      <c r="E15" s="1022">
        <f ca="1">IF(F15&lt;B2,"已过期",2004110128)</f>
        <v>2004110128</v>
      </c>
      <c r="F15" s="1023">
        <v>47118</v>
      </c>
    </row>
    <row r="16" spans="1:6" ht="24" customHeight="1">
      <c r="A16" s="1702" t="s">
        <v>3046</v>
      </c>
      <c r="B16" s="1022">
        <f ca="1">IF(C16&lt;B2,"已过期",1120140022)</f>
        <v>1120140022</v>
      </c>
      <c r="C16" s="2931">
        <v>44029</v>
      </c>
      <c r="D16" s="2351" t="s">
        <v>3046</v>
      </c>
      <c r="E16" s="1022">
        <f ca="1">IF(F16&lt;B2,"已过期",2008110059)</f>
        <v>2008110059</v>
      </c>
      <c r="F16" s="1030">
        <v>47177</v>
      </c>
    </row>
    <row r="17" spans="1:7" ht="24" customHeight="1">
      <c r="A17" s="1702"/>
      <c r="B17" s="1022"/>
      <c r="C17" s="2348"/>
      <c r="D17" s="2351" t="s">
        <v>3047</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3051</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2019-08-30T06:03:17Z</dcterms:modified>
</cp:coreProperties>
</file>