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11"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租金案例" sheetId="64" r:id="rId38"/>
    <sheet name="Sheet1"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20" i="1"/>
  <c r="B65"/>
  <c r="E64"/>
  <c r="D65" s="1"/>
  <c r="B58"/>
  <c r="E17"/>
  <c r="G63" l="1"/>
  <c r="A2" i="50" l="1"/>
  <c r="K60" i="15" l="1"/>
  <c r="P72" s="1"/>
  <c r="P59" l="1"/>
  <c r="A132" i="57"/>
  <c r="A130"/>
  <c r="A128"/>
  <c r="A126"/>
  <c r="A129" i="9"/>
  <c r="A127"/>
  <c r="A125"/>
  <c r="A123"/>
  <c r="A16" i="54"/>
  <c r="A14"/>
  <c r="A19" i="55" l="1"/>
  <c r="A13"/>
  <c r="A1" i="52"/>
  <c r="A4" i="50"/>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6" i="59" l="1"/>
  <c r="P6"/>
  <c r="Q6"/>
  <c r="N6"/>
  <c r="X8" l="1"/>
  <c r="Y8"/>
  <c r="Z8" s="1"/>
  <c r="AA8"/>
  <c r="AB8"/>
  <c r="X9"/>
  <c r="Y9"/>
  <c r="Z9"/>
  <c r="AA9"/>
  <c r="AB9"/>
  <c r="X10"/>
  <c r="Y10"/>
  <c r="Z10" s="1"/>
  <c r="AA10"/>
  <c r="AB10"/>
  <c r="X11"/>
  <c r="Y11"/>
  <c r="Z11"/>
  <c r="AA11"/>
  <c r="AB11"/>
  <c r="X12"/>
  <c r="Y12"/>
  <c r="Z12"/>
  <c r="AA12"/>
  <c r="AB12"/>
  <c r="X13"/>
  <c r="Y13"/>
  <c r="Z13" s="1"/>
  <c r="AA13"/>
  <c r="AB13"/>
  <c r="X14"/>
  <c r="Y14"/>
  <c r="Z14"/>
  <c r="AA14"/>
  <c r="AB14"/>
  <c r="X15"/>
  <c r="Y15"/>
  <c r="Z15" s="1"/>
  <c r="AA15"/>
  <c r="AB15"/>
  <c r="X16"/>
  <c r="Y16"/>
  <c r="Z16"/>
  <c r="AA16"/>
  <c r="AB16"/>
  <c r="AB17"/>
  <c r="AA17"/>
  <c r="Y17"/>
  <c r="X17"/>
  <c r="AD3"/>
  <c r="AE3"/>
  <c r="AF3" s="1"/>
  <c r="AG3"/>
  <c r="AH3"/>
  <c r="AD4"/>
  <c r="AE4"/>
  <c r="AF4" s="1"/>
  <c r="AG4"/>
  <c r="AH4"/>
  <c r="AD5"/>
  <c r="AE5"/>
  <c r="AF5" s="1"/>
  <c r="AG5"/>
  <c r="AH5"/>
  <c r="AD6"/>
  <c r="AE6"/>
  <c r="AF6" s="1"/>
  <c r="AG6"/>
  <c r="AH6"/>
  <c r="AD7"/>
  <c r="AE7"/>
  <c r="AF7"/>
  <c r="AG7"/>
  <c r="AH7"/>
  <c r="AD8"/>
  <c r="AE8"/>
  <c r="AF8"/>
  <c r="AG8"/>
  <c r="AH8"/>
  <c r="AD9"/>
  <c r="AE9"/>
  <c r="AF9" s="1"/>
  <c r="AG9"/>
  <c r="AH9"/>
  <c r="AD10"/>
  <c r="AE10"/>
  <c r="AF10" s="1"/>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H18"/>
  <c r="AG18"/>
  <c r="AE18"/>
  <c r="AD18"/>
  <c r="AF18"/>
  <c r="AD19"/>
  <c r="AE19"/>
  <c r="AF19"/>
  <c r="AG19"/>
  <c r="AH19"/>
  <c r="S5" i="31" l="1"/>
  <c r="M5"/>
  <c r="N5"/>
  <c r="O5"/>
  <c r="P5"/>
  <c r="Q5"/>
  <c r="R5"/>
  <c r="C1" i="61" l="1"/>
  <c r="L1" s="1"/>
  <c r="F7"/>
  <c r="J1" l="1"/>
  <c r="B68" i="60"/>
  <c r="D6" i="61"/>
  <c r="D4"/>
  <c r="D5"/>
  <c r="F6"/>
  <c r="F5"/>
  <c r="F3"/>
  <c r="D3"/>
  <c r="D7"/>
  <c r="F4"/>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S59"/>
  <c r="Q59"/>
  <c r="P59"/>
  <c r="O59"/>
  <c r="N59"/>
  <c r="F59"/>
  <c r="V59" s="1"/>
  <c r="E59"/>
  <c r="U59" s="1"/>
  <c r="C59"/>
  <c r="T59" s="1"/>
  <c r="B59"/>
  <c r="Q58"/>
  <c r="P58"/>
  <c r="O58"/>
  <c r="N58"/>
  <c r="F58"/>
  <c r="F57" s="1"/>
  <c r="B58"/>
  <c r="B57" s="1"/>
  <c r="Q57"/>
  <c r="P57"/>
  <c r="O57"/>
  <c r="N57"/>
  <c r="Q56"/>
  <c r="P56"/>
  <c r="O56"/>
  <c r="N56"/>
  <c r="D56"/>
  <c r="S55"/>
  <c r="Q55"/>
  <c r="P55"/>
  <c r="O55"/>
  <c r="N55"/>
  <c r="F55"/>
  <c r="V55" s="1"/>
  <c r="E55"/>
  <c r="U55" s="1"/>
  <c r="C55"/>
  <c r="T55" s="1"/>
  <c r="B55"/>
  <c r="Q54"/>
  <c r="P54"/>
  <c r="O54"/>
  <c r="N54"/>
  <c r="F54"/>
  <c r="F53" s="1"/>
  <c r="B54"/>
  <c r="B53" s="1"/>
  <c r="Q53"/>
  <c r="P53"/>
  <c r="O53"/>
  <c r="N53"/>
  <c r="Q52"/>
  <c r="P52"/>
  <c r="O52"/>
  <c r="N52"/>
  <c r="D52"/>
  <c r="S51"/>
  <c r="Q51"/>
  <c r="P51"/>
  <c r="O51"/>
  <c r="N51"/>
  <c r="F51"/>
  <c r="V51" s="1"/>
  <c r="E51"/>
  <c r="C51"/>
  <c r="B51"/>
  <c r="Q50"/>
  <c r="P50"/>
  <c r="O50"/>
  <c r="N50"/>
  <c r="F50"/>
  <c r="F49" s="1"/>
  <c r="B50"/>
  <c r="B49" s="1"/>
  <c r="Q49"/>
  <c r="P49"/>
  <c r="O49"/>
  <c r="N49"/>
  <c r="Q48"/>
  <c r="P48"/>
  <c r="O48"/>
  <c r="N48"/>
  <c r="D48"/>
  <c r="U47"/>
  <c r="S47"/>
  <c r="P47"/>
  <c r="N47"/>
  <c r="F47"/>
  <c r="V47" s="1"/>
  <c r="E47"/>
  <c r="E46" s="1"/>
  <c r="P46" s="1"/>
  <c r="C47"/>
  <c r="B47"/>
  <c r="F46"/>
  <c r="F45" s="1"/>
  <c r="Q45" s="1"/>
  <c r="B46"/>
  <c r="E45"/>
  <c r="P44" s="1"/>
  <c r="D44"/>
  <c r="Q43"/>
  <c r="P43"/>
  <c r="O43"/>
  <c r="N43"/>
  <c r="Q42"/>
  <c r="P42"/>
  <c r="O42"/>
  <c r="N42"/>
  <c r="F42"/>
  <c r="F43" s="1"/>
  <c r="V43" s="1"/>
  <c r="Q41"/>
  <c r="P41"/>
  <c r="O41"/>
  <c r="N41"/>
  <c r="E41"/>
  <c r="C41"/>
  <c r="Q40"/>
  <c r="F41" s="1"/>
  <c r="P40"/>
  <c r="O40"/>
  <c r="N40"/>
  <c r="B41" s="1"/>
  <c r="B42" s="1"/>
  <c r="B43" s="1"/>
  <c r="S43" s="1"/>
  <c r="D40"/>
  <c r="Q39"/>
  <c r="P39"/>
  <c r="O39"/>
  <c r="N39"/>
  <c r="Q38"/>
  <c r="P38"/>
  <c r="O38"/>
  <c r="N38"/>
  <c r="F38"/>
  <c r="F39" s="1"/>
  <c r="V39" s="1"/>
  <c r="Q37"/>
  <c r="P37"/>
  <c r="O37"/>
  <c r="N37"/>
  <c r="E37"/>
  <c r="C37"/>
  <c r="Q36"/>
  <c r="F37" s="1"/>
  <c r="P36"/>
  <c r="O36"/>
  <c r="N36"/>
  <c r="B37" s="1"/>
  <c r="B38" s="1"/>
  <c r="B39" s="1"/>
  <c r="S39" s="1"/>
  <c r="D36"/>
  <c r="Q35"/>
  <c r="P35"/>
  <c r="O35"/>
  <c r="N35"/>
  <c r="Q34"/>
  <c r="P34"/>
  <c r="O34"/>
  <c r="N34"/>
  <c r="F34"/>
  <c r="F35" s="1"/>
  <c r="V35" s="1"/>
  <c r="Q33"/>
  <c r="P33"/>
  <c r="O33"/>
  <c r="N33"/>
  <c r="E33"/>
  <c r="C33"/>
  <c r="Q32"/>
  <c r="F33" s="1"/>
  <c r="P32"/>
  <c r="O32"/>
  <c r="N32"/>
  <c r="B33" s="1"/>
  <c r="B34" s="1"/>
  <c r="B35" s="1"/>
  <c r="S35" s="1"/>
  <c r="D32"/>
  <c r="Q31"/>
  <c r="P31"/>
  <c r="O31"/>
  <c r="N31"/>
  <c r="Q30"/>
  <c r="P30"/>
  <c r="O30"/>
  <c r="N30"/>
  <c r="Q29"/>
  <c r="P29"/>
  <c r="O29"/>
  <c r="N29"/>
  <c r="E29"/>
  <c r="E30" s="1"/>
  <c r="E31" s="1"/>
  <c r="U31" s="1"/>
  <c r="Q28"/>
  <c r="F29" s="1"/>
  <c r="F30" s="1"/>
  <c r="F31" s="1"/>
  <c r="V31" s="1"/>
  <c r="P28"/>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Z17"/>
  <c r="Q17"/>
  <c r="P17"/>
  <c r="O17"/>
  <c r="N17"/>
  <c r="F17"/>
  <c r="F18" s="1"/>
  <c r="F19" s="1"/>
  <c r="V19" s="1"/>
  <c r="Q16"/>
  <c r="P16"/>
  <c r="E17" s="1"/>
  <c r="E18" s="1"/>
  <c r="E19" s="1"/>
  <c r="U19" s="1"/>
  <c r="O16"/>
  <c r="C17" s="1"/>
  <c r="N16"/>
  <c r="B17" s="1"/>
  <c r="B18" s="1"/>
  <c r="B19" s="1"/>
  <c r="S19" s="1"/>
  <c r="D16"/>
  <c r="Q15"/>
  <c r="P15"/>
  <c r="O15"/>
  <c r="N15"/>
  <c r="Q14"/>
  <c r="P14"/>
  <c r="O14"/>
  <c r="N14"/>
  <c r="Q13"/>
  <c r="P13"/>
  <c r="O13"/>
  <c r="N13"/>
  <c r="F13"/>
  <c r="F14" s="1"/>
  <c r="F15" s="1"/>
  <c r="V15" s="1"/>
  <c r="Q12"/>
  <c r="P12"/>
  <c r="E13" s="1"/>
  <c r="E14" s="1"/>
  <c r="E15" s="1"/>
  <c r="U15" s="1"/>
  <c r="O12"/>
  <c r="C13" s="1"/>
  <c r="N12"/>
  <c r="B13" s="1"/>
  <c r="B14" s="1"/>
  <c r="B15" s="1"/>
  <c r="S15" s="1"/>
  <c r="D12"/>
  <c r="Q11"/>
  <c r="P11"/>
  <c r="O11"/>
  <c r="N11"/>
  <c r="Q10"/>
  <c r="P10"/>
  <c r="O10"/>
  <c r="N10"/>
  <c r="Q9"/>
  <c r="P9"/>
  <c r="O9"/>
  <c r="N9"/>
  <c r="F9"/>
  <c r="F10" s="1"/>
  <c r="F11" s="1"/>
  <c r="V11" s="1"/>
  <c r="Q8"/>
  <c r="P8"/>
  <c r="E9" s="1"/>
  <c r="E10" s="1"/>
  <c r="E11" s="1"/>
  <c r="U11" s="1"/>
  <c r="O8"/>
  <c r="C9" s="1"/>
  <c r="N8"/>
  <c r="B9" s="1"/>
  <c r="B10" s="1"/>
  <c r="B11" s="1"/>
  <c r="S11" s="1"/>
  <c r="D8"/>
  <c r="O7"/>
  <c r="N7"/>
  <c r="C7" l="1"/>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X27" i="31"/>
  <c r="X25" s="1"/>
  <c r="Y27"/>
  <c r="V27"/>
  <c r="U27"/>
  <c r="D114" i="57"/>
  <c r="D113"/>
  <c r="D112"/>
  <c r="I109"/>
  <c r="I108"/>
  <c r="I107"/>
  <c r="I106"/>
  <c r="D126" s="1"/>
  <c r="D101"/>
  <c r="C101"/>
  <c r="C92"/>
  <c r="E91"/>
  <c r="D90"/>
  <c r="C90" s="1"/>
  <c r="C88" s="1"/>
  <c r="H78"/>
  <c r="D78"/>
  <c r="C78" s="1"/>
  <c r="C75" s="1"/>
  <c r="F60"/>
  <c r="O56" s="1"/>
  <c r="E60"/>
  <c r="N56" s="1"/>
  <c r="D60"/>
  <c r="M56" s="1"/>
  <c r="F57"/>
  <c r="O55" s="1"/>
  <c r="K56"/>
  <c r="I56"/>
  <c r="F56" s="1"/>
  <c r="O54" s="1"/>
  <c r="N55"/>
  <c r="N54"/>
  <c r="E49"/>
  <c r="N53" s="1"/>
  <c r="B30"/>
  <c r="D27"/>
  <c r="D30"/>
  <c r="C24" s="1"/>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s="1"/>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D30"/>
  <c r="C24" s="1"/>
  <c r="C30"/>
  <c r="B30"/>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6"/>
  <c r="S254"/>
  <c r="S252"/>
  <c r="S250"/>
  <c r="S248"/>
  <c r="S246"/>
  <c r="S244"/>
  <c r="S242"/>
  <c r="S240"/>
  <c r="S238"/>
  <c r="S236"/>
  <c r="S234"/>
  <c r="S232"/>
  <c r="S230"/>
  <c r="S228"/>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1"/>
  <c r="S475"/>
  <c r="S444"/>
  <c r="S440"/>
  <c r="S436"/>
  <c r="S124"/>
  <c r="S122"/>
  <c r="S120"/>
  <c r="S118"/>
  <c r="S116"/>
  <c r="S468"/>
  <c r="S464"/>
  <c r="S460"/>
  <c r="S456"/>
  <c r="S51"/>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20"/>
  <c r="S522"/>
  <c r="S524"/>
  <c r="S526"/>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U42" i="21"/>
  <c r="S33"/>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S23" i="21"/>
  <c r="W17"/>
  <c r="AC15"/>
  <c r="C109" i="57"/>
  <c r="H103" s="1"/>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19"/>
  <c r="S411"/>
  <c r="S403"/>
  <c r="S395"/>
  <c r="S387"/>
  <c r="S379"/>
  <c r="S371"/>
  <c r="S363"/>
  <c r="S355"/>
  <c r="S347"/>
  <c r="S339"/>
  <c r="S331"/>
  <c r="T323"/>
  <c r="T319"/>
  <c r="T315"/>
  <c r="T311"/>
  <c r="T307"/>
  <c r="T303"/>
  <c r="T299"/>
  <c r="T295"/>
  <c r="T291"/>
  <c r="T287"/>
  <c r="T283"/>
  <c r="T279"/>
  <c r="T275"/>
  <c r="T271"/>
  <c r="T267"/>
  <c r="T263"/>
  <c r="T259"/>
  <c r="S513"/>
  <c r="S109"/>
  <c r="S101"/>
  <c r="S85"/>
  <c r="S93"/>
  <c r="S453"/>
  <c r="S461"/>
  <c r="S469"/>
  <c r="S433"/>
  <c r="S441"/>
  <c r="S127"/>
  <c r="S135"/>
  <c r="S143"/>
  <c r="S151"/>
  <c r="S159"/>
  <c r="S167"/>
  <c r="S175"/>
  <c r="S183"/>
  <c r="S191"/>
  <c r="S199"/>
  <c r="S207"/>
  <c r="S215"/>
  <c r="S223"/>
  <c r="C113" i="57"/>
  <c r="H108" s="1"/>
  <c r="C18"/>
  <c r="D18" s="1"/>
  <c r="D47" i="15"/>
  <c r="AB12" i="37"/>
  <c r="J37"/>
  <c r="W37" s="1"/>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M9"/>
  <c r="M1"/>
  <c r="N3"/>
  <c r="A121" i="9"/>
  <c r="N5" i="43"/>
  <c r="F101" i="9"/>
  <c r="M4" i="43"/>
  <c r="F33" i="9"/>
  <c r="C25" i="57"/>
  <c r="F107" i="43"/>
  <c r="N102"/>
  <c r="D103"/>
  <c r="E103"/>
  <c r="M105"/>
  <c r="F59"/>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H74" i="43"/>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s="1"/>
  <c r="D52" s="1"/>
  <c r="M52"/>
  <c r="N52" s="1"/>
  <c r="K56"/>
  <c r="J56" s="1"/>
  <c r="D56" s="1"/>
  <c r="M56"/>
  <c r="N56"/>
  <c r="C115" i="57"/>
  <c r="H111" s="1"/>
  <c r="F43" i="15"/>
  <c r="F72" s="1"/>
  <c r="D93" i="9"/>
  <c r="D37" i="11"/>
  <c r="C37" s="1"/>
  <c r="M29" i="15"/>
  <c r="P51"/>
  <c r="G1" i="61"/>
  <c r="B74" i="43" l="1"/>
  <c r="C27" i="39"/>
  <c r="S429" i="31"/>
  <c r="S219"/>
  <c r="S211"/>
  <c r="S203"/>
  <c r="S195"/>
  <c r="S187"/>
  <c r="S179"/>
  <c r="S171"/>
  <c r="S163"/>
  <c r="S155"/>
  <c r="S147"/>
  <c r="S139"/>
  <c r="S131"/>
  <c r="S445"/>
  <c r="S437"/>
  <c r="S505"/>
  <c r="S465"/>
  <c r="S457"/>
  <c r="S97"/>
  <c r="S89"/>
  <c r="S81"/>
  <c r="S105"/>
  <c r="S113"/>
  <c r="S517"/>
  <c r="T261"/>
  <c r="T265"/>
  <c r="T269"/>
  <c r="T273"/>
  <c r="T277"/>
  <c r="T281"/>
  <c r="T285"/>
  <c r="T289"/>
  <c r="T293"/>
  <c r="T297"/>
  <c r="T301"/>
  <c r="T305"/>
  <c r="T309"/>
  <c r="T313"/>
  <c r="T317"/>
  <c r="T321"/>
  <c r="S327"/>
  <c r="S335"/>
  <c r="S343"/>
  <c r="S351"/>
  <c r="S359"/>
  <c r="S367"/>
  <c r="S375"/>
  <c r="S383"/>
  <c r="S391"/>
  <c r="S399"/>
  <c r="S407"/>
  <c r="S415"/>
  <c r="S423"/>
  <c r="S527"/>
  <c r="S525"/>
  <c r="S523"/>
  <c r="S521"/>
  <c r="S519"/>
  <c r="S43"/>
  <c r="S503"/>
  <c r="S483"/>
  <c r="S499"/>
  <c r="S227"/>
  <c r="S229"/>
  <c r="S231"/>
  <c r="S233"/>
  <c r="S235"/>
  <c r="S237"/>
  <c r="S239"/>
  <c r="S241"/>
  <c r="S243"/>
  <c r="S245"/>
  <c r="S247"/>
  <c r="S249"/>
  <c r="S251"/>
  <c r="S253"/>
  <c r="S255"/>
  <c r="S257"/>
  <c r="U25"/>
  <c r="F31" i="15"/>
  <c r="G103" i="43"/>
  <c r="H106"/>
  <c r="K104"/>
  <c r="C102"/>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A14" i="52"/>
  <c r="B61" i="60" s="1"/>
  <c r="C29" i="11"/>
  <c r="D27" s="1"/>
  <c r="C47"/>
  <c r="D45" s="1"/>
  <c r="Y25" i="31"/>
  <c r="C36" i="57" s="1"/>
  <c r="F124" s="1"/>
  <c r="G124" s="1"/>
  <c r="V25" i="31"/>
  <c r="C35" i="57" s="1"/>
  <c r="D124" s="1"/>
  <c r="D125" s="1"/>
  <c r="A4" i="54"/>
  <c r="B6" i="60" s="1"/>
  <c r="L103" i="43"/>
  <c r="H102"/>
  <c r="D109"/>
  <c r="K107"/>
  <c r="C106"/>
  <c r="D3" i="21"/>
  <c r="H73" i="43"/>
  <c r="N9"/>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H60"/>
  <c r="C95" i="57"/>
  <c r="C93"/>
  <c r="C92" i="9"/>
  <c r="H7" i="35"/>
  <c r="F7"/>
  <c r="J7"/>
  <c r="AC7" s="1"/>
  <c r="V38" s="1"/>
  <c r="C7" i="39"/>
  <c r="C68" s="1"/>
  <c r="C70" s="1"/>
  <c r="C53" i="10"/>
  <c r="D123" i="9"/>
  <c r="D124"/>
  <c r="D7" i="52" s="1"/>
  <c r="M48" i="57"/>
  <c r="D68" i="39"/>
  <c r="D63" i="40"/>
  <c r="B58" i="60"/>
  <c r="A12" i="52"/>
  <c r="B67" i="60" s="1"/>
  <c r="C94" i="9"/>
  <c r="L105" i="43"/>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64" i="43"/>
  <c r="H65"/>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66"/>
  <c r="H62"/>
  <c r="H67"/>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F81" i="43" l="1"/>
  <c r="G4" i="47"/>
  <c r="F48" i="43"/>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E124" i="57"/>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C10" i="15"/>
  <c r="C5" s="1"/>
  <c r="C32" s="1"/>
  <c r="H51" i="43" l="1"/>
  <c r="H56"/>
  <c r="H53"/>
  <c r="H49"/>
  <c r="H48"/>
  <c r="H52"/>
  <c r="H50"/>
  <c r="H54"/>
  <c r="H55"/>
  <c r="H85"/>
  <c r="H87"/>
  <c r="M87" s="1"/>
  <c r="N87" s="1"/>
  <c r="H83"/>
  <c r="M83" s="1"/>
  <c r="N83" s="1"/>
  <c r="H86"/>
  <c r="K86" s="1"/>
  <c r="J86" s="1"/>
  <c r="D86" s="1"/>
  <c r="H82"/>
  <c r="K82" s="1"/>
  <c r="J82" s="1"/>
  <c r="D82" s="1"/>
  <c r="H84"/>
  <c r="H88"/>
  <c r="H81"/>
  <c r="D5"/>
  <c r="I55" i="15"/>
  <c r="J54"/>
  <c r="G43" i="35"/>
  <c r="H43" s="1"/>
  <c r="Q59" i="15"/>
  <c r="F7" i="33"/>
  <c r="AA7" s="1"/>
  <c r="R48" s="1"/>
  <c r="R39" i="35"/>
  <c r="C38" s="1"/>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C35" i="43" l="1"/>
  <c r="C34"/>
  <c r="C36"/>
  <c r="C33"/>
  <c r="C67" i="15"/>
  <c r="C61"/>
  <c r="S7" i="33"/>
  <c r="B33" i="1"/>
  <c r="F41" i="15" s="1"/>
  <c r="F70" s="1"/>
  <c r="Q50"/>
  <c r="C39" i="35"/>
  <c r="B3" s="1"/>
  <c r="AB7" i="36"/>
  <c r="T36" s="1"/>
  <c r="G36" s="1"/>
  <c r="G41" s="1"/>
  <c r="H41" s="1"/>
  <c r="AC7" i="33"/>
  <c r="V48" s="1"/>
  <c r="I48" s="1"/>
  <c r="I52" s="1"/>
  <c r="J52" s="1"/>
  <c r="S7" i="21"/>
  <c r="C15" i="12"/>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117" i="57" l="1"/>
  <c r="D118" s="1"/>
  <c r="I114" s="1"/>
  <c r="D131" s="1"/>
  <c r="G40" i="36"/>
  <c r="H40" s="1"/>
  <c r="R37"/>
  <c r="C37"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36" i="36" l="1"/>
  <c r="C49" i="34"/>
  <c r="C49" i="21"/>
  <c r="C49" i="33"/>
  <c r="C27" i="12"/>
  <c r="C25" s="1"/>
  <c r="C39" i="11"/>
  <c r="C20" i="15"/>
  <c r="C23" s="1"/>
  <c r="I63" i="40"/>
  <c r="H65"/>
  <c r="I68" i="39"/>
  <c r="H70"/>
  <c r="C26" i="43"/>
  <c r="B2" s="1"/>
  <c r="C27"/>
  <c r="B3" l="1"/>
  <c r="C6" i="11"/>
  <c r="C7" s="1"/>
  <c r="C5" s="1"/>
  <c r="M57" i="57"/>
  <c r="C43" i="11"/>
  <c r="C41" s="1"/>
  <c r="C32" i="12"/>
  <c r="B2" s="1"/>
  <c r="C46" i="11"/>
  <c r="C45" s="1"/>
  <c r="C26" i="15"/>
  <c r="C29" s="1"/>
  <c r="J60" s="1"/>
  <c r="J61" s="1"/>
  <c r="J68" i="39"/>
  <c r="I70"/>
  <c r="J63" i="40"/>
  <c r="I65"/>
  <c r="C20" i="11" l="1"/>
  <c r="C23"/>
  <c r="Q46" i="15"/>
  <c r="C49" i="11"/>
  <c r="C51" s="1"/>
  <c r="B3" i="12"/>
  <c r="C13" i="15"/>
  <c r="Q47"/>
  <c r="J19"/>
  <c r="J17" s="1"/>
  <c r="C33"/>
  <c r="C31" s="1"/>
  <c r="J14"/>
  <c r="C58"/>
  <c r="C36"/>
  <c r="K68" i="39"/>
  <c r="J70"/>
  <c r="K63" i="40"/>
  <c r="J65"/>
  <c r="C28" i="11" l="1"/>
  <c r="C27" s="1"/>
  <c r="C25"/>
  <c r="C22" s="1"/>
  <c r="D119" i="57"/>
  <c r="I115"/>
  <c r="D132" s="1"/>
  <c r="I14" i="62" s="1"/>
  <c r="B8" s="1"/>
  <c r="J22" i="15"/>
  <c r="J13"/>
  <c r="J23" s="1"/>
  <c r="C62"/>
  <c r="C60" s="1"/>
  <c r="C65"/>
  <c r="J34"/>
  <c r="Q68"/>
  <c r="C37"/>
  <c r="C30" s="1"/>
  <c r="C39" s="1"/>
  <c r="C57"/>
  <c r="C66" s="1"/>
  <c r="L63" i="40"/>
  <c r="K65"/>
  <c r="L68" i="39"/>
  <c r="K70"/>
  <c r="C31" i="11" l="1"/>
  <c r="C52" s="1"/>
  <c r="B3" s="1"/>
  <c r="C8" i="62"/>
  <c r="D8"/>
  <c r="C59" i="15"/>
  <c r="C68" s="1"/>
  <c r="C69" s="1"/>
  <c r="C72" s="1"/>
  <c r="J16"/>
  <c r="J25" s="1"/>
  <c r="J26" s="1"/>
  <c r="J29" s="1"/>
  <c r="C40"/>
  <c r="Q67"/>
  <c r="Q66" s="1"/>
  <c r="J38"/>
  <c r="M68" i="39"/>
  <c r="L70"/>
  <c r="M63" i="40"/>
  <c r="L65"/>
  <c r="D20" i="57"/>
  <c r="C56" i="11" l="1"/>
  <c r="C57" s="1"/>
  <c r="D103" i="57"/>
  <c r="C47" i="15"/>
  <c r="J39"/>
  <c r="J41"/>
  <c r="J42" s="1"/>
  <c r="C43"/>
  <c r="L52"/>
  <c r="Q63"/>
  <c r="Q45"/>
  <c r="Q51" s="1"/>
  <c r="Q54"/>
  <c r="N63" i="40"/>
  <c r="M65"/>
  <c r="N68" i="39"/>
  <c r="M70"/>
  <c r="D20" i="9"/>
  <c r="E2" i="35"/>
  <c r="E2" i="36"/>
  <c r="E2" i="34"/>
  <c r="E2" i="37"/>
  <c r="E2" i="33"/>
  <c r="E2" i="11"/>
  <c r="E2" i="21"/>
  <c r="B2" i="36" l="1"/>
  <c r="B3" s="1"/>
  <c r="B2" i="34"/>
  <c r="B3" s="1"/>
  <c r="B2" i="35"/>
  <c r="B2" i="37"/>
  <c r="B3" s="1"/>
  <c r="B2" i="33"/>
  <c r="B3" s="1"/>
  <c r="B2" i="21"/>
  <c r="B3" s="1"/>
  <c r="B2" i="11"/>
  <c r="D102" i="9"/>
  <c r="Q65" i="15"/>
  <c r="L58"/>
  <c r="L61" s="1"/>
  <c r="L47" s="1"/>
  <c r="O68" i="39"/>
  <c r="O70" s="1"/>
  <c r="N70"/>
  <c r="O63" i="40"/>
  <c r="O65" s="1"/>
  <c r="N65"/>
  <c r="D19" i="9"/>
  <c r="D19" i="57"/>
  <c r="D101" i="9" l="1"/>
  <c r="B2" i="15"/>
  <c r="B3"/>
  <c r="Q64"/>
  <c r="Q73" s="1"/>
  <c r="Q55"/>
  <c r="Q60" s="1"/>
  <c r="D102" i="57"/>
  <c r="H7" i="40"/>
  <c r="F7"/>
  <c r="J7"/>
  <c r="H7" i="39"/>
  <c r="F7"/>
  <c r="J7"/>
  <c r="C20" i="9"/>
  <c r="C19"/>
  <c r="C20" i="57"/>
  <c r="C19"/>
  <c r="C101" i="9" l="1"/>
  <c r="G19"/>
  <c r="D22"/>
  <c r="C102"/>
  <c r="G20"/>
  <c r="R27" i="31" s="1"/>
  <c r="C102" i="57"/>
  <c r="D22"/>
  <c r="G19"/>
  <c r="G20"/>
  <c r="C103"/>
  <c r="W7" i="39"/>
  <c r="AC7"/>
  <c r="V47" s="1"/>
  <c r="I47" s="1"/>
  <c r="I51" s="1"/>
  <c r="J51" s="1"/>
  <c r="AB7"/>
  <c r="T47" s="1"/>
  <c r="G47" s="1"/>
  <c r="U7"/>
  <c r="AA7" i="40"/>
  <c r="R42" s="1"/>
  <c r="S7"/>
  <c r="AA7" i="39"/>
  <c r="R47" s="1"/>
  <c r="S7"/>
  <c r="AC7" i="40"/>
  <c r="V42" s="1"/>
  <c r="I42" s="1"/>
  <c r="W7"/>
  <c r="AB7"/>
  <c r="T42" s="1"/>
  <c r="G42" s="1"/>
  <c r="U7"/>
  <c r="C32" i="57" l="1"/>
  <c r="T27" i="31"/>
  <c r="S27"/>
  <c r="R28"/>
  <c r="C105" i="57"/>
  <c r="C32" i="9"/>
  <c r="C104" i="57"/>
  <c r="G47" i="40"/>
  <c r="H47" s="1"/>
  <c r="G46"/>
  <c r="H46" s="1"/>
  <c r="I46"/>
  <c r="J46" s="1"/>
  <c r="R48" i="39"/>
  <c r="E47"/>
  <c r="R43" i="40"/>
  <c r="E42"/>
  <c r="G51" i="39"/>
  <c r="H51" s="1"/>
  <c r="G52"/>
  <c r="H52" s="1"/>
  <c r="S28" i="31" l="1"/>
  <c r="S25" s="1"/>
  <c r="T28"/>
  <c r="T25" s="1"/>
  <c r="E46" i="40"/>
  <c r="F46" s="1"/>
  <c r="E47"/>
  <c r="F47" s="1"/>
  <c r="I52" i="39"/>
  <c r="J52" s="1"/>
  <c r="E51"/>
  <c r="F51" s="1"/>
  <c r="E52"/>
  <c r="F52" s="1"/>
  <c r="C42" i="40"/>
  <c r="C43"/>
  <c r="C47" i="39"/>
  <c r="C48"/>
  <c r="I47" i="40"/>
  <c r="J47" s="1"/>
  <c r="R25" i="31" l="1"/>
  <c r="B24" s="1"/>
  <c r="B3" s="1"/>
  <c r="C34" i="57" s="1"/>
  <c r="I124" s="1"/>
  <c r="B23" i="31"/>
  <c r="B2" s="1"/>
  <c r="C33" i="57" s="1"/>
  <c r="H124" s="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I103" i="57" l="1"/>
  <c r="C106"/>
  <c r="H125"/>
  <c r="D109"/>
  <c r="I104"/>
  <c r="D110"/>
  <c r="C107"/>
  <c r="F61" i="40"/>
  <c r="B2" s="1"/>
  <c r="B3" s="1"/>
  <c r="F66" i="39"/>
  <c r="B2" s="1"/>
  <c r="B3" s="1"/>
  <c r="I113" i="57" l="1"/>
  <c r="D46"/>
  <c r="I111"/>
  <c r="D128" s="1"/>
  <c r="M49"/>
  <c r="D115"/>
  <c r="D116" s="1"/>
  <c r="I112" s="1"/>
  <c r="D129" s="1"/>
  <c r="D120"/>
  <c r="I116" s="1"/>
  <c r="M56" i="9"/>
  <c r="D130"/>
  <c r="D13" i="52" s="1"/>
  <c r="D130" i="57" l="1"/>
  <c r="H14" i="62" s="1"/>
  <c r="B7" s="1"/>
  <c r="M50" i="57"/>
  <c r="C79"/>
  <c r="C74" s="1"/>
  <c r="C86"/>
  <c r="C94"/>
  <c r="C87" s="1"/>
  <c r="C65"/>
  <c r="C64" s="1"/>
  <c r="C68" s="1"/>
  <c r="C69" s="1"/>
  <c r="D55" s="1"/>
  <c r="D53"/>
  <c r="D54"/>
  <c r="D49" s="1"/>
  <c r="M53" s="1"/>
  <c r="C73"/>
  <c r="C80" s="1"/>
  <c r="D56"/>
  <c r="M54" s="1"/>
  <c r="D35" i="9"/>
  <c r="C35" s="1"/>
  <c r="C7" i="62" l="1"/>
  <c r="D7"/>
  <c r="C81" i="57"/>
  <c r="E81" s="1"/>
  <c r="E82" s="1"/>
  <c r="L68"/>
  <c r="M68" s="1"/>
  <c r="L66"/>
  <c r="M66" s="1"/>
  <c r="L64"/>
  <c r="M64" s="1"/>
  <c r="M70" s="1"/>
  <c r="N70" s="1"/>
  <c r="L69"/>
  <c r="M69" s="1"/>
  <c r="L67"/>
  <c r="M67" s="1"/>
  <c r="L65"/>
  <c r="M65" s="1"/>
  <c r="C96"/>
  <c r="C34" i="9"/>
  <c r="D34"/>
  <c r="C97" i="57" l="1"/>
  <c r="E97" s="1"/>
  <c r="E98" s="1"/>
  <c r="C82"/>
  <c r="I112" i="9"/>
  <c r="D114"/>
  <c r="D115" s="1"/>
  <c r="C98" i="57" l="1"/>
  <c r="D59" s="1"/>
  <c r="D57" s="1"/>
  <c r="M55" s="1"/>
  <c r="N58" s="1"/>
  <c r="I113" i="9"/>
  <c r="D41" i="50"/>
  <c r="B63" i="60" s="1"/>
  <c r="D39" i="50"/>
  <c r="D40" s="1"/>
  <c r="D18"/>
  <c r="D127" i="9"/>
  <c r="D10" i="52" s="1"/>
  <c r="M49" i="9"/>
  <c r="P58" i="57" l="1"/>
  <c r="N59"/>
  <c r="N60"/>
  <c r="D128" i="9"/>
  <c r="D11" i="52" s="1"/>
  <c r="D20" i="50"/>
  <c r="D19"/>
  <c r="B32" i="60" s="1"/>
  <c r="B31"/>
  <c r="L67" i="9"/>
  <c r="M67" s="1"/>
  <c r="L65"/>
  <c r="M65" s="1"/>
  <c r="L66"/>
  <c r="M66" s="1"/>
  <c r="L68"/>
  <c r="M68" s="1"/>
  <c r="L63"/>
  <c r="M63" s="1"/>
  <c r="L64"/>
  <c r="M64" s="1"/>
  <c r="N61" i="57" l="1"/>
  <c r="N62"/>
  <c r="M69" i="9"/>
  <c r="N69" s="1"/>
  <c r="I114" l="1"/>
  <c r="D116"/>
  <c r="D129" l="1"/>
  <c r="D12" i="52" s="1"/>
  <c r="D21" i="50"/>
  <c r="D42"/>
  <c r="D43" s="1"/>
  <c r="D22" l="1"/>
  <c r="B35" i="60" s="1"/>
  <c r="B33"/>
  <c r="G121" i="9" l="1"/>
  <c r="I121"/>
  <c r="C104" s="1"/>
  <c r="E121"/>
  <c r="I4" i="52" l="1"/>
  <c r="H121" i="9"/>
  <c r="G4" i="52"/>
  <c r="B41" i="60" s="1"/>
  <c r="F121" i="9"/>
  <c r="E4" i="52"/>
  <c r="B38" i="60" s="1"/>
  <c r="D121" i="9"/>
  <c r="D107"/>
  <c r="I103"/>
  <c r="D30" i="50" s="1"/>
  <c r="D4" i="52" l="1"/>
  <c r="B37" i="60" s="1"/>
  <c r="D122" i="9"/>
  <c r="D5" i="52" s="1"/>
  <c r="B39" i="60" s="1"/>
  <c r="F4" i="52"/>
  <c r="B40" i="60" s="1"/>
  <c r="F122" i="9"/>
  <c r="F5" i="52" s="1"/>
  <c r="B42" i="60" s="1"/>
  <c r="D14" i="62"/>
  <c r="H4" i="52"/>
  <c r="D106" i="9"/>
  <c r="D112" s="1"/>
  <c r="D117" s="1"/>
  <c r="D44" i="50" s="1"/>
  <c r="C103" i="9"/>
  <c r="H122"/>
  <c r="H5" i="52" s="1"/>
  <c r="I102" i="9"/>
  <c r="I115"/>
  <c r="D23" i="50" s="1"/>
  <c r="B34" i="60" s="1"/>
  <c r="D9" i="50"/>
  <c r="B21" i="60" s="1"/>
  <c r="D28" i="50" l="1"/>
  <c r="D29" s="1"/>
  <c r="M48" i="9"/>
  <c r="D7" i="50"/>
  <c r="D45" i="9"/>
  <c r="I110"/>
  <c r="D113"/>
  <c r="E14" i="62"/>
  <c r="B5"/>
  <c r="F14"/>
  <c r="D125" i="9" l="1"/>
  <c r="D36" i="50"/>
  <c r="D37" s="1"/>
  <c r="D15"/>
  <c r="B19" i="60"/>
  <c r="D8" i="50"/>
  <c r="B22" i="60" s="1"/>
  <c r="C5" i="62"/>
  <c r="D5"/>
  <c r="D38" i="50"/>
  <c r="B62" i="60" s="1"/>
  <c r="I111" i="9"/>
  <c r="C93"/>
  <c r="C86" s="1"/>
  <c r="D55"/>
  <c r="M53" s="1"/>
  <c r="C78"/>
  <c r="C73" s="1"/>
  <c r="C85"/>
  <c r="C64"/>
  <c r="C63" s="1"/>
  <c r="C67" s="1"/>
  <c r="C68" s="1"/>
  <c r="D54" s="1"/>
  <c r="D52"/>
  <c r="D59"/>
  <c r="M55" s="1"/>
  <c r="C72"/>
  <c r="D53"/>
  <c r="D48" s="1"/>
  <c r="M52" s="1"/>
  <c r="D126" l="1"/>
  <c r="D9" i="52" s="1"/>
  <c r="D17" i="50"/>
  <c r="D16"/>
  <c r="B30" i="60" s="1"/>
  <c r="B29"/>
  <c r="G14" i="62"/>
  <c r="B6" s="1"/>
  <c r="D8" i="52"/>
  <c r="C79" i="9"/>
  <c r="C80" s="1"/>
  <c r="E80" s="1"/>
  <c r="E81" s="1"/>
  <c r="C95"/>
  <c r="C81"/>
  <c r="D6" i="62" l="1"/>
  <c r="C6"/>
  <c r="C96" i="9"/>
  <c r="E96" s="1"/>
  <c r="E97" s="1"/>
  <c r="C97" l="1"/>
  <c r="D58" s="1"/>
  <c r="D56" s="1"/>
  <c r="M54" s="1"/>
  <c r="N57" s="1"/>
  <c r="N59" s="1"/>
  <c r="N58" l="1"/>
  <c r="P57"/>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<sst xmlns="http://schemas.openxmlformats.org/spreadsheetml/2006/main" count="6789" uniqueCount="2866">
  <si>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</si>
  <si>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</si>
  <si>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</si>
  <si>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</si>
  <si>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</si>
  <si>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</si>
  <si>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</si>
  <si>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</si>
  <si>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</si>
  <si>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</si>
  <si>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</si>
  <si>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</si>
  <si>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</si>
  <si>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</si>
  <si>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</si>
  <si>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</si>
  <si>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</si>
  <si>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</si>
  <si>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</si>
  <si>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</si>
  <si>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</si>
  <si>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</si>
  <si>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</si>
  <si>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</si>
  <si>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</si>
  <si>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</si>
  <si>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</si>
  <si>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</si>
  <si>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</si>
  <si>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</si>
  <si>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</si>
  <si>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</si>
  <si>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</si>
  <si>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</si>
  <si>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</si>
  <si>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</si>
  <si>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</si>
  <si>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</si>
  <si>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</si>
  <si>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</si>
  <si>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</si>
  <si>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</si>
  <si>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</si>
  <si>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</si>
  <si>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</si>
  <si>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</si>
  <si>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</si>
  <si>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</si>
  <si>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</si>
  <si>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</si>
  <si>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</si>
  <si>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</si>
  <si>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</si>
  <si>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</si>
  <si>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</si>
  <si>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</si>
  <si>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</si>
  <si>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</si>
  <si>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</si>
  <si>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</si>
  <si>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</si>
  <si>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</si>
  <si>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</si>
  <si>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</si>
  <si>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</si>
  <si>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</si>
  <si>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</si>
  <si>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</si>
  <si>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</si>
  <si>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</si>
  <si>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</si>
  <si>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</si>
  <si>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</si>
  <si>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</si>
  <si>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</si>
  <si>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</si>
  <si>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</si>
  <si>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</si>
  <si>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</si>
  <si>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</si>
  <si>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</si>
  <si>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</si>
  <si>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</si>
  <si>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</si>
  <si>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</si>
  <si>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</si>
  <si>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</si>
  <si>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</si>
  <si>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</si>
  <si>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</si>
  <si>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</si>
  <si>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</si>
  <si>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</si>
  <si>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</si>
  <si>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</si>
  <si>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</si>
  <si>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</si>
  <si>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</si>
  <si>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</si>
  <si>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</si>
  <si>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</si>
  <si>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</si>
  <si>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</si>
  <si>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</si>
  <si>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</si>
  <si>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</si>
  <si>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</si>
  <si>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</si>
  <si>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</si>
  <si>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</si>
  <si>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</si>
  <si>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</si>
  <si>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</si>
  <si>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</si>
  <si>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</si>
  <si>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</si>
  <si>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</si>
  <si>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</si>
  <si>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</si>
  <si>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</si>
  <si>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</si>
  <si>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</si>
  <si>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</si>
  <si>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</si>
  <si>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</si>
  <si>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</si>
  <si>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</si>
  <si>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</si>
  <si>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</si>
  <si>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</si>
  <si>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</si>
  <si>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</si>
  <si>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</si>
  <si>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</si>
  <si>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</si>
  <si>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</si>
  <si>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</si>
  <si>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</si>
  <si>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</si>
  <si>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</si>
  <si>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</si>
  <si>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</si>
  <si>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</si>
  <si>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</si>
  <si>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</si>
  <si>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</si>
  <si>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</si>
  <si>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</si>
  <si>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</si>
  <si>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</si>
  <si>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</si>
  <si>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</si>
  <si>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</si>
  <si>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</si>
  <si>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</si>
  <si>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</si>
  <si>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</si>
  <si>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</si>
  <si>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</si>
  <si>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</si>
  <si>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</si>
  <si>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</si>
  <si>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</si>
  <si>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</si>
  <si>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</si>
  <si>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</si>
  <si>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</si>
  <si>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</si>
  <si>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</si>
  <si>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</si>
  <si>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</si>
  <si>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</si>
  <si>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</si>
  <si>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</si>
  <si>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</si>
  <si>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</si>
  <si>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</si>
  <si>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</si>
  <si>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</si>
  <si>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</si>
  <si>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</si>
  <si>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</si>
  <si>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</si>
  <si>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</si>
  <si>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</si>
  <si>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</si>
  <si>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</si>
  <si>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</si>
  <si>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</si>
  <si>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</si>
  <si>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</si>
  <si>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</si>
  <si>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</si>
  <si>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</si>
  <si>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</si>
  <si>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</si>
  <si>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</si>
  <si>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</si>
  <si>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</si>
  <si>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</si>
  <si>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</si>
  <si>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</si>
  <si>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</si>
  <si>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</si>
  <si>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</si>
  <si>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</si>
  <si>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</si>
  <si>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</si>
  <si>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</si>
  <si>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</si>
  <si>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</si>
  <si>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</si>
  <si>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</si>
  <si>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</si>
  <si>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</si>
  <si>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</si>
  <si>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</si>
  <si>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</si>
  <si>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</si>
  <si>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</si>
  <si>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</si>
  <si>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</si>
  <si>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</si>
  <si>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</si>
  <si>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</si>
  <si>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</si>
  <si>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</si>
  <si>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</si>
  <si>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</si>
  <si>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</si>
  <si>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</si>
  <si>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</si>
  <si>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</si>
  <si>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</si>
  <si>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</si>
  <si>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</si>
  <si>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</si>
  <si>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</si>
  <si>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</si>
  <si>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</si>
  <si>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</si>
  <si>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</si>
  <si>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</si>
  <si>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</si>
  <si>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</si>
  <si>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</si>
  <si>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</si>
  <si>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</si>
  <si>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</si>
  <si>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</si>
  <si>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</si>
  <si>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</si>
  <si>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</si>
  <si>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</si>
  <si>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</si>
  <si>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</si>
  <si>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</si>
  <si>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</si>
  <si>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</si>
  <si>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</si>
  <si>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</si>
  <si>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</si>
  <si>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</si>
  <si>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</si>
  <si>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</si>
  <si>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</si>
  <si>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</si>
  <si>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</si>
  <si>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</si>
  <si>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</si>
  <si>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</si>
  <si>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</si>
  <si>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</si>
  <si>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</si>
  <si>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</si>
  <si>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</si>
  <si>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</si>
  <si>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</si>
  <si>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</si>
  <si>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</si>
  <si>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</si>
  <si>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</si>
  <si>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</si>
  <si>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</si>
  <si>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</si>
  <si>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</si>
  <si>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</si>
  <si>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</si>
  <si>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</si>
  <si>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</si>
  <si>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</si>
  <si>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</si>
  <si>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</si>
  <si>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</si>
  <si>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</si>
  <si>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</si>
  <si>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</si>
  <si>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</si>
  <si>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</si>
  <si>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</si>
  <si>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</si>
  <si>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</si>
  <si>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</si>
  <si>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</si>
  <si>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</si>
  <si>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</si>
  <si>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</si>
  <si>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</si>
  <si>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</si>
  <si>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</si>
  <si>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</si>
  <si>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</si>
  <si>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</si>
  <si>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</si>
  <si>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</si>
  <si>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</si>
  <si>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</si>
  <si>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</si>
  <si>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</si>
  <si>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</si>
  <si>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</si>
  <si>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</si>
  <si>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</si>
  <si>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</si>
  <si>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</si>
  <si>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</si>
  <si>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</si>
  <si>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</si>
  <si>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</si>
  <si>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</si>
  <si>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</si>
  <si>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</si>
  <si>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</si>
  <si>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</si>
  <si>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</si>
  <si>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</si>
  <si>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</si>
  <si>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</si>
  <si>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</si>
  <si>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</si>
  <si>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</si>
  <si>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</si>
  <si>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</si>
  <si>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</si>
  <si>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</si>
  <si>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</si>
  <si>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</si>
  <si>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</si>
  <si>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</si>
  <si>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</si>
  <si>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</si>
  <si>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</si>
  <si>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</si>
  <si>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</si>
  <si>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</si>
  <si>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</si>
  <si>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</si>
  <si>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</si>
  <si>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</si>
  <si>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</si>
  <si>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</si>
  <si>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</si>
  <si>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</si>
  <si>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</si>
  <si>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</si>
  <si>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</si>
  <si>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</si>
  <si>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</si>
  <si>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</si>
  <si>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</si>
  <si>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</si>
  <si>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</si>
  <si>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</si>
  <si>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</si>
  <si>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</si>
  <si>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</si>
  <si>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</si>
  <si>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</si>
  <si>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</si>
  <si>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</si>
  <si>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</si>
  <si>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</si>
  <si>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</si>
  <si>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</si>
  <si>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</si>
  <si>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</si>
  <si>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</si>
  <si>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</si>
  <si>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</si>
  <si>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</si>
  <si>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</si>
  <si>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</si>
  <si>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</si>
  <si>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</si>
  <si>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</si>
  <si>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</si>
  <si>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</si>
  <si>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</si>
  <si>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</si>
  <si>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</si>
  <si>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</si>
  <si>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</si>
  <si>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</si>
  <si>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</si>
  <si>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</si>
  <si>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</si>
  <si>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</si>
  <si>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</si>
  <si>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</si>
  <si>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</si>
  <si>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</si>
  <si>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</si>
  <si>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</si>
  <si>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</si>
  <si>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</si>
  <si>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</si>
  <si>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</si>
  <si>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</si>
  <si>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</si>
  <si>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</si>
  <si>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</si>
  <si>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</si>
  <si>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</si>
  <si>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</si>
  <si>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</si>
  <si>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</si>
  <si>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</si>
  <si>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</si>
  <si>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</si>
  <si>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</si>
  <si>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</si>
  <si>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</si>
  <si>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</si>
  <si>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</si>
  <si>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</si>
  <si>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</si>
  <si>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</si>
  <si>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</si>
  <si>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</si>
  <si>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</si>
  <si>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</si>
  <si>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</si>
  <si>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</si>
  <si>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</si>
  <si>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</si>
  <si>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</si>
  <si>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</si>
  <si>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</si>
  <si>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</si>
  <si>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</si>
  <si>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</si>
  <si>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</si>
  <si>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</si>
  <si>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</si>
  <si>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</si>
  <si>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</si>
  <si>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</si>
  <si>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</si>
  <si>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</si>
  <si>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</si>
  <si>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</si>
  <si>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</si>
  <si>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</si>
  <si>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</si>
  <si>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</si>
  <si>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</si>
  <si>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</si>
  <si>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</si>
  <si>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</si>
  <si>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</si>
  <si>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</si>
  <si>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</si>
  <si>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</si>
  <si>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</si>
  <si>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</si>
  <si>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</si>
  <si>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</si>
  <si>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</si>
  <si>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</si>
  <si>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</si>
  <si>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</si>
  <si>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</si>
  <si>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</si>
  <si>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</si>
  <si>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</si>
  <si>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</si>
  <si>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</si>
  <si>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</si>
  <si>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</si>
  <si>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</si>
  <si>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</si>
  <si>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</si>
  <si>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</si>
  <si>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</si>
  <si>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</si>
  <si>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</si>
  <si>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</si>
  <si>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</si>
  <si>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</si>
  <si>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</si>
  <si>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</si>
  <si>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</si>
  <si>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</si>
  <si>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</si>
  <si>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</si>
  <si>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</si>
  <si>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</si>
  <si>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</si>
  <si>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</si>
  <si>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</si>
  <si>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</si>
  <si>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</si>
  <si>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</si>
  <si>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</si>
  <si>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</si>
  <si>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</si>
  <si>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</si>
  <si>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</si>
  <si>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</si>
  <si>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</si>
  <si>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</si>
  <si>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</si>
  <si>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</si>
  <si>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</si>
  <si>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</si>
  <si>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</si>
  <si>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</si>
  <si>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</si>
  <si>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</si>
  <si>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</si>
  <si>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</si>
  <si>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</si>
  <si>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</si>
  <si>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</si>
  <si>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</si>
  <si>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</si>
  <si>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</si>
  <si>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</si>
  <si>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</si>
  <si>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</si>
  <si>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</si>
  <si>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</si>
  <si>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</si>
  <si>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</si>
  <si>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</si>
  <si>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</si>
  <si>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</si>
  <si>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</si>
  <si>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</si>
  <si>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</si>
  <si>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</si>
  <si>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</si>
  <si>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</si>
  <si>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</si>
  <si>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</si>
  <si>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</si>
  <si>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</si>
  <si>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</si>
  <si>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</si>
  <si>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</si>
  <si>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</si>
  <si>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</si>
  <si>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</si>
  <si>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</si>
  <si>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</si>
  <si>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</si>
  <si>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</si>
  <si>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</si>
  <si>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</si>
  <si>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</si>
  <si>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</si>
  <si>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</si>
  <si>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</si>
  <si>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</si>
  <si>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</si>
  <si>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</si>
  <si>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</si>
  <si>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</si>
  <si>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</si>
  <si>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</si>
  <si>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</si>
  <si>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</si>
  <si>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</si>
  <si>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</si>
  <si>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</si>
  <si>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</si>
  <si>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</si>
  <si>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</si>
  <si>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</si>
  <si>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</si>
  <si>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</si>
  <si>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</si>
  <si>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</si>
  <si>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</si>
  <si>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</si>
  <si>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</si>
  <si>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</si>
  <si>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</si>
  <si>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</si>
  <si>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</si>
  <si>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</si>
  <si>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</si>
  <si>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</si>
  <si>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</si>
  <si>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</si>
  <si>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</si>
  <si>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</si>
  <si>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</si>
  <si>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</si>
  <si>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</si>
  <si>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</si>
  <si>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</si>
  <si>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</si>
  <si>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</si>
  <si>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</si>
  <si>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</si>
  <si>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</si>
  <si>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</si>
  <si>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</si>
  <si>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</si>
  <si>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</si>
  <si>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</si>
  <si>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</si>
  <si>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</si>
  <si>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</si>
  <si>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</si>
  <si>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</si>
  <si>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</si>
  <si>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</si>
  <si>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</si>
  <si>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</si>
  <si>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</si>
  <si>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</si>
  <si>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</si>
  <si>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</si>
  <si>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</si>
  <si>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</si>
  <si>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</si>
  <si>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</si>
  <si>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</si>
  <si>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</si>
  <si>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</si>
  <si>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</si>
  <si>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</si>
  <si>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</si>
  <si>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</si>
  <si>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</si>
  <si>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</si>
  <si>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</si>
  <si>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</si>
  <si>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</si>
  <si>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</si>
  <si>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</si>
  <si>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</si>
  <si>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</si>
  <si>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</si>
  <si>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</si>
  <si>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</si>
  <si>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</si>
  <si>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</si>
  <si>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</si>
  <si>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</si>
  <si>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</si>
  <si>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</si>
  <si>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</si>
  <si>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</si>
  <si>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</si>
  <si>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</si>
  <si>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</si>
  <si>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</si>
  <si>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</si>
  <si>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</si>
  <si>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</si>
  <si>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</si>
  <si>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</si>
  <si>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</si>
  <si>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</si>
  <si>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</si>
  <si>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</si>
  <si>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</si>
  <si>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</si>
  <si>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</si>
  <si>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</si>
  <si>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</si>
  <si>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</si>
  <si>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</si>
  <si>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</si>
  <si>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</si>
  <si>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</si>
  <si>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</si>
  <si>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</si>
  <si>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</si>
  <si>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</si>
  <si>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</si>
  <si>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</si>
  <si>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</si>
  <si>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</si>
  <si>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</si>
  <si>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</si>
  <si>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</si>
  <si>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</si>
  <si>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</si>
  <si>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</si>
  <si>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</si>
  <si>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</si>
  <si>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</si>
  <si>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</si>
  <si>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</si>
  <si>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</si>
  <si>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</si>
  <si>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</si>
  <si>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</si>
  <si>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</si>
  <si>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</si>
  <si>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</si>
  <si>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</si>
  <si>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</si>
  <si>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</si>
  <si>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</si>
  <si>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</si>
  <si>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</si>
  <si>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</si>
  <si>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</si>
  <si>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</si>
  <si>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</si>
  <si>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</si>
  <si>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</si>
  <si>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</si>
  <si>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</si>
  <si>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</si>
  <si>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</si>
  <si>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</si>
  <si>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</si>
  <si>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</si>
  <si>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</si>
  <si>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</si>
  <si>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</si>
  <si>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</si>
  <si>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</si>
  <si>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</si>
  <si>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</si>
  <si>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</si>
  <si>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</si>
  <si>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</si>
  <si>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</si>
  <si>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</si>
  <si>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</si>
  <si>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</si>
  <si>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</si>
  <si>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</si>
  <si>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</si>
  <si>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</si>
  <si>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</si>
  <si>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</si>
  <si>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</si>
  <si>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</si>
  <si>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</si>
  <si>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</si>
  <si>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</si>
  <si>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</si>
  <si>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</si>
  <si>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</si>
  <si>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</si>
  <si>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</si>
  <si>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</si>
  <si>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</si>
  <si>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</si>
  <si>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</si>
  <si>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</si>
  <si>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</si>
  <si>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</si>
  <si>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</si>
  <si>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</si>
  <si>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</si>
  <si>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</si>
  <si>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</si>
  <si>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</si>
  <si>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</si>
  <si>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</si>
  <si>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</si>
  <si>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</si>
  <si>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</si>
  <si>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</si>
  <si>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</si>
  <si>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</si>
  <si>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</si>
  <si>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</si>
  <si>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</si>
  <si>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</si>
  <si>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</si>
  <si>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</si>
  <si>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</si>
  <si>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</si>
  <si>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</si>
  <si>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</si>
  <si>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</si>
  <si>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</si>
  <si>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</si>
  <si>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</si>
  <si>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</si>
  <si>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</si>
  <si>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</si>
  <si>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</si>
  <si>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</si>
  <si>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</si>
  <si>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</si>
  <si>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</si>
  <si>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</si>
  <si>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</si>
  <si>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</si>
  <si>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</si>
  <si>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</si>
  <si>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</si>
  <si>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</si>
  <si>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</si>
  <si>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</si>
  <si>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</si>
  <si>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</si>
  <si>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</si>
  <si>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</si>
  <si>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</si>
  <si>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</si>
  <si>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</si>
  <si>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</si>
  <si>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</si>
  <si>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</si>
  <si>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</si>
  <si>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</si>
  <si>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</si>
  <si>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</si>
  <si>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</si>
  <si>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</si>
  <si>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</si>
  <si>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</si>
  <si>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</si>
  <si>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</si>
  <si>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</si>
  <si>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</si>
  <si>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</si>
  <si>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</si>
  <si>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</si>
  <si>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</si>
  <si>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</si>
  <si>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</si>
  <si>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</si>
  <si>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</si>
  <si>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</si>
  <si>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</si>
  <si>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</si>
  <si>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</si>
  <si>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</si>
  <si>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</si>
  <si>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</si>
  <si>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</si>
  <si>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</si>
  <si>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</si>
  <si>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</si>
  <si>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</si>
  <si>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</si>
  <si>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</si>
  <si>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</si>
  <si>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</si>
  <si>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</si>
  <si>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</si>
  <si>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</si>
  <si>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</si>
  <si>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</si>
  <si>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</si>
  <si>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</si>
  <si>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</si>
  <si>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</si>
  <si>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</si>
  <si>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</si>
  <si>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</si>
  <si>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</si>
  <si>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</si>
  <si>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</si>
  <si>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</si>
  <si>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</si>
  <si>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</si>
  <si>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</si>
  <si>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</si>
  <si>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</si>
  <si>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</si>
  <si>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</si>
  <si>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</si>
  <si>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</si>
  <si>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</si>
  <si>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</si>
  <si>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</si>
  <si>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</si>
  <si>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</si>
  <si>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</si>
  <si>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</si>
  <si>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</si>
  <si>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</si>
  <si>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</si>
  <si>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</si>
  <si>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</si>
  <si>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</si>
  <si>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</si>
  <si>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</si>
  <si>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</si>
  <si>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</si>
  <si>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</si>
  <si>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</si>
  <si>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</si>
  <si>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</si>
  <si>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</si>
  <si>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</si>
  <si>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</si>
  <si>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</si>
  <si>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</si>
  <si>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</si>
  <si>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</si>
  <si>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</si>
  <si>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</si>
  <si>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</si>
  <si>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</si>
  <si>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</si>
  <si>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</si>
  <si>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</si>
  <si>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</si>
  <si>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</si>
  <si>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</si>
  <si>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</si>
  <si>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</si>
  <si>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</si>
  <si>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</si>
  <si>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</si>
  <si>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</si>
  <si>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</si>
  <si>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</si>
  <si>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</si>
  <si>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</si>
  <si>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</si>
  <si>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</si>
  <si>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</si>
  <si>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</si>
  <si>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</si>
  <si>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</si>
  <si>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</si>
  <si>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</si>
  <si>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</si>
  <si>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</si>
  <si>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</si>
  <si>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</si>
  <si>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</si>
  <si>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</si>
  <si>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</si>
  <si>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</si>
  <si>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</si>
  <si>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</si>
  <si>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</si>
  <si>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</si>
  <si>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</si>
  <si>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</si>
  <si>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</si>
  <si>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</si>
  <si>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</si>
  <si>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</si>
  <si>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</si>
  <si>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</si>
  <si>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</si>
  <si>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</si>
  <si>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</si>
  <si>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</si>
  <si>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</si>
  <si>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</si>
  <si>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</si>
  <si>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</si>
  <si>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</si>
  <si>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</si>
  <si>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</si>
  <si>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</si>
  <si>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</si>
  <si>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</si>
  <si>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</si>
  <si>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</si>
  <si>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</si>
  <si>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</si>
  <si>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</si>
  <si>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</si>
  <si>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</si>
  <si>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</si>
  <si>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</si>
  <si>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</si>
  <si>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</si>
  <si>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</si>
  <si>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</si>
  <si>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</si>
  <si>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</si>
  <si>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</si>
  <si>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</si>
  <si>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</si>
  <si>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</si>
  <si>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</si>
  <si>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</si>
  <si>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</si>
  <si>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</si>
  <si>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</si>
  <si>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</si>
  <si>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</si>
  <si>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</si>
  <si>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</si>
  <si>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</si>
  <si>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</si>
  <si>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</si>
  <si>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</si>
  <si>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</si>
  <si>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</si>
  <si>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</si>
  <si>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</si>
  <si>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</si>
  <si>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</si>
  <si>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</si>
  <si>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</si>
  <si>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</si>
  <si>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</si>
  <si>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</si>
  <si>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</si>
  <si>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</si>
  <si>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</si>
  <si>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</si>
  <si>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</si>
  <si>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</si>
  <si>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</si>
  <si>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</si>
  <si>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</si>
  <si>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</si>
  <si>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</si>
  <si>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</si>
  <si>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</si>
  <si>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</si>
  <si>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</si>
  <si>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</si>
  <si>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</si>
  <si>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</si>
  <si>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</si>
  <si>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</si>
  <si>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</si>
  <si>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</si>
  <si>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</si>
  <si>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</si>
  <si>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</si>
  <si>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</si>
  <si>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</si>
  <si>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</si>
  <si>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</si>
  <si>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</si>
  <si>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</si>
  <si>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</si>
  <si>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</si>
  <si>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</si>
  <si>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</si>
  <si>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</si>
  <si>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</si>
  <si>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</si>
  <si>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</si>
  <si>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</si>
  <si>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</si>
  <si>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</si>
  <si>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</si>
  <si>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</si>
  <si>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</si>
  <si>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</si>
  <si>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</si>
  <si>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</si>
  <si>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</si>
  <si>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</si>
  <si>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</si>
  <si>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</si>
  <si>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</si>
  <si>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</si>
  <si>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</si>
  <si>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</si>
  <si>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</si>
  <si>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</si>
  <si>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</si>
  <si>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</si>
  <si>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</si>
  <si>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</si>
  <si>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</si>
  <si>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</si>
  <si>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</si>
  <si>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</si>
  <si>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</si>
  <si>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</si>
  <si>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</si>
  <si>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</si>
  <si>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</si>
  <si>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</si>
  <si>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</si>
  <si>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</si>
  <si>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</si>
  <si>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</si>
  <si>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</si>
  <si>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</si>
  <si>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</si>
  <si>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</si>
  <si>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</si>
  <si>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</si>
  <si>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</si>
  <si>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</si>
  <si>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</si>
  <si>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</si>
  <si>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</si>
  <si>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</si>
  <si>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</si>
  <si>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</si>
  <si>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</si>
  <si>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</si>
  <si>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</si>
  <si>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</si>
  <si>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</si>
  <si>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</si>
  <si>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</si>
  <si>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</si>
  <si>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</si>
  <si>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</si>
  <si>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</si>
  <si>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</si>
  <si>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</si>
  <si>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</si>
  <si>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</si>
  <si>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</si>
  <si>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</si>
  <si>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</si>
  <si>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</si>
  <si>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</si>
  <si>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</si>
  <si>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</si>
  <si>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</si>
  <si>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</si>
  <si>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</si>
  <si>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</si>
  <si>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</si>
  <si>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</si>
  <si>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</si>
  <si>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</si>
  <si>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</si>
  <si>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</si>
  <si>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</si>
  <si>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</si>
  <si>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</si>
  <si>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</si>
  <si>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</si>
  <si>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</si>
  <si>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</si>
  <si>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</si>
  <si>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</si>
  <si>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</si>
  <si>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</si>
  <si>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</si>
  <si>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</si>
  <si>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</si>
  <si>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</si>
  <si>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</si>
  <si>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</si>
  <si>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</si>
  <si>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</si>
  <si>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</si>
  <si>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</si>
  <si>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</si>
  <si>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</si>
  <si>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</si>
  <si>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</si>
  <si>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</si>
  <si>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</si>
  <si>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</si>
  <si>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</si>
  <si>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</si>
  <si>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</si>
  <si>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</si>
  <si>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</si>
  <si>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</si>
  <si>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</si>
  <si>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</si>
  <si>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</si>
  <si>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</si>
  <si>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</si>
  <si>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</si>
  <si>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</si>
  <si>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</si>
  <si>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</si>
  <si>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</si>
  <si>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</si>
  <si>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</si>
  <si>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</si>
  <si>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</si>
  <si>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</si>
  <si>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</si>
  <si>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</si>
  <si>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</si>
  <si>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</si>
  <si>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</si>
  <si>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</si>
  <si>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</si>
  <si>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</si>
  <si>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</si>
  <si>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</si>
  <si>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</si>
  <si>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</si>
  <si>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</si>
  <si>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</si>
  <si>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</si>
  <si>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</si>
  <si>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</si>
  <si>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</si>
  <si>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</si>
  <si>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</si>
  <si>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</si>
  <si>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</si>
  <si>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</si>
  <si>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</si>
  <si>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</si>
  <si>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</si>
  <si>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</si>
  <si>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</si>
  <si>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</si>
  <si>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</si>
  <si>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</si>
  <si>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</si>
  <si>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</si>
  <si>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</si>
  <si>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</si>
  <si>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</si>
  <si>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</si>
  <si>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</si>
  <si>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</si>
  <si>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</si>
  <si>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</si>
  <si>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</si>
  <si>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</si>
  <si>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</si>
  <si>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</si>
  <si>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</si>
  <si>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</si>
  <si>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</si>
  <si>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</si>
  <si>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</si>
  <si>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</si>
  <si>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</si>
  <si>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</si>
  <si>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</si>
  <si>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</si>
  <si>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</si>
  <si>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</si>
  <si>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</si>
  <si>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</si>
  <si>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</si>
  <si>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</si>
  <si>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</si>
  <si>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</si>
  <si>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</si>
  <si>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</si>
  <si>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</si>
  <si>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</si>
  <si>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</si>
  <si>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</si>
  <si>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</si>
  <si>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</si>
  <si>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</si>
  <si>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</si>
  <si>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</si>
  <si>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</si>
  <si>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</si>
  <si>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</si>
  <si>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</si>
  <si>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</si>
  <si>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</si>
  <si>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</si>
  <si>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</si>
  <si>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</si>
  <si>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</si>
  <si>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</si>
  <si>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</si>
  <si>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</si>
  <si>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</si>
  <si>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</si>
  <si>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</si>
  <si>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</si>
  <si>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</si>
  <si>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</si>
  <si>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</si>
  <si>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</si>
  <si>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</si>
  <si>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</si>
  <si>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</si>
  <si>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</si>
  <si>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</si>
  <si>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</si>
  <si>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</si>
  <si>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</si>
  <si>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</si>
  <si>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</si>
  <si>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</si>
  <si>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</si>
  <si>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</si>
  <si>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</si>
  <si>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</si>
  <si>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</si>
  <si>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</si>
  <si>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</si>
  <si>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</si>
  <si>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</si>
  <si>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</si>
  <si>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</si>
  <si>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</si>
  <si>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</si>
  <si>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</si>
  <si>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</si>
  <si>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</si>
  <si>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</si>
  <si>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</si>
  <si>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</si>
  <si>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</si>
  <si>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</si>
  <si>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</si>
  <si>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</si>
  <si>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</si>
  <si>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</si>
  <si>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</si>
  <si>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</si>
  <si>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</si>
  <si>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</si>
  <si>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</si>
  <si>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</si>
  <si>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</si>
  <si>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</si>
  <si>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</si>
  <si>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</si>
  <si>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</si>
  <si>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</si>
  <si>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</si>
  <si>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</si>
  <si>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</si>
  <si>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</si>
  <si>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</si>
  <si>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</si>
  <si>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</si>
  <si>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</si>
  <si>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</si>
  <si>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</si>
  <si>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</si>
  <si>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</si>
  <si>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</si>
  <si>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</si>
  <si>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</si>
  <si>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</si>
  <si>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</si>
  <si>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</si>
  <si>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</si>
  <si>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</si>
  <si>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</si>
  <si>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</si>
  <si>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</si>
  <si>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</si>
  <si>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</si>
  <si>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</si>
  <si>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</si>
  <si>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</si>
  <si>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</si>
  <si>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</si>
  <si>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</si>
  <si>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</si>
  <si>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</si>
  <si>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</si>
  <si>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</si>
  <si>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</si>
  <si>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</si>
  <si>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</si>
  <si>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</si>
  <si>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</si>
  <si>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</si>
  <si>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</si>
  <si>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</si>
  <si>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</si>
  <si>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</si>
  <si>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</si>
  <si>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</si>
  <si>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</si>
  <si>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</si>
  <si>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</si>
  <si>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</si>
  <si>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</si>
  <si>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</si>
  <si>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</si>
  <si>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</si>
  <si>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</si>
  <si>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</si>
  <si>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</si>
  <si>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</si>
  <si>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</si>
  <si>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</si>
  <si>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</si>
  <si>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</si>
  <si>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</si>
  <si>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</si>
  <si>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</si>
  <si>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</si>
  <si>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</si>
  <si>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</si>
  <si>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</si>
  <si>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</si>
  <si>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</si>
  <si>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</si>
  <si>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</si>
  <si>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</si>
  <si>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</si>
  <si>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</si>
  <si>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</si>
  <si>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</si>
  <si>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</si>
  <si>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</si>
  <si>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</si>
  <si>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</si>
  <si>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</si>
  <si>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</si>
  <si>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</si>
  <si>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</si>
  <si>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</si>
  <si>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</si>
  <si>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</si>
  <si>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</si>
  <si>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</si>
  <si>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</si>
  <si>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</si>
  <si>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</si>
  <si>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</si>
  <si>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</si>
  <si>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</si>
  <si>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</si>
  <si>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</si>
  <si>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</si>
  <si>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</si>
  <si>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</si>
  <si>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</si>
  <si>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</si>
  <si>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</si>
  <si>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</si>
  <si>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</si>
  <si>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</si>
  <si>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</si>
  <si>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</si>
  <si>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</si>
  <si>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</si>
  <si>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</si>
  <si>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</si>
  <si>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</si>
  <si>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</si>
  <si>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</si>
  <si>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</si>
  <si>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</si>
  <si>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</si>
  <si>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</si>
  <si>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</si>
  <si>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</si>
  <si>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</si>
  <si>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</si>
  <si>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</si>
  <si>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</si>
  <si>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</si>
  <si>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</si>
  <si>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</si>
  <si>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</si>
  <si>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</si>
  <si>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</si>
  <si>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</si>
  <si>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</si>
  <si>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</si>
  <si>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</si>
  <si>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</si>
  <si>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</si>
  <si>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</si>
  <si>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</si>
  <si>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</si>
  <si>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</si>
  <si>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</si>
  <si>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</si>
  <si>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</si>
  <si>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</si>
  <si>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</si>
  <si>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</si>
  <si>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</si>
  <si>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</si>
  <si>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</si>
  <si>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</si>
  <si>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</si>
  <si>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</si>
  <si>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</si>
  <si>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</si>
  <si>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</si>
  <si>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</si>
  <si>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</si>
  <si>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</si>
  <si>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</si>
  <si>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</si>
  <si>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</si>
  <si>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</si>
  <si>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</si>
  <si>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</si>
  <si>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</si>
  <si>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</si>
  <si>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</si>
  <si>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</si>
  <si>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</si>
  <si>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</si>
  <si>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</si>
  <si>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</si>
  <si>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</si>
  <si>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</si>
  <si>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</si>
  <si>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</si>
  <si>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</si>
  <si>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</si>
  <si>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</si>
  <si>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</si>
  <si>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</si>
  <si>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</si>
  <si>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</si>
  <si>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</si>
  <si>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</si>
  <si>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</si>
  <si>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</si>
  <si>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</si>
  <si>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</si>
  <si>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</si>
  <si>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</si>
  <si>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</si>
  <si>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</si>
  <si>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</si>
  <si>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</si>
  <si>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</si>
  <si>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</si>
  <si>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</si>
  <si>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</si>
  <si>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</si>
  <si>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</si>
  <si>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</si>
  <si>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</si>
  <si>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</si>
  <si>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</si>
  <si>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</si>
  <si>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</si>
  <si>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</si>
  <si>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</si>
  <si>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</si>
  <si>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</si>
  <si>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</si>
  <si>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</si>
  <si>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</si>
  <si>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</si>
  <si>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</si>
  <si>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</si>
  <si>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</si>
  <si>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</si>
  <si>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</si>
  <si>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</si>
  <si>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</si>
  <si>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</si>
  <si>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</si>
  <si>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</si>
  <si>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</si>
  <si>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</si>
  <si>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</si>
  <si>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</si>
  <si>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</si>
  <si>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</si>
  <si>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</si>
  <si>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</si>
  <si>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</si>
  <si>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</si>
  <si>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</si>
  <si>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</si>
  <si>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</si>
  <si>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</si>
  <si>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</si>
  <si>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</si>
  <si>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</si>
  <si>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</si>
  <si>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</si>
  <si>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</si>
  <si>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</si>
  <si>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</si>
  <si>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</si>
  <si>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</si>
  <si>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</si>
  <si>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</si>
  <si>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</si>
  <si>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</si>
  <si>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</si>
  <si>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</si>
  <si>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</si>
  <si>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</si>
  <si>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</si>
  <si>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</si>
  <si>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</si>
  <si>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</si>
  <si>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</si>
  <si>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</si>
  <si>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</si>
  <si>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</si>
  <si>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</si>
  <si>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</si>
  <si>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</si>
  <si>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</si>
  <si>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</si>
  <si>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</si>
  <si>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</si>
  <si>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</si>
  <si>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</si>
  <si>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</si>
  <si>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</si>
  <si>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</si>
  <si>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</si>
  <si>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</si>
  <si>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</si>
  <si>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</si>
  <si>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</si>
  <si>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</si>
  <si>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</si>
  <si>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</si>
  <si>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</si>
  <si>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</si>
  <si>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</si>
  <si>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</si>
  <si>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</si>
  <si>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</si>
  <si>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</si>
  <si>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</si>
  <si>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</si>
  <si>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</si>
  <si>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</si>
  <si>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</si>
  <si>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</si>
  <si>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</si>
  <si>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</si>
  <si>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</si>
  <si>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</si>
  <si>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</si>
  <si>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</si>
  <si>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</si>
  <si>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</si>
  <si>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</si>
  <si>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</si>
  <si>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</si>
  <si>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</si>
  <si>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</si>
  <si>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</si>
  <si>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</si>
  <si>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</si>
  <si>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</si>
  <si>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</si>
  <si>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</si>
  <si>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</si>
  <si>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</si>
  <si>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</si>
  <si>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</si>
  <si>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</si>
  <si>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</si>
  <si>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</si>
  <si>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</si>
  <si>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</si>
  <si>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</si>
  <si>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</si>
  <si>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</si>
  <si>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</si>
  <si>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</si>
  <si>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</si>
  <si>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</si>
  <si>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</si>
  <si>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</si>
  <si>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</si>
  <si>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</si>
  <si>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</si>
  <si>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</si>
  <si>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</si>
  <si>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</si>
  <si>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</si>
  <si>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</si>
  <si>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</si>
  <si>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</si>
  <si>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</si>
  <si>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</si>
  <si>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</si>
  <si>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</si>
  <si>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</si>
  <si>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</si>
  <si>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</si>
  <si>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</si>
  <si>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</si>
  <si>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</si>
  <si>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</si>
  <si>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</si>
  <si>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</si>
  <si>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</si>
  <si>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</si>
  <si>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</si>
  <si>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</si>
  <si>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</si>
  <si>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</si>
  <si>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</si>
  <si>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</si>
  <si>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</si>
  <si>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</si>
  <si>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</si>
  <si>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</si>
  <si>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</si>
  <si>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</si>
  <si>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</si>
  <si>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</si>
  <si>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</si>
  <si>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</si>
  <si>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</si>
  <si>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</si>
  <si>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</si>
  <si>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</si>
  <si>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</si>
  <si>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</si>
  <si>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</si>
  <si>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</si>
  <si>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</si>
  <si>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</si>
  <si>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</si>
  <si>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</si>
  <si>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</si>
  <si>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</si>
  <si>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</si>
  <si>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</si>
  <si>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</si>
  <si>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</si>
  <si>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</si>
  <si>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</si>
  <si>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</si>
  <si>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</si>
  <si>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</si>
  <si>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</si>
  <si>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</si>
  <si>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</si>
  <si>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</si>
  <si>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</si>
  <si>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</si>
  <si>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</si>
  <si>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</si>
  <si>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</si>
  <si>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</si>
  <si>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</si>
  <si>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</si>
  <si>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</si>
  <si>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</si>
  <si>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</si>
  <si>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</si>
  <si>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</si>
  <si>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</si>
  <si>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</si>
  <si>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</si>
  <si>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</si>
  <si>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</si>
  <si>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</si>
  <si>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</si>
  <si>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</si>
  <si>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</si>
  <si>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</si>
  <si>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</si>
  <si>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</si>
  <si>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</si>
  <si>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</si>
  <si>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</si>
  <si>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</si>
  <si>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</si>
  <si>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</si>
  <si>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</si>
  <si>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</si>
  <si>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</si>
  <si>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</si>
  <si>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</si>
  <si>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</si>
  <si>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</si>
  <si>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</si>
  <si>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</si>
  <si>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</si>
  <si>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</si>
  <si>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</si>
  <si>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</si>
  <si>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</si>
  <si>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</si>
  <si>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</si>
  <si>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</si>
  <si>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</si>
  <si>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</si>
  <si>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</si>
  <si>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</si>
  <si>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</si>
  <si>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</si>
  <si>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</si>
  <si>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</si>
  <si>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</si>
  <si>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</si>
  <si>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</si>
  <si>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</si>
  <si>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</si>
  <si>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</si>
  <si>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</si>
  <si>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</si>
  <si>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</si>
  <si>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</si>
  <si>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</si>
  <si>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</si>
  <si>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</si>
  <si>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</si>
  <si>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</si>
  <si>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</si>
  <si>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</si>
  <si>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</si>
  <si>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</si>
  <si>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</si>
  <si>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</si>
  <si>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</si>
  <si>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</si>
  <si>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</si>
  <si>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</si>
  <si>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</si>
  <si>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</si>
  <si>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</si>
  <si>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</si>
  <si>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</si>
  <si>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</si>
  <si>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</si>
  <si>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</si>
  <si>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</si>
  <si>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</si>
  <si>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</si>
  <si>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</si>
  <si>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</si>
  <si>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</si>
  <si>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</si>
  <si>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</si>
  <si>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</si>
  <si>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</si>
  <si>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</si>
  <si>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</si>
  <si>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</si>
  <si>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</si>
  <si>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</si>
  <si>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</si>
  <si>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</si>
  <si>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</si>
  <si>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</si>
  <si>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</si>
  <si>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</si>
  <si>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</si>
  <si>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</si>
  <si>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</si>
  <si>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</si>
  <si>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</si>
  <si>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</si>
  <si>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</si>
  <si>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</si>
  <si>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</si>
  <si>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</si>
  <si>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</si>
  <si>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</si>
  <si>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</si>
  <si>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</si>
  <si>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</si>
  <si>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</si>
  <si>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</si>
  <si>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</si>
  <si>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</si>
  <si>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</si>
  <si>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</si>
  <si>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</si>
  <si>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</si>
  <si>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</si>
  <si>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</si>
  <si>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</si>
  <si>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</si>
  <si>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</si>
  <si>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</si>
  <si>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</si>
  <si>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</si>
  <si>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</si>
  <si>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</si>
  <si>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</si>
  <si>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</si>
  <si>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</si>
  <si>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</si>
  <si>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</si>
  <si>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</si>
  <si>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</si>
  <si>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</si>
  <si>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</si>
  <si>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</si>
  <si>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</si>
  <si>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</si>
  <si>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</si>
  <si>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</si>
  <si>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</si>
  <si>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</si>
  <si>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</si>
  <si>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</si>
  <si>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</si>
  <si>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</si>
  <si>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</si>
  <si>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</si>
  <si>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</si>
  <si>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</si>
  <si>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</si>
  <si>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</si>
  <si>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</si>
  <si>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</si>
  <si>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</si>
  <si>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</si>
  <si>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</si>
  <si>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</si>
  <si>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</si>
  <si>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</si>
  <si>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</si>
  <si>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</si>
  <si>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</si>
  <si>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</si>
  <si>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</si>
  <si>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</si>
  <si>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</si>
  <si>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</si>
  <si>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</si>
  <si>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</si>
  <si>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</si>
  <si>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</si>
  <si>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</si>
  <si>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</si>
  <si>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</si>
  <si>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</si>
  <si>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</si>
  <si>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</si>
  <si>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</si>
  <si>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</si>
  <si>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</si>
  <si>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</si>
  <si>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</si>
  <si>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</si>
  <si>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</si>
  <si>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</si>
  <si>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</si>
  <si>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</si>
  <si>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</si>
  <si>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</si>
  <si>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</si>
  <si>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</si>
  <si>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</si>
  <si>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</si>
  <si>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</si>
  <si>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</si>
  <si>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</si>
  <si>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</si>
  <si>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</si>
  <si>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</si>
  <si>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</si>
  <si>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</si>
  <si>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</si>
  <si>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</si>
  <si>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</si>
  <si>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</si>
  <si>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</si>
  <si>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</si>
  <si>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</si>
  <si>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</si>
  <si>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</si>
  <si>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</si>
  <si>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</si>
  <si>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</si>
  <si>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</si>
  <si>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</si>
  <si>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</si>
  <si>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</si>
  <si>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</si>
  <si>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</si>
  <si>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</si>
  <si>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</si>
  <si>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</si>
  <si>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</si>
  <si>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</si>
  <si>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</si>
  <si>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</si>
  <si>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</si>
  <si>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</si>
  <si>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</si>
  <si>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</si>
  <si>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</si>
  <si>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</si>
  <si>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</si>
  <si>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</si>
  <si>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</si>
  <si>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</si>
  <si>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</si>
  <si>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</si>
  <si>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</si>
  <si>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</si>
  <si>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</si>
  <si>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</si>
  <si>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</si>
  <si>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</si>
  <si>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</si>
  <si>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</si>
  <si>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</si>
  <si>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</si>
  <si>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</si>
  <si>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</si>
  <si>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</si>
  <si>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</si>
  <si>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</si>
  <si>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</si>
  <si>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</si>
  <si>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</si>
  <si>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</si>
  <si>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</si>
  <si>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</si>
  <si>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</si>
  <si>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</si>
  <si>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</si>
  <si>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</si>
  <si>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</si>
  <si>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</si>
  <si>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</si>
  <si>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</si>
  <si>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</si>
  <si>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</si>
  <si>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</si>
  <si>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</si>
  <si>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</si>
  <si>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</si>
  <si>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</si>
  <si>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</si>
  <si>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</si>
  <si>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</si>
  <si>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</si>
  <si>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</si>
  <si>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</si>
  <si>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</si>
  <si>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</si>
  <si>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</si>
  <si>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</si>
  <si>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</si>
  <si>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</si>
  <si>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</si>
  <si>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</si>
  <si>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</si>
  <si>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</si>
  <si>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</si>
  <si>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</si>
  <si>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</si>
  <si>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</si>
  <si>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</si>
  <si>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</si>
  <si>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</si>
  <si>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</si>
  <si>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</si>
  <si>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</si>
  <si>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</si>
  <si>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</si>
  <si>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</si>
  <si>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</si>
  <si>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</si>
  <si>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</si>
  <si>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</si>
  <si>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</si>
  <si>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</si>
  <si>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</si>
  <si>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</si>
  <si>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</si>
  <si>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</si>
  <si>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</si>
  <si>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</si>
  <si>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</si>
  <si>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</si>
  <si>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</si>
  <si>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</si>
  <si>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</si>
  <si>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</si>
  <si>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</si>
  <si>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</si>
  <si>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</si>
  <si>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</si>
  <si>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</si>
  <si>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</si>
  <si>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</si>
  <si>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</si>
  <si>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</si>
  <si>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</si>
  <si>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</si>
  <si>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</si>
  <si>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</si>
  <si>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</si>
  <si>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</si>
  <si>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</si>
  <si>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</si>
  <si>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</si>
  <si>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</si>
  <si>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</si>
  <si>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</si>
  <si>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</si>
  <si>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</si>
  <si>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</si>
  <si>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</si>
  <si>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</si>
  <si>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</si>
  <si>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</si>
  <si>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</si>
  <si>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</si>
  <si>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</si>
  <si>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</si>
  <si>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</si>
  <si>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</si>
  <si>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</si>
  <si>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</si>
  <si>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</si>
  <si>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</si>
  <si>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</si>
  <si>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</si>
  <si>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</si>
  <si>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</si>
  <si>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</si>
  <si>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</si>
  <si>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</si>
  <si>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</si>
  <si>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</si>
  <si>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</si>
  <si>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</si>
  <si>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</si>
  <si>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</si>
  <si>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</si>
  <si>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</si>
  <si>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</si>
  <si>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</si>
  <si>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</si>
  <si>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</si>
  <si>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</si>
  <si>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</si>
  <si>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</si>
  <si>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</si>
  <si>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</si>
  <si>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</si>
  <si>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</si>
  <si>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</si>
  <si>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</si>
  <si>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</si>
  <si>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</si>
  <si>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</si>
  <si>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</si>
  <si>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</si>
  <si>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</si>
  <si>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</si>
  <si>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</si>
  <si>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</si>
  <si>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</si>
  <si>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</si>
  <si>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</si>
  <si>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</si>
  <si>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</si>
  <si>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</si>
  <si>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</si>
  <si>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</si>
  <si>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</si>
  <si>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</si>
  <si>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</si>
  <si>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</si>
  <si>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</si>
  <si>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</si>
  <si>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</si>
  <si>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</si>
  <si>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</si>
  <si>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</si>
  <si>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</si>
  <si>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</si>
  <si>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</si>
  <si>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</si>
  <si>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</si>
  <si>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</si>
  <si>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</si>
  <si>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</si>
  <si>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</si>
  <si>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</si>
  <si>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</si>
  <si>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</si>
  <si>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</si>
  <si>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</si>
  <si>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</si>
  <si>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</si>
  <si>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</si>
  <si>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</si>
  <si>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</si>
  <si>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</si>
  <si>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</si>
  <si>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</si>
  <si>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</si>
  <si>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</si>
  <si>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</si>
  <si>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</si>
  <si>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</si>
  <si>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</si>
  <si>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</si>
  <si>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</si>
  <si>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</si>
  <si>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</si>
  <si>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</si>
  <si>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</si>
  <si>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</si>
  <si>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</si>
  <si>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</si>
  <si>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</si>
  <si>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</si>
  <si>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</si>
  <si>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</si>
  <si>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</si>
  <si>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</si>
  <si>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</si>
  <si>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</si>
  <si>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</si>
  <si>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</si>
  <si>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</si>
  <si>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</si>
  <si>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</si>
  <si>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</si>
  <si>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</si>
  <si>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</si>
  <si>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</si>
  <si>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</si>
  <si>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</si>
  <si>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</si>
  <si>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</si>
  <si>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</si>
  <si>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</si>
  <si>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</si>
  <si>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</si>
  <si>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</si>
  <si>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</si>
  <si>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</si>
  <si>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</si>
  <si>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</si>
  <si>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</si>
  <si>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</si>
  <si>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</si>
  <si>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</si>
  <si>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</si>
  <si>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</si>
  <si>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</si>
  <si>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</si>
  <si>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</si>
  <si>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</si>
  <si>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</si>
  <si>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</si>
  <si>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</si>
  <si>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</si>
  <si>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</si>
  <si>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</si>
  <si>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</si>
  <si>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</si>
  <si>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</si>
  <si>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</si>
  <si>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</si>
  <si>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</si>
  <si>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</si>
  <si>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</si>
  <si>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</si>
  <si>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</si>
  <si>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</si>
  <si>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</si>
  <si>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</si>
  <si>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</si>
  <si>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</si>
  <si>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</si>
  <si>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</si>
  <si>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</si>
  <si>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</si>
  <si>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</si>
  <si>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</si>
  <si>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</si>
  <si>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</si>
  <si>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</si>
  <si>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</si>
  <si>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</si>
  <si>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</si>
  <si>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</si>
  <si>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</si>
  <si>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</si>
  <si>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</si>
  <si>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</si>
  <si>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</si>
  <si>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</si>
  <si>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</si>
  <si>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</si>
  <si>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</si>
  <si>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</si>
  <si>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</si>
  <si>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</si>
  <si>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</si>
  <si>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</si>
  <si>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</si>
  <si>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</si>
  <si>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</si>
  <si>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</si>
  <si>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</si>
  <si>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</si>
  <si>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</si>
  <si>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</si>
  <si>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</si>
  <si>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</si>
  <si>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</si>
  <si>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</si>
  <si>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</si>
  <si>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</si>
  <si>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</si>
  <si>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</si>
  <si>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</si>
  <si>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</si>
  <si>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</si>
  <si>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</si>
  <si>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</si>
  <si>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</si>
  <si>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</si>
  <si>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</si>
  <si>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</si>
  <si>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</si>
  <si>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</si>
  <si>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</si>
  <si>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</si>
  <si>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</si>
  <si>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</si>
  <si>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</si>
  <si>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</si>
  <si>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</si>
  <si>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</si>
  <si>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</si>
  <si>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</si>
  <si>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</si>
  <si>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</si>
  <si>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</si>
  <si>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</si>
  <si>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</si>
  <si>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</si>
  <si>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</si>
  <si>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</si>
  <si>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</si>
  <si>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</si>
  <si>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</si>
  <si>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</si>
  <si>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</si>
  <si>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</si>
  <si>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</si>
  <si>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</si>
  <si>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</si>
  <si>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</si>
  <si>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</si>
  <si>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</si>
  <si>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</si>
  <si>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</si>
  <si>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</si>
  <si>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</si>
  <si>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</si>
  <si>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</si>
  <si>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</si>
  <si>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</si>
  <si>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</si>
  <si>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</si>
  <si>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</si>
  <si>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</si>
  <si>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</si>
  <si>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</si>
  <si>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</si>
  <si>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</si>
  <si>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</si>
  <si>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</si>
  <si>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</si>
  <si>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</si>
  <si>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</si>
  <si>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</si>
  <si>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</si>
  <si>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</si>
  <si>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</si>
  <si>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</si>
  <si>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</si>
  <si>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</si>
  <si>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</si>
  <si>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</si>
  <si>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</si>
  <si>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</si>
  <si>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</si>
  <si>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</si>
  <si>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</si>
  <si>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</si>
  <si>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</si>
  <si>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</si>
  <si>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</si>
  <si>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</si>
  <si>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</si>
  <si>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</si>
  <si>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</si>
  <si>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</si>
  <si>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</si>
  <si>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</si>
  <si>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</si>
  <si>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</si>
  <si>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</si>
  <si>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</si>
  <si>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</si>
  <si>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</si>
  <si>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</si>
  <si>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</si>
  <si>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</si>
  <si>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</si>
  <si>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</si>
  <si>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</si>
  <si>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</si>
  <si>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</si>
  <si>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</si>
  <si>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</si>
  <si>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</si>
  <si>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</si>
  <si>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</si>
  <si>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</si>
  <si>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</si>
  <si>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</si>
  <si>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</si>
  <si>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</si>
  <si>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</si>
  <si>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</si>
  <si>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</si>
  <si>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</si>
  <si>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</si>
  <si>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</si>
  <si>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</si>
  <si>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</si>
  <si>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</si>
  <si>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</si>
  <si>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</si>
  <si>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</si>
  <si>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</si>
  <si>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</si>
  <si>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</si>
  <si>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</si>
  <si>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</si>
  <si>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</si>
  <si>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</si>
  <si>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</si>
  <si>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</si>
  <si>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</si>
  <si>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</si>
  <si>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</si>
  <si>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</si>
  <si>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</si>
  <si>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</si>
  <si>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</si>
  <si>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</si>
  <si>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</si>
  <si>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</si>
  <si>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</si>
  <si>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</si>
  <si>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</si>
  <si>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</si>
  <si>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</si>
  <si>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</si>
  <si>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</si>
  <si>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</si>
  <si>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</si>
  <si>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</si>
  <si>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</si>
  <si>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</si>
  <si>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</si>
  <si>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</si>
  <si>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</si>
  <si>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</si>
  <si>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</si>
  <si>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</si>
  <si>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</si>
  <si>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</si>
  <si>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</si>
  <si>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</si>
  <si>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</si>
  <si>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</si>
  <si>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</si>
  <si>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</si>
  <si>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</si>
  <si>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</si>
  <si>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</si>
  <si>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</si>
  <si>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</si>
  <si>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</si>
  <si>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</si>
  <si>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</si>
  <si>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</si>
  <si>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</si>
  <si>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</si>
  <si>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</si>
  <si>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</si>
  <si>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</si>
  <si>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</si>
  <si>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</si>
  <si>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</si>
  <si>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</si>
  <si>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</si>
  <si>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</si>
  <si>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</si>
  <si>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</si>
  <si>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</si>
  <si>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</si>
  <si>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</si>
  <si>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</si>
  <si>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</si>
  <si>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</si>
  <si>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</si>
  <si>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</si>
  <si>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</si>
  <si>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</si>
  <si>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</si>
  <si>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</si>
  <si>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</si>
  <si>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</si>
  <si>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</si>
  <si>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</si>
  <si>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</si>
  <si>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</si>
  <si>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</si>
  <si>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</si>
  <si>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</si>
  <si>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</si>
  <si>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</si>
  <si>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</si>
  <si>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</si>
  <si>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</si>
  <si>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</si>
  <si>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</si>
  <si>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</si>
  <si>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</si>
  <si>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</si>
  <si>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</si>
  <si>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</si>
  <si>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</si>
  <si>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</si>
  <si>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</si>
  <si>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</si>
  <si>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</si>
  <si>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</si>
  <si>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</si>
  <si>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</si>
  <si>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</si>
  <si>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</si>
  <si>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</si>
  <si>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</si>
  <si>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</si>
  <si>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</si>
  <si>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</si>
  <si>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</si>
  <si>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</si>
  <si>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</si>
  <si>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</si>
  <si>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</si>
  <si>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</si>
  <si>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</si>
  <si>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</si>
  <si>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</si>
  <si>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</si>
  <si>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</si>
  <si>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</si>
  <si>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</si>
  <si>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</si>
  <si>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</si>
  <si>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</si>
  <si>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</si>
  <si>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</si>
  <si>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</si>
  <si>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</si>
  <si>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</si>
  <si>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</si>
  <si>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</si>
  <si>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</si>
  <si>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</si>
  <si>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</si>
  <si>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</si>
  <si>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</si>
  <si>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</si>
  <si>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</si>
  <si>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</si>
  <si>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</si>
  <si>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</si>
  <si>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</si>
  <si>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</si>
  <si>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</si>
  <si>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</si>
  <si>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</si>
  <si>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</si>
  <si>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</si>
  <si>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</si>
  <si>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</si>
  <si>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</si>
  <si>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</si>
  <si>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</si>
  <si>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</si>
  <si>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</si>
  <si>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</si>
  <si>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</si>
  <si>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</si>
  <si>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</si>
  <si>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</si>
  <si>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</si>
  <si>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</si>
  <si>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</si>
  <si>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</si>
  <si>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</si>
  <si>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</si>
  <si>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</si>
  <si>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</si>
  <si>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</si>
  <si>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</si>
  <si>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</si>
  <si>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</si>
  <si>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</si>
  <si>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</si>
  <si>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</si>
  <si>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</si>
  <si>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</si>
  <si>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</si>
  <si>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</si>
  <si>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</si>
  <si>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</si>
  <si>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</si>
  <si>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</si>
  <si>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</si>
  <si>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</si>
  <si>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</si>
  <si>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</si>
  <si>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</si>
  <si>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</si>
  <si>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</si>
  <si>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</si>
  <si>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</si>
  <si>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</si>
  <si>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</si>
  <si>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</si>
  <si>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</si>
  <si>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</si>
  <si>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</si>
  <si>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</si>
  <si>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</si>
  <si>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</si>
  <si>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</si>
  <si>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</si>
  <si>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</si>
  <si>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</si>
  <si>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</si>
  <si>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</si>
  <si>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</si>
  <si>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</si>
  <si>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</si>
  <si>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</si>
  <si>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</si>
  <si>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</si>
  <si>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</si>
  <si>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</si>
  <si>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</si>
  <si>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</si>
  <si>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</si>
  <si>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</si>
  <si>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</si>
  <si>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</si>
  <si>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</si>
  <si>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</si>
  <si>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</si>
  <si>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</si>
  <si>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</si>
  <si>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</si>
  <si>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</si>
  <si>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</si>
  <si>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</si>
  <si>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</si>
  <si>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</si>
  <si>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</si>
  <si>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</si>
  <si>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</si>
  <si>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</si>
  <si>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</si>
  <si>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</si>
  <si>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</si>
  <si>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</si>
  <si>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</si>
  <si>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</si>
  <si>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</si>
  <si>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</si>
  <si>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</si>
  <si>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</si>
  <si>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</si>
  <si>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</si>
  <si>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</si>
  <si>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</si>
  <si>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</si>
  <si>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</si>
  <si>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</si>
  <si>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</si>
  <si>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</si>
  <si>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</si>
  <si>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</si>
  <si>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</si>
  <si>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</si>
  <si>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</si>
  <si>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</si>
  <si>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</si>
  <si>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</si>
  <si>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</si>
  <si>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</si>
  <si>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</si>
  <si>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</si>
  <si>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</si>
  <si>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</si>
  <si>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</si>
  <si>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</si>
  <si>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</si>
  <si>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</si>
  <si>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</si>
  <si>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</si>
  <si>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</si>
  <si>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</si>
  <si>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</si>
  <si>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</si>
  <si>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</si>
  <si>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</si>
  <si>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</si>
  <si>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</si>
  <si>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</si>
  <si>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</si>
  <si>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</si>
  <si>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</si>
  <si>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</si>
  <si>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</si>
  <si>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</si>
  <si>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</si>
  <si>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</si>
  <si>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</si>
  <si>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</si>
  <si>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</si>
  <si>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</si>
  <si>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</si>
  <si>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</si>
  <si>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</si>
  <si>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</si>
  <si>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</si>
  <si>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</si>
  <si>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</si>
  <si>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</si>
  <si>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</si>
  <si>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</si>
  <si>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</si>
  <si>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</si>
  <si>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</si>
  <si>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</si>
  <si>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</si>
  <si>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</si>
  <si>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</si>
  <si>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</si>
  <si>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</si>
  <si>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</si>
  <si>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</si>
  <si>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</si>
  <si>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</si>
  <si>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</si>
  <si>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</si>
  <si>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</si>
  <si>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</si>
  <si>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</si>
  <si>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</si>
  <si>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</si>
  <si>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</si>
  <si>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</si>
  <si>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</si>
  <si>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</si>
  <si>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</si>
  <si>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</si>
  <si>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</si>
  <si>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</si>
  <si>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</si>
  <si>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</si>
  <si>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</si>
  <si>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</si>
  <si>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</si>
  <si>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</si>
  <si>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</si>
  <si>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</si>
  <si>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</si>
  <si>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</si>
  <si>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</si>
  <si>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</si>
  <si>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</si>
  <si>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</si>
  <si>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</si>
  <si>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</si>
  <si>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</si>
  <si>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</si>
  <si>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</si>
  <si>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</si>
  <si>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</si>
  <si>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</si>
  <si>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</si>
  <si>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</si>
  <si>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</si>
  <si>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</si>
  <si>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</si>
  <si>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</si>
  <si>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</si>
  <si>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http://shop.fang.com/shou/3_377891255.html</t>
  </si>
  <si>
    <t>北京市</t>
  </si>
  <si>
    <t>自然人</t>
  </si>
  <si>
    <t>与房产证证载一致</t>
  </si>
  <si>
    <t>商业</t>
  </si>
  <si>
    <t>商业</t>
    <phoneticPr fontId="7" type="noConversion"/>
  </si>
  <si>
    <t>Ⅱ—01</t>
  </si>
  <si>
    <t>叶凌</t>
  </si>
  <si>
    <t>杨红英</t>
  </si>
  <si>
    <t>房地产市场价值</t>
  </si>
  <si>
    <t>核定资产</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</si>
  <si>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</si>
  <si>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</si>
  <si>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</si>
  <si>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</si>
  <si>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</si>
  <si>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</si>
  <si>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</si>
  <si>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</si>
  <si>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</si>
  <si>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</si>
  <si>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</si>
  <si>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</si>
  <si>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</si>
  <si>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</si>
  <si>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</si>
  <si>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</si>
  <si>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</si>
  <si>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</si>
  <si>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10</t>
    <phoneticPr fontId="4" type="noConversion"/>
  </si>
  <si>
    <t>设定收益年期(n)</t>
  </si>
  <si>
    <t>估价对象</t>
  </si>
  <si>
    <t>收益法</t>
  </si>
  <si>
    <t>成本法</t>
  </si>
  <si>
    <t>不临58条商业街</t>
  </si>
  <si>
    <t>无</t>
  </si>
  <si>
    <t>1000米以外</t>
  </si>
  <si>
    <t>五通一平</t>
  </si>
  <si>
    <t>通热</t>
  </si>
  <si>
    <t>燃气</t>
  </si>
  <si>
    <t>增加</t>
  </si>
  <si>
    <t>按公示增长率计算</t>
  </si>
  <si>
    <t>已包含在土地购买价格中</t>
  </si>
  <si>
    <t>已包含在土地取得成本中</t>
  </si>
  <si>
    <t>基准地价修正</t>
  </si>
  <si>
    <t>钢混</t>
  </si>
  <si>
    <t>非生产用房</t>
  </si>
  <si>
    <t>是</t>
  </si>
  <si>
    <t>楼面单价</t>
  </si>
  <si>
    <t>元</t>
  </si>
  <si>
    <t>批发零售用地</t>
  </si>
  <si>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</si>
  <si>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</si>
  <si>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</si>
  <si>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周边有新街口西里、玉桃园、如意里、冠英园西区等居住社区，综合评价居住社区成熟度好。</t>
    <phoneticPr fontId="4" type="noConversion"/>
  </si>
  <si>
    <t>估价对象位于新街口商圈，周边商业氛围成熟，人流量大，商业繁华度较好</t>
    <phoneticPr fontId="4" type="noConversion"/>
  </si>
  <si>
    <t>估价对象紧邻城市支道路——新街口四条，有22路、47路、86路、409路等多条公交线路及地铁2号线（积水潭站）、地铁6号线（新街口站)通过，交通便捷度较好。</t>
    <phoneticPr fontId="4" type="noConversion"/>
  </si>
  <si>
    <t>自然环境：什刹海公园、官园公园、护城河；人文环境：西城区青少年儿童图书馆、西城区图书馆（总馆）、恭王府、北京古代钱币博物馆、北京工艺美术博物馆；综合评价环境状况好。</t>
    <phoneticPr fontId="4" type="noConversion"/>
  </si>
  <si>
    <t>城市支道路——新街口四条</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</si>
</sst>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49" fontId="249" fillId="0" borderId="1"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5"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133350</xdr:colOff>
      <xdr:row>42</xdr:row>
      <xdr:rowOff>152400</xdr:rowOff>
    </xdr:to>
    <xdr:pic>
      <xdr:nvPicPr>
        <xdr:cNvPr id="6758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48750" cy="7353300"/>
        </a:xfrm>
        <a:prstGeom prst="rect">
          <a:avLst/>
        </a:prstGeom>
        <a:noFill/>
        <a:ln w="1">
          <a:noFill/>
          <a:miter lim="800000"/>
          <a:headEnd/>
          <a:tailEnd type="none" w="med" len="med"/>
        </a:ln>
        <a:effectLst/>
      </xdr:spPr>
    </xdr:pic>
    <xdr:clientData/>
  </xdr:twoCellAnchor>
  <xdr:twoCellAnchor editAs="oneCell">
    <xdr:from>
      <xdr:col>0</xdr:col>
      <xdr:colOff>0</xdr:colOff>
      <xdr:row>43</xdr:row>
      <xdr:rowOff>0</xdr:rowOff>
    </xdr:from>
    <xdr:to>
      <xdr:col>13</xdr:col>
      <xdr:colOff>104775</xdr:colOff>
      <xdr:row>72</xdr:row>
      <xdr:rowOff>161925</xdr:rowOff>
    </xdr:to>
    <xdr:pic>
      <xdr:nvPicPr>
        <xdr:cNvPr id="6758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7372350"/>
          <a:ext cx="9020175" cy="51339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1</xdr:row>
      <xdr:rowOff>47625</xdr:rowOff>
    </xdr:from>
    <xdr:to>
      <xdr:col>9</xdr:col>
      <xdr:colOff>438150</xdr:colOff>
      <xdr:row>34</xdr:row>
      <xdr:rowOff>75486</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219075"/>
          <a:ext cx="6600825" cy="568571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北京市房地产市场价值预评估</v>
      </c>
    </row>
    <row r="3" spans="1:2" s="1707" customFormat="1">
      <c r="A3" s="1708" t="s">
        <v>1113</v>
      </c>
      <c r="B3" s="1693">
        <f>'预评函-封皮'!B12</f>
        <v>0</v>
      </c>
    </row>
    <row r="4" spans="1:2" s="1707" customFormat="1">
      <c r="A4" s="1708" t="s">
        <v>1114</v>
      </c>
      <c r="B4" s="1693" t="str">
        <f ca="1">'预评函-封皮'!B18</f>
        <v>叶凌（注册号:1119970111）、杨红英（注册号:1120070085)</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受您的委托，我公司对北京市房地产进行了预评估。</v>
      </c>
    </row>
    <row r="7" spans="1:2">
      <c r="A7" s="1708" t="s">
        <v>1117</v>
      </c>
      <c r="B7" s="1695" t="str">
        <f>'预评函-1'!A6</f>
        <v>估价对象为北京市房地产，为所有。根据《不动产权证书》[]，估价对象建筑面积为339.05平方米，（分摊）出让国有建设用地使用权面积为平方米。估价对象用途为商业。</v>
      </c>
    </row>
    <row r="8" spans="1:2">
      <c r="A8" s="1708" t="s">
        <v>1118</v>
      </c>
      <c r="B8" s="1695" t="str">
        <f>'预评函-1'!A8</f>
        <v>为估价委托人了解估价对象房地产市场价值提供参考依据。</v>
      </c>
    </row>
    <row r="9" spans="1:2">
      <c r="A9" s="1708" t="s">
        <v>1119</v>
      </c>
      <c r="B9" s="1695" t="str">
        <f>'预评函-1'!A10</f>
        <v>2017年9月12日（评估专业人员实地查勘之日）</v>
      </c>
    </row>
    <row r="10" spans="1:2">
      <c r="A10" s="1708" t="s">
        <v>1120</v>
      </c>
      <c r="B10" s="1695" t="str">
        <f>'预评函-1'!A13</f>
        <v>本次估价的“房地产价值”是指在正常市场情况下，在价值时点2017年9月12日，估价对象规划用途为商业，假定未设立法定优先受偿款下的房地产市场价值。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8" t="s">
        <v>1127</v>
      </c>
      <c r="B17" s="1695" t="str">
        <f>'预评函-2（1）'!B6</f>
        <v>北京市房地产</v>
      </c>
    </row>
    <row r="18" spans="1:2">
      <c r="A18" s="1708" t="s">
        <v>1128</v>
      </c>
      <c r="B18" s="1695">
        <f>'预评函-2（1）'!C6</f>
        <v>339.05</v>
      </c>
    </row>
    <row r="19" spans="1:2">
      <c r="A19" s="1708" t="s">
        <v>1129</v>
      </c>
      <c r="B19" s="1695">
        <f ca="1">'预评函-2（1）'!D7</f>
        <v>15448474</v>
      </c>
    </row>
    <row r="20" spans="1:2">
      <c r="A20" s="1708" t="s">
        <v>1167</v>
      </c>
      <c r="B20" s="1695" t="str">
        <f>'预评函-2（1）'!C7</f>
        <v>总价（元）</v>
      </c>
    </row>
    <row r="21" spans="1:2">
      <c r="A21" s="1708" t="s">
        <v>1130</v>
      </c>
      <c r="B21" s="1695">
        <f ca="1">'预评函-2（1）'!D9</f>
        <v>45564</v>
      </c>
    </row>
    <row r="22" spans="1:2">
      <c r="A22" s="1708" t="s">
        <v>1131</v>
      </c>
      <c r="B22" s="1695" t="str">
        <f ca="1">'预评函-2（1）'!D8</f>
        <v>壹仟伍佰肆拾肆万捌仟肆佰柒拾肆元整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15448474</v>
      </c>
    </row>
    <row r="30" spans="1:2">
      <c r="A30" s="1708" t="s">
        <v>1137</v>
      </c>
      <c r="B30" s="1695" t="str">
        <f ca="1">'预评函-2（1）'!D16</f>
        <v>壹仟伍佰肆拾肆万捌仟肆佰柒拾肆元整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14351647</v>
      </c>
    </row>
    <row r="38" spans="1:2">
      <c r="A38" s="1708" t="s">
        <v>1145</v>
      </c>
      <c r="B38" s="1695">
        <f ca="1">'预评函-2（2）'!E4</f>
        <v>42329</v>
      </c>
    </row>
    <row r="39" spans="1:2">
      <c r="A39" s="1708" t="s">
        <v>1146</v>
      </c>
      <c r="B39" s="1695" t="str">
        <f ca="1">'预评函-2（2）'!D5</f>
        <v>壹仟肆佰叁拾伍万壹仟陆佰肆拾柒元整</v>
      </c>
    </row>
    <row r="40" spans="1:2">
      <c r="A40" s="1708" t="s">
        <v>1147</v>
      </c>
      <c r="B40" s="1695">
        <f ca="1">'预评函-2（2）'!F4</f>
        <v>1096827</v>
      </c>
    </row>
    <row r="41" spans="1:2">
      <c r="A41" s="1708" t="s">
        <v>1148</v>
      </c>
      <c r="B41" s="1695">
        <f ca="1">'预评函-2（2）'!G4</f>
        <v>3235</v>
      </c>
    </row>
    <row r="42" spans="1:2" s="1705" customFormat="1" ht="15.75" thickBot="1">
      <c r="A42" s="1709" t="s">
        <v>1149</v>
      </c>
      <c r="B42" s="1697" t="str">
        <f ca="1">'预评函-2（2）'!F5</f>
        <v>壹佰零玖万陆仟捌佰贰拾柒元整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杨红英</v>
      </c>
    </row>
    <row r="55" spans="1:2" s="1705" customFormat="1" ht="15.75" thickBot="1">
      <c r="A55" s="1709" t="s">
        <v>1161</v>
      </c>
      <c r="B55" s="1697">
        <f>'预评函-3'!B5</f>
        <v>1120070085</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1261</v>
      </c>
      <c r="B62" s="1695">
        <f ca="1">'预评函-2（1）'!D38</f>
        <v>45564</v>
      </c>
    </row>
    <row r="63" spans="1:2" s="1707" customFormat="1" ht="28.5">
      <c r="A63" s="1711" t="s">
        <v>1262</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1260</v>
      </c>
    </row>
    <row r="70" spans="1:2">
      <c r="A70" s="1708" t="s">
        <v>1259</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J33" sqref="J3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1548</v>
      </c>
      <c r="B1" s="2001" t="str">
        <f>IF(B6="北京市","北京市",C6)&amp;IF(E12="房屋所有权证",B28,E28)&amp;D5&amp;"预评估"</f>
        <v>北京市房地产市场价值预评估</v>
      </c>
      <c r="C1" s="1064"/>
      <c r="D1" s="2002"/>
      <c r="E1" s="1064"/>
      <c r="F1" s="2003" t="s">
        <v>1549</v>
      </c>
      <c r="G1" s="1688"/>
      <c r="I1" s="1021" t="str">
        <f>IF(B6="北京市","北京市",C6)&amp;IF(E12="房屋所有权证",B28,E28)&amp;"房地产"</f>
        <v>北京市房地产</v>
      </c>
    </row>
    <row r="2" spans="1:10" ht="13.5" thickTop="1">
      <c r="A2" s="2004" t="s">
        <v>1550</v>
      </c>
      <c r="B2" s="1089">
        <v>42990</v>
      </c>
      <c r="C2" s="2005" t="s">
        <v>1551</v>
      </c>
      <c r="D2" s="1089">
        <v>42990</v>
      </c>
      <c r="E2" s="1065"/>
      <c r="F2" s="1065"/>
      <c r="G2" s="1689"/>
      <c r="H2" s="1021"/>
    </row>
    <row r="3" spans="1:10" ht="13.5" thickBot="1">
      <c r="A3" s="2006" t="s">
        <v>1552</v>
      </c>
      <c r="B3" s="2007" t="s">
        <v>2814</v>
      </c>
      <c r="C3" s="1066">
        <f ca="1">SUMIF(注册房地产估价师,B3,估价师及机构信息!B3:B24)</f>
        <v>1119970111</v>
      </c>
      <c r="D3" s="2007" t="s">
        <v>2815</v>
      </c>
      <c r="E3" s="1067">
        <f>SUMIF(注册房地产估价师,D3,估价师及机构信息!B3:B24)</f>
        <v>1120070085</v>
      </c>
      <c r="F3" s="1068"/>
      <c r="G3" s="1690"/>
      <c r="H3" s="1021"/>
    </row>
    <row r="4" spans="1:10" ht="13.5" customHeight="1" thickTop="1">
      <c r="A4" s="2008" t="s">
        <v>1553</v>
      </c>
      <c r="B4" s="2009"/>
      <c r="C4" s="2010" t="s">
        <v>1554</v>
      </c>
      <c r="D4" s="2011" t="s">
        <v>2817</v>
      </c>
      <c r="E4" s="1065"/>
      <c r="F4" s="1065"/>
      <c r="G4" s="1689"/>
    </row>
    <row r="5" spans="1:10">
      <c r="A5" s="2012" t="s">
        <v>1555</v>
      </c>
      <c r="B5" s="2013"/>
      <c r="C5" s="2014" t="s">
        <v>1556</v>
      </c>
      <c r="D5" s="2015" t="s">
        <v>2816</v>
      </c>
      <c r="E5" s="2016" t="s">
        <v>1557</v>
      </c>
      <c r="F5" s="2017"/>
      <c r="G5" s="2018"/>
      <c r="I5" s="1021" t="str">
        <f>IF(C16="否","截至估价时点，估价对象抵押权未见登记。","截至价值时点，估价对象已设定抵押。")</f>
        <v>截至价值时点，估价对象已设定抵押。</v>
      </c>
    </row>
    <row r="6" spans="1:10">
      <c r="A6" s="2019" t="s">
        <v>1558</v>
      </c>
      <c r="B6" s="2020" t="s">
        <v>2808</v>
      </c>
      <c r="C6" s="2021"/>
      <c r="D6" s="2022" t="s">
        <v>1559</v>
      </c>
      <c r="E6" s="1023"/>
      <c r="F6" s="1022"/>
      <c r="G6" s="1075"/>
      <c r="I6" s="1071" t="str">
        <f>IF(COUNTIF(B5,"*上海银行*"),"上海银行","")</f>
        <v/>
      </c>
    </row>
    <row r="7" spans="1:10" ht="13.5" thickBot="1">
      <c r="A7" s="2006" t="s">
        <v>1560</v>
      </c>
      <c r="B7" s="2023" t="s">
        <v>2809</v>
      </c>
      <c r="C7" s="2024" t="str">
        <f>IF(B7="自然人","姓名","名称")</f>
        <v>姓名</v>
      </c>
      <c r="D7" s="2025"/>
      <c r="E7" s="1069"/>
      <c r="F7" s="1068"/>
      <c r="G7" s="1690"/>
    </row>
    <row r="8" spans="1:10" ht="13.5" thickTop="1">
      <c r="A8" s="2765" t="s">
        <v>1561</v>
      </c>
      <c r="B8" s="2026" t="s">
        <v>1562</v>
      </c>
      <c r="C8" s="2778"/>
      <c r="D8" s="2779"/>
      <c r="E8" s="2027" t="s">
        <v>1563</v>
      </c>
      <c r="F8" s="2028" t="s">
        <v>1564</v>
      </c>
      <c r="G8" s="691">
        <f>C6</f>
        <v>0</v>
      </c>
    </row>
    <row r="9" spans="1:10" ht="25.5">
      <c r="A9" s="2765"/>
      <c r="B9" s="345" t="s">
        <v>1565</v>
      </c>
      <c r="C9" s="3069" t="s">
        <v>2812</v>
      </c>
      <c r="D9" s="2029" t="s">
        <v>2810</v>
      </c>
      <c r="E9" s="1011" t="s">
        <v>1566</v>
      </c>
      <c r="F9" s="997" t="s">
        <v>221</v>
      </c>
      <c r="G9" s="1013"/>
    </row>
    <row r="10" spans="1:10" ht="13.5" thickBot="1">
      <c r="A10" s="2765"/>
      <c r="B10" s="345" t="s">
        <v>1567</v>
      </c>
      <c r="C10" s="2780"/>
      <c r="D10" s="2781"/>
      <c r="E10" s="2030" t="s">
        <v>1568</v>
      </c>
      <c r="F10" s="1014" t="s">
        <v>2813</v>
      </c>
      <c r="G10" s="1015"/>
    </row>
    <row r="11" spans="1:10" ht="13.5" thickBot="1">
      <c r="A11" s="2765"/>
      <c r="B11" s="2031" t="s">
        <v>1569</v>
      </c>
      <c r="C11" s="2782"/>
      <c r="D11" s="2783"/>
      <c r="E11" s="1023"/>
      <c r="F11" s="1022"/>
      <c r="G11" s="1075"/>
    </row>
    <row r="12" spans="1:10" ht="24.75" thickBot="1">
      <c r="A12" s="2769" t="s">
        <v>1570</v>
      </c>
      <c r="B12" s="2032" t="s">
        <v>1571</v>
      </c>
      <c r="C12" s="1017">
        <v>339.05</v>
      </c>
      <c r="D12" s="2032" t="s">
        <v>1572</v>
      </c>
      <c r="E12" s="2033" t="s">
        <v>1573</v>
      </c>
      <c r="F12" s="2034" t="s">
        <v>1574</v>
      </c>
      <c r="G12" s="1075"/>
    </row>
    <row r="13" spans="1:10" ht="21" customHeight="1" thickBot="1">
      <c r="A13" s="2770"/>
      <c r="B13" s="2035" t="s">
        <v>1575</v>
      </c>
      <c r="C13" s="1018"/>
      <c r="D13" s="2035" t="s">
        <v>1576</v>
      </c>
      <c r="E13" s="2036" t="s">
        <v>1573</v>
      </c>
      <c r="F13" s="1022"/>
      <c r="G13" s="1075"/>
      <c r="I13" s="2788" t="s">
        <v>1577</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1578</v>
      </c>
      <c r="C14" s="3070" t="s">
        <v>2812</v>
      </c>
      <c r="D14" s="1022"/>
      <c r="E14" s="1022"/>
      <c r="F14" s="1022"/>
      <c r="G14" s="1075"/>
      <c r="I14" s="2788"/>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0"/>
      <c r="B15" s="2041" t="s">
        <v>1579</v>
      </c>
      <c r="C15" s="1070">
        <v>3.5</v>
      </c>
      <c r="D15" s="1068"/>
      <c r="E15" s="1068"/>
      <c r="F15" s="1068"/>
      <c r="G15" s="1690"/>
      <c r="I15" s="2788"/>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1580</v>
      </c>
      <c r="B16" s="2042" t="s">
        <v>1581</v>
      </c>
      <c r="C16" s="2043"/>
      <c r="D16" s="2044" t="s">
        <v>1582</v>
      </c>
      <c r="E16" s="2045"/>
      <c r="F16" s="2046" t="str">
        <f>IF(AND(C16="是",E16="否"),"是否提供他项权证或相关说明","")</f>
        <v/>
      </c>
      <c r="G16" s="2045"/>
      <c r="I16" s="1072"/>
      <c r="J16" s="1021"/>
    </row>
    <row r="17" spans="1:15" ht="13.5" customHeight="1">
      <c r="A17" s="2047" t="s">
        <v>1583</v>
      </c>
      <c r="B17" s="2784" t="s">
        <v>1584</v>
      </c>
      <c r="C17" s="2785"/>
      <c r="D17" s="2786" t="s">
        <v>1585</v>
      </c>
      <c r="E17" s="2787"/>
      <c r="F17" s="2048" t="s">
        <v>1586</v>
      </c>
      <c r="G17" s="2049"/>
      <c r="J17" s="1021"/>
    </row>
    <row r="18" spans="1:15">
      <c r="A18" s="2047"/>
      <c r="B18" s="2050"/>
      <c r="C18" s="2018" t="s">
        <v>1587</v>
      </c>
      <c r="D18" s="2051"/>
      <c r="E18" s="2052" t="s">
        <v>1588</v>
      </c>
      <c r="F18" s="2053"/>
      <c r="G18" s="1874"/>
      <c r="H18" s="1021"/>
      <c r="J18" s="1021"/>
    </row>
    <row r="19" spans="1:15" ht="21.75" customHeight="1" thickBot="1">
      <c r="A19" s="2047"/>
      <c r="B19" s="2054"/>
      <c r="C19" s="2036"/>
      <c r="D19" s="2055"/>
      <c r="E19" s="1022"/>
      <c r="F19" s="1022"/>
      <c r="G19" s="1874"/>
    </row>
    <row r="20" spans="1:15">
      <c r="A20" s="2056" t="s">
        <v>1589</v>
      </c>
      <c r="B20" s="2057" t="s">
        <v>1590</v>
      </c>
      <c r="C20" s="2058"/>
      <c r="D20" s="2059" t="s">
        <v>1590</v>
      </c>
      <c r="E20" s="2058"/>
      <c r="F20" s="1022"/>
      <c r="G20" s="1874"/>
    </row>
    <row r="21" spans="1:15">
      <c r="A21" s="2060"/>
      <c r="B21" s="2061" t="s">
        <v>1591</v>
      </c>
      <c r="C21" s="2062"/>
      <c r="D21" s="2047" t="s">
        <v>1591</v>
      </c>
      <c r="E21" s="2063"/>
      <c r="F21" s="1022"/>
      <c r="G21" s="1874"/>
    </row>
    <row r="22" spans="1:15">
      <c r="A22" s="2060"/>
      <c r="B22" s="2064" t="s">
        <v>1592</v>
      </c>
      <c r="C22" s="2065"/>
      <c r="D22" s="2064" t="s">
        <v>1592</v>
      </c>
      <c r="E22" s="2063"/>
      <c r="F22" s="1022"/>
      <c r="G22" s="1874"/>
    </row>
    <row r="23" spans="1:15" s="1872" customFormat="1" ht="21" thickBot="1">
      <c r="A23" s="2066"/>
      <c r="B23" s="2067" t="s">
        <v>1593</v>
      </c>
      <c r="C23" s="2068"/>
      <c r="D23" s="2067" t="s">
        <v>1594</v>
      </c>
      <c r="E23" s="2069"/>
      <c r="F23" s="1022"/>
      <c r="G23" s="1874"/>
      <c r="H23" s="2070"/>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1" t="s">
        <v>1596</v>
      </c>
      <c r="C25" s="996"/>
      <c r="D25" s="1016"/>
      <c r="E25" s="1019" t="s">
        <v>1597</v>
      </c>
      <c r="F25" s="996"/>
      <c r="G25" s="2072"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772" t="s">
        <v>1599</v>
      </c>
      <c r="D27" s="2773"/>
      <c r="E27" s="1005"/>
      <c r="F27" s="1012" t="s">
        <v>1599</v>
      </c>
      <c r="G27" s="1005"/>
      <c r="I27" s="1072"/>
      <c r="K27" s="1072"/>
    </row>
    <row r="28" spans="1:15">
      <c r="A28" s="1009" t="s">
        <v>1600</v>
      </c>
      <c r="B28" s="979"/>
      <c r="C28" s="2774" t="s">
        <v>1601</v>
      </c>
      <c r="D28" s="2775"/>
      <c r="E28" s="979"/>
      <c r="F28" s="1900" t="s">
        <v>1601</v>
      </c>
      <c r="G28" s="979"/>
      <c r="I28" s="1072"/>
      <c r="K28" s="1072"/>
    </row>
    <row r="29" spans="1:15">
      <c r="A29" s="1009" t="s">
        <v>1602</v>
      </c>
      <c r="B29" s="979"/>
      <c r="C29" s="2774" t="s">
        <v>1602</v>
      </c>
      <c r="D29" s="2775"/>
      <c r="E29" s="979"/>
      <c r="F29" s="1900" t="s">
        <v>1603</v>
      </c>
      <c r="G29" s="979"/>
      <c r="I29" s="1072"/>
      <c r="K29" s="1072"/>
    </row>
    <row r="30" spans="1:15">
      <c r="A30" s="1009" t="s">
        <v>1604</v>
      </c>
      <c r="B30" s="979"/>
      <c r="C30" s="2794" t="s">
        <v>1605</v>
      </c>
      <c r="D30" s="2073"/>
      <c r="E30" s="1024" t="str">
        <f>E31&amp;" "&amp;E32&amp;" "&amp;E33&amp;" "&amp;E34</f>
        <v xml:space="preserve">   </v>
      </c>
      <c r="F30" s="1900" t="s">
        <v>1606</v>
      </c>
      <c r="G30" s="979"/>
    </row>
    <row r="31" spans="1:15">
      <c r="A31" s="1009" t="s">
        <v>1607</v>
      </c>
      <c r="B31" s="979"/>
      <c r="C31" s="2795"/>
      <c r="D31" s="1899" t="s">
        <v>1608</v>
      </c>
      <c r="E31" s="979"/>
      <c r="F31" s="1900" t="s">
        <v>1609</v>
      </c>
      <c r="G31" s="979"/>
    </row>
    <row r="32" spans="1:15" ht="24.75" thickBot="1">
      <c r="A32" s="1010" t="s">
        <v>1610</v>
      </c>
      <c r="B32" s="1006"/>
      <c r="C32" s="2795"/>
      <c r="D32" s="1899" t="s">
        <v>1611</v>
      </c>
      <c r="E32" s="979"/>
      <c r="F32" s="1900" t="s">
        <v>1612</v>
      </c>
      <c r="G32" s="979"/>
    </row>
    <row r="33" spans="1:7">
      <c r="A33" s="1008" t="s">
        <v>1613</v>
      </c>
      <c r="B33" s="1005"/>
      <c r="C33" s="2795"/>
      <c r="D33" s="1899" t="s">
        <v>1614</v>
      </c>
      <c r="E33" s="979"/>
      <c r="F33" s="1900" t="s">
        <v>1615</v>
      </c>
      <c r="G33" s="979"/>
    </row>
    <row r="34" spans="1:7" ht="13.5" thickBot="1">
      <c r="A34" s="1009" t="s">
        <v>1616</v>
      </c>
      <c r="B34" s="979"/>
      <c r="C34" s="2796"/>
      <c r="D34" s="1899" t="s">
        <v>1617</v>
      </c>
      <c r="E34" s="979"/>
      <c r="F34" s="1901" t="s">
        <v>1618</v>
      </c>
      <c r="G34" s="1007"/>
    </row>
    <row r="35" spans="1:7">
      <c r="A35" s="1009" t="s">
        <v>1571</v>
      </c>
      <c r="B35" s="979"/>
      <c r="C35" s="2774" t="s">
        <v>1619</v>
      </c>
      <c r="D35" s="2775"/>
      <c r="E35" s="979"/>
      <c r="F35" s="1020" t="s">
        <v>1620</v>
      </c>
      <c r="G35" s="1005"/>
    </row>
    <row r="36" spans="1:7" ht="13.5" thickBot="1">
      <c r="A36" s="1009" t="s">
        <v>1621</v>
      </c>
      <c r="B36" s="979"/>
      <c r="C36" s="2776" t="s">
        <v>1622</v>
      </c>
      <c r="D36" s="2777"/>
      <c r="E36" s="1006"/>
      <c r="F36" s="1897" t="s">
        <v>1623</v>
      </c>
      <c r="G36" s="979"/>
    </row>
    <row r="37" spans="1:7" ht="13.5" thickBot="1">
      <c r="A37" s="1009" t="s">
        <v>1624</v>
      </c>
      <c r="B37" s="979"/>
      <c r="C37" s="2766" t="s">
        <v>1625</v>
      </c>
      <c r="D37" s="2074" t="s">
        <v>1609</v>
      </c>
      <c r="E37" s="1005"/>
      <c r="F37" s="1901" t="s">
        <v>1626</v>
      </c>
      <c r="G37" s="1006"/>
    </row>
    <row r="38" spans="1:7">
      <c r="A38" s="1009" t="s">
        <v>1627</v>
      </c>
      <c r="B38" s="979"/>
      <c r="C38" s="2767"/>
      <c r="D38" s="1899" t="s">
        <v>1616</v>
      </c>
      <c r="E38" s="979"/>
      <c r="F38" s="1012" t="s">
        <v>1628</v>
      </c>
      <c r="G38" s="1005"/>
    </row>
    <row r="39" spans="1:7">
      <c r="A39" s="1009" t="s">
        <v>1629</v>
      </c>
      <c r="B39" s="979"/>
      <c r="C39" s="2767" t="s">
        <v>1630</v>
      </c>
      <c r="D39" s="1899" t="s">
        <v>1571</v>
      </c>
      <c r="E39" s="979"/>
      <c r="F39" s="1900" t="s">
        <v>1631</v>
      </c>
      <c r="G39" s="979"/>
    </row>
    <row r="40" spans="1:7" ht="24.75" customHeight="1" thickBot="1">
      <c r="A40" s="1010" t="s">
        <v>1632</v>
      </c>
      <c r="B40" s="1006"/>
      <c r="C40" s="2768"/>
      <c r="D40" s="1902" t="s">
        <v>1575</v>
      </c>
      <c r="E40" s="1006"/>
      <c r="F40" s="1901" t="s">
        <v>1633</v>
      </c>
      <c r="G40" s="1006"/>
    </row>
    <row r="41" spans="1:7">
      <c r="A41" s="1011" t="s">
        <v>1634</v>
      </c>
      <c r="B41" s="1061"/>
      <c r="C41" s="2789" t="s">
        <v>1634</v>
      </c>
      <c r="D41" s="2790"/>
      <c r="E41" s="1061"/>
      <c r="F41" s="1012" t="s">
        <v>1635</v>
      </c>
      <c r="G41" s="1061"/>
    </row>
    <row r="42" spans="1:7">
      <c r="A42" s="1058" t="s">
        <v>1636</v>
      </c>
      <c r="B42" s="1062"/>
      <c r="C42" s="2075"/>
      <c r="D42" s="2076"/>
      <c r="E42" s="1062"/>
      <c r="F42" s="1060"/>
      <c r="G42" s="1062"/>
    </row>
    <row r="43" spans="1:7">
      <c r="A43" s="95" t="s">
        <v>1590</v>
      </c>
      <c r="B43" s="1059"/>
      <c r="C43" s="2075"/>
      <c r="D43" s="2077" t="s">
        <v>1590</v>
      </c>
      <c r="E43" s="1059"/>
      <c r="F43" s="95" t="s">
        <v>1590</v>
      </c>
      <c r="G43" s="1059"/>
    </row>
    <row r="44" spans="1:7">
      <c r="A44" s="95" t="s">
        <v>1591</v>
      </c>
      <c r="B44" s="1059"/>
      <c r="C44" s="2075"/>
      <c r="D44" s="2061" t="s">
        <v>1591</v>
      </c>
      <c r="E44" s="1059"/>
      <c r="F44" s="95" t="s">
        <v>1591</v>
      </c>
      <c r="G44" s="1059"/>
    </row>
    <row r="45" spans="1:7">
      <c r="A45" s="95" t="s">
        <v>1592</v>
      </c>
      <c r="B45" s="1059"/>
      <c r="C45" s="2075"/>
      <c r="D45" s="2061" t="s">
        <v>1592</v>
      </c>
      <c r="E45" s="1059"/>
      <c r="F45" s="95" t="s">
        <v>1592</v>
      </c>
      <c r="G45" s="1059"/>
    </row>
    <row r="46" spans="1:7">
      <c r="A46" s="95" t="s">
        <v>1593</v>
      </c>
      <c r="B46" s="1059"/>
      <c r="C46" s="2075"/>
      <c r="D46" s="2061" t="s">
        <v>1593</v>
      </c>
      <c r="E46" s="1059"/>
      <c r="F46" s="95" t="s">
        <v>1593</v>
      </c>
      <c r="G46" s="1059"/>
    </row>
    <row r="47" spans="1:7">
      <c r="A47" s="1058"/>
      <c r="B47" s="1059"/>
      <c r="C47" s="2075"/>
      <c r="D47" s="2076"/>
      <c r="E47" s="1059"/>
      <c r="F47" s="1060"/>
      <c r="G47" s="1059"/>
    </row>
    <row r="48" spans="1:7" ht="13.5" thickBot="1">
      <c r="A48" s="1010" t="s">
        <v>1637</v>
      </c>
      <c r="B48" s="1006"/>
      <c r="C48" s="2791" t="s">
        <v>1637</v>
      </c>
      <c r="D48" s="2792"/>
      <c r="E48" s="1056"/>
      <c r="F48" s="1901" t="s">
        <v>1638</v>
      </c>
      <c r="G48" s="1006"/>
    </row>
    <row r="49" spans="1:15">
      <c r="A49" s="1009" t="s">
        <v>1639</v>
      </c>
      <c r="B49" s="1055"/>
      <c r="C49" s="2766" t="s">
        <v>1640</v>
      </c>
      <c r="D49" s="2793"/>
      <c r="E49" s="1057"/>
      <c r="F49" s="1085"/>
      <c r="G49" s="1086"/>
    </row>
    <row r="50" spans="1:15" ht="13.5" thickBot="1">
      <c r="A50" s="1009" t="s">
        <v>1641</v>
      </c>
      <c r="B50" s="1055"/>
      <c r="C50" s="2768" t="s">
        <v>1642</v>
      </c>
      <c r="D50" s="2771"/>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797" t="s">
        <v>0</v>
      </c>
      <c r="B1" s="2797" t="s">
        <v>2</v>
      </c>
      <c r="C1" s="2797" t="s">
        <v>3</v>
      </c>
      <c r="D1" s="2798" t="s">
        <v>67</v>
      </c>
      <c r="E1" s="2798" t="s">
        <v>68</v>
      </c>
      <c r="F1" s="2798"/>
      <c r="G1" s="2798"/>
      <c r="H1" s="2798"/>
      <c r="I1" s="2798"/>
      <c r="J1" s="2798"/>
      <c r="K1" s="2798"/>
      <c r="L1" s="2798"/>
      <c r="M1" s="2798"/>
    </row>
    <row r="2" spans="1:13" ht="27" customHeight="1">
      <c r="A2" s="2797"/>
      <c r="B2" s="2797"/>
      <c r="C2" s="2797"/>
      <c r="D2" s="2798"/>
      <c r="E2" s="2798" t="s">
        <v>51</v>
      </c>
      <c r="F2" s="2798" t="s">
        <v>52</v>
      </c>
      <c r="G2" s="2798"/>
      <c r="H2" s="2798"/>
      <c r="I2" s="2798"/>
      <c r="J2" s="2798" t="s">
        <v>53</v>
      </c>
      <c r="K2" s="2798"/>
      <c r="L2" s="2798"/>
      <c r="M2" s="2798"/>
    </row>
    <row r="3" spans="1:13" ht="28.5">
      <c r="A3" s="2797"/>
      <c r="B3" s="2797"/>
      <c r="C3" s="2797"/>
      <c r="D3" s="2798"/>
      <c r="E3" s="279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798" t="s">
        <v>69</v>
      </c>
      <c r="B9" s="2798"/>
      <c r="C9" s="279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8" sqref="B38"/>
    </sheetView>
  </sheetViews>
  <sheetFormatPr defaultColWidth="13.75" defaultRowHeight="12.75"/>
  <cols>
    <col min="1" max="1" width="20.875" style="2133" customWidth="1"/>
    <col min="2" max="2" width="16.75" style="2079" customWidth="1"/>
    <col min="3" max="3" width="10.75" style="2079" customWidth="1"/>
    <col min="4" max="4" width="31.625" style="2134" customWidth="1"/>
    <col min="5" max="5" width="17.625" style="2134"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2078" t="s">
        <v>1644</v>
      </c>
      <c r="B1" s="1239"/>
      <c r="C1" s="1239"/>
      <c r="D1" s="1859"/>
      <c r="E1" s="1859"/>
      <c r="AE1" s="1239"/>
      <c r="AF1" s="1239"/>
      <c r="AG1" s="1239"/>
      <c r="AH1" s="1239"/>
      <c r="AI1" s="1239"/>
      <c r="AJ1" s="1239"/>
      <c r="AK1" s="1239"/>
      <c r="AL1" s="1239"/>
      <c r="AM1" s="1239"/>
      <c r="AN1" s="1239"/>
      <c r="AO1" s="1239"/>
    </row>
    <row r="2" spans="1:41" s="2083" customFormat="1" ht="15.75" thickBot="1">
      <c r="A2" s="2080" t="s">
        <v>1645</v>
      </c>
      <c r="B2" s="1211">
        <f>项目基本情况!D2</f>
        <v>42990</v>
      </c>
      <c r="C2" s="1861"/>
      <c r="D2" s="2799" t="s">
        <v>1646</v>
      </c>
      <c r="E2" s="2081"/>
      <c r="F2" s="2082"/>
      <c r="G2" s="2082"/>
      <c r="H2" s="2082"/>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3" customFormat="1" ht="15" customHeight="1" thickBot="1">
      <c r="A3" s="388" t="s">
        <v>1647</v>
      </c>
      <c r="B3" s="2084" t="s">
        <v>2856</v>
      </c>
      <c r="C3" s="1861"/>
      <c r="D3" s="2800"/>
      <c r="E3" s="1189" t="s">
        <v>1648</v>
      </c>
      <c r="F3" s="2082"/>
      <c r="G3" s="2082"/>
      <c r="H3" s="2082"/>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3" customFormat="1" ht="15" thickBot="1">
      <c r="A4" s="1487" t="s">
        <v>1649</v>
      </c>
      <c r="B4" s="2084" t="s">
        <v>2855</v>
      </c>
      <c r="C4" s="1861"/>
      <c r="D4" s="2800"/>
      <c r="E4" s="1189"/>
      <c r="F4" s="2082"/>
      <c r="G4" s="2082"/>
      <c r="H4" s="2082"/>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3" customFormat="1" ht="15.75" thickBot="1">
      <c r="A5" s="2085" t="s">
        <v>1650</v>
      </c>
      <c r="B5" s="1320">
        <f>项目基本情况!C12</f>
        <v>339.05</v>
      </c>
      <c r="C5" s="1861"/>
      <c r="D5" s="2086" t="s">
        <v>1651</v>
      </c>
      <c r="E5" s="394">
        <v>339.05</v>
      </c>
      <c r="F5" s="2082"/>
      <c r="G5" s="2082"/>
      <c r="H5" s="2082"/>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3" customFormat="1" ht="15.75" thickBot="1">
      <c r="A6" s="2087" t="s">
        <v>1652</v>
      </c>
      <c r="B6" s="1321">
        <f>项目基本情况!C13</f>
        <v>0</v>
      </c>
      <c r="C6" s="1861"/>
      <c r="D6" s="2086" t="s">
        <v>1653</v>
      </c>
      <c r="E6" s="394"/>
      <c r="F6" s="2082"/>
      <c r="G6" s="2082"/>
      <c r="H6" s="2082"/>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3" customFormat="1" ht="15">
      <c r="A7" s="2088"/>
      <c r="B7" s="1861"/>
      <c r="C7" s="1861"/>
      <c r="D7" s="2089"/>
      <c r="E7" s="2089"/>
      <c r="F7" s="2082"/>
      <c r="G7" s="2082"/>
      <c r="H7" s="2082"/>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3" customFormat="1" ht="15">
      <c r="A8" s="2088"/>
      <c r="B8" s="1861"/>
      <c r="C8" s="1861"/>
      <c r="D8" s="2089"/>
      <c r="E8" s="2089"/>
      <c r="F8" s="2082"/>
      <c r="G8" s="2082"/>
      <c r="H8" s="2082"/>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3" customFormat="1" ht="15" thickBot="1">
      <c r="A9" s="1861"/>
      <c r="B9" s="1861"/>
      <c r="C9" s="1861"/>
      <c r="D9" s="2082"/>
      <c r="E9" s="2082"/>
      <c r="F9" s="2082"/>
      <c r="G9" s="2082"/>
      <c r="H9" s="2082"/>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3" customFormat="1" ht="15" thickBot="1">
      <c r="A10" s="2090" t="s">
        <v>1654</v>
      </c>
      <c r="B10" s="2091" t="s">
        <v>2811</v>
      </c>
      <c r="C10" s="1861"/>
      <c r="D10" s="2080" t="s">
        <v>1655</v>
      </c>
      <c r="E10" s="2092"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6" customFormat="1" ht="14.25">
      <c r="A11" s="2093" t="s">
        <v>1658</v>
      </c>
      <c r="B11" s="991">
        <v>40</v>
      </c>
      <c r="C11" s="1861"/>
      <c r="D11" s="2094" t="s">
        <v>1659</v>
      </c>
      <c r="E11" s="34">
        <v>160</v>
      </c>
      <c r="F11" s="1860" t="s">
        <v>1660</v>
      </c>
      <c r="G11" s="1861"/>
      <c r="H11" s="1861"/>
      <c r="I11" s="1861"/>
      <c r="J11" s="1861"/>
      <c r="K11" s="1861"/>
      <c r="L11" s="2095"/>
      <c r="M11" s="2095"/>
      <c r="N11" s="2095"/>
      <c r="O11" s="2095"/>
      <c r="P11" s="2095"/>
      <c r="Q11" s="2095"/>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3" customFormat="1" ht="15">
      <c r="A12" s="2097" t="s">
        <v>1661</v>
      </c>
      <c r="B12" s="2098"/>
      <c r="C12" s="1861"/>
      <c r="D12" s="2099"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3" customFormat="1" ht="15" thickBot="1">
      <c r="A13" s="2100" t="s">
        <v>1663</v>
      </c>
      <c r="B13" s="992">
        <f>IF(B12="",B11-(YEAR($B$2)-B26+B23),ROUNDDOWN(MIN((B12-$B$2)/365,B11),2))</f>
        <v>29</v>
      </c>
      <c r="C13" s="2101"/>
      <c r="D13" s="2102"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3" customFormat="1" ht="14.25">
      <c r="A14" s="2097" t="s">
        <v>1666</v>
      </c>
      <c r="B14" s="993">
        <f>IF(ISERROR(ROUND(POWER(1+B15,B11-B13)*(POWER(1+B15,B13)-1)/(POWER(1+B15,B11)-1),3)),0,ROUND(POWER(1+B15,B11-B13)*(POWER(1+B15,B13)-1)/(POWER(1+B15,B11)-1),3))</f>
        <v>0.85799999999999998</v>
      </c>
      <c r="C14" s="1861"/>
      <c r="D14" s="2103" t="s">
        <v>1667</v>
      </c>
      <c r="E14" s="710">
        <v>200</v>
      </c>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3" customFormat="1" ht="14.25">
      <c r="A15" s="2097" t="s">
        <v>1668</v>
      </c>
      <c r="B15" s="30">
        <v>0.04</v>
      </c>
      <c r="C15" s="1861"/>
      <c r="D15" s="2099" t="s">
        <v>1669</v>
      </c>
      <c r="E15" s="38">
        <f>E14-E16</f>
        <v>200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3" customFormat="1" ht="15" thickBot="1">
      <c r="A16" s="2097" t="s">
        <v>1670</v>
      </c>
      <c r="B16" s="30">
        <v>0.05</v>
      </c>
      <c r="C16" s="1861"/>
      <c r="D16" s="2104"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3" customFormat="1" ht="15" thickBot="1">
      <c r="A17" s="2105" t="s">
        <v>1672</v>
      </c>
      <c r="B17" s="998">
        <v>0.08</v>
      </c>
      <c r="C17" s="1861"/>
      <c r="D17" s="2090" t="s">
        <v>1673</v>
      </c>
      <c r="E17" s="986">
        <f>2220+100</f>
        <v>2320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3" customFormat="1" ht="15" thickBot="1">
      <c r="A18" s="1861"/>
      <c r="B18" s="1861"/>
      <c r="C18" s="1861"/>
      <c r="D18" s="2106" t="str">
        <f>IF(B25=0,"建安总额","在建建安")</f>
        <v>建安总额</v>
      </c>
      <c r="E18" s="987">
        <f>ROUND(B5*E17*IF(B25=0,1,E20),0)</f>
        <v>786596</v>
      </c>
      <c r="F18" s="1322">
        <f>ROUND(E5*E17*IF(B25=0,1,E20),0)</f>
        <v>786596</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3" customFormat="1" ht="15" thickBot="1">
      <c r="A19" s="25" t="s">
        <v>1674</v>
      </c>
      <c r="B19" s="1861"/>
      <c r="C19" s="1861"/>
      <c r="D19" s="2106"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3" customFormat="1" ht="15" thickBot="1">
      <c r="A20" s="2107" t="s">
        <v>1675</v>
      </c>
      <c r="B20" s="31">
        <v>0</v>
      </c>
      <c r="C20" s="1861"/>
      <c r="D20" s="2108" t="str">
        <f>IF(B25=0,"成新率","工程进度")</f>
        <v>成新率</v>
      </c>
      <c r="E20" s="988">
        <f>G63</f>
        <v>0.84</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3" customFormat="1" ht="14.25">
      <c r="A21" s="2109" t="s">
        <v>1676</v>
      </c>
      <c r="B21" s="32">
        <v>1</v>
      </c>
      <c r="C21" s="1861"/>
      <c r="D21" s="2099" t="s">
        <v>1677</v>
      </c>
      <c r="E21" s="712">
        <v>0.03</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3" customFormat="1" ht="14.25">
      <c r="A22" s="2110" t="s">
        <v>1679</v>
      </c>
      <c r="B22" s="1456">
        <v>1</v>
      </c>
      <c r="C22" s="1861"/>
      <c r="D22" s="2099" t="s">
        <v>1680</v>
      </c>
      <c r="E22" s="40">
        <v>0.04</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3" customFormat="1" ht="15" thickBot="1">
      <c r="A23" s="2111" t="s">
        <v>1682</v>
      </c>
      <c r="B23" s="33">
        <f>B20+B21</f>
        <v>1</v>
      </c>
      <c r="C23" s="1861"/>
      <c r="D23" s="2099"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3" customFormat="1" ht="15" thickBot="1">
      <c r="A24" s="2112" t="s">
        <v>1685</v>
      </c>
      <c r="B24" s="1748">
        <f>B20+B22</f>
        <v>1</v>
      </c>
      <c r="C24" s="1861"/>
      <c r="D24" s="2104"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1" t="s">
        <v>1688</v>
      </c>
      <c r="B25" s="1455">
        <f>B21-B22</f>
        <v>0</v>
      </c>
      <c r="C25" s="1239"/>
      <c r="D25" s="2094" t="s">
        <v>1689</v>
      </c>
      <c r="E25" s="712">
        <v>0.01</v>
      </c>
      <c r="F25" s="1858" t="s">
        <v>1690</v>
      </c>
      <c r="I25" s="1859"/>
      <c r="AE25" s="1239"/>
      <c r="AF25" s="1239"/>
      <c r="AG25" s="1239"/>
      <c r="AH25" s="1239"/>
      <c r="AI25" s="1239"/>
      <c r="AJ25" s="1239"/>
      <c r="AK25" s="1239"/>
      <c r="AL25" s="1239"/>
      <c r="AM25" s="1239"/>
      <c r="AN25" s="1239"/>
      <c r="AO25" s="1239"/>
    </row>
    <row r="26" spans="1:41" ht="15.75" thickBot="1">
      <c r="A26" s="2113" t="s">
        <v>1691</v>
      </c>
      <c r="B26" s="1095">
        <v>2007</v>
      </c>
      <c r="C26" s="1861"/>
      <c r="D26" s="2099" t="s">
        <v>1692</v>
      </c>
      <c r="E26" s="40">
        <v>0.01</v>
      </c>
      <c r="F26" s="1858" t="s">
        <v>1690</v>
      </c>
      <c r="G26" s="2082"/>
      <c r="H26" s="2082"/>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099" t="s">
        <v>1693</v>
      </c>
      <c r="E27" s="353">
        <f ca="1">存贷款利率!G1</f>
        <v>4.3499999999999997E-2</v>
      </c>
      <c r="F27" s="1858" t="s">
        <v>1694</v>
      </c>
      <c r="G27" s="2082"/>
      <c r="H27" s="2082"/>
      <c r="K27" s="1861"/>
      <c r="N27" s="1861"/>
      <c r="AE27" s="1239"/>
      <c r="AF27" s="1239"/>
      <c r="AG27" s="1239"/>
      <c r="AH27" s="1239"/>
      <c r="AI27" s="1239"/>
      <c r="AJ27" s="1239"/>
      <c r="AK27" s="1239"/>
      <c r="AL27" s="1239"/>
      <c r="AM27" s="1239"/>
      <c r="AN27" s="1239"/>
      <c r="AO27" s="1239"/>
    </row>
    <row r="28" spans="1:41" ht="15" thickBot="1">
      <c r="A28" s="2114" t="s">
        <v>1695</v>
      </c>
      <c r="B28" s="2115" t="s">
        <v>2818</v>
      </c>
      <c r="C28" s="1239"/>
      <c r="D28" s="2116" t="s">
        <v>1696</v>
      </c>
      <c r="E28" s="990">
        <v>0.25</v>
      </c>
      <c r="G28" s="2082"/>
      <c r="H28" s="2082"/>
      <c r="K28" s="1861"/>
      <c r="N28" s="1861"/>
      <c r="AE28" s="1239"/>
      <c r="AF28" s="1239"/>
      <c r="AG28" s="1239"/>
      <c r="AH28" s="1239"/>
      <c r="AI28" s="1239"/>
      <c r="AJ28" s="1239"/>
      <c r="AK28" s="1239"/>
      <c r="AL28" s="1239"/>
      <c r="AM28" s="1239"/>
      <c r="AN28" s="1239"/>
      <c r="AO28" s="1239"/>
    </row>
    <row r="29" spans="1:41" ht="14.25">
      <c r="A29" s="2097" t="str">
        <f>IF(B28="租赁期内按合同租金","合同租金","市场租金")</f>
        <v>市场租金</v>
      </c>
      <c r="B29" s="29">
        <v>70000</v>
      </c>
      <c r="C29" s="1239"/>
      <c r="D29" s="2103" t="s">
        <v>1697</v>
      </c>
      <c r="E29" s="989">
        <f>E30+E31</f>
        <v>5.6000000000000001E-2</v>
      </c>
      <c r="F29" s="1855"/>
      <c r="G29" s="2082"/>
      <c r="H29" s="2082"/>
      <c r="K29" s="1861"/>
      <c r="N29" s="1861"/>
      <c r="AE29" s="1239"/>
      <c r="AF29" s="1239"/>
      <c r="AG29" s="1239"/>
      <c r="AH29" s="1239"/>
      <c r="AI29" s="1239"/>
      <c r="AJ29" s="1239"/>
      <c r="AK29" s="1239"/>
      <c r="AL29" s="1239"/>
      <c r="AM29" s="1239"/>
      <c r="AN29" s="1239"/>
      <c r="AO29" s="1239"/>
    </row>
    <row r="30" spans="1:41" ht="14.25">
      <c r="A30" s="2097" t="s">
        <v>1698</v>
      </c>
      <c r="B30" s="1421">
        <f ca="1">存贷款利率!I1</f>
        <v>1.4999999999999999E-2</v>
      </c>
      <c r="C30" s="1239"/>
      <c r="D30" s="2117" t="s">
        <v>1699</v>
      </c>
      <c r="E30" s="41">
        <v>0.05</v>
      </c>
      <c r="F30" s="1866">
        <f>IF(B2&lt;DATE(2016,5,1),0,E30)</f>
        <v>0.05</v>
      </c>
      <c r="G30" s="2082"/>
      <c r="H30" s="2082"/>
      <c r="K30" s="1861"/>
      <c r="N30" s="1861"/>
      <c r="AE30" s="1239"/>
      <c r="AF30" s="1239"/>
      <c r="AG30" s="1239"/>
      <c r="AH30" s="1239"/>
      <c r="AI30" s="1239"/>
      <c r="AJ30" s="1239"/>
      <c r="AK30" s="1239"/>
      <c r="AL30" s="1239"/>
      <c r="AM30" s="1239"/>
      <c r="AN30" s="1239"/>
      <c r="AO30" s="1239"/>
    </row>
    <row r="31" spans="1:41" ht="14.25">
      <c r="A31" s="2097" t="s">
        <v>1700</v>
      </c>
      <c r="B31" s="30">
        <v>3.5000000000000003E-2</v>
      </c>
      <c r="C31" s="1239"/>
      <c r="D31" s="2117" t="s">
        <v>1701</v>
      </c>
      <c r="E31" s="42">
        <f>E30*(E32+E33+E34)+E35</f>
        <v>6.000000000000001E-3</v>
      </c>
      <c r="F31" s="1855"/>
      <c r="G31" s="2082"/>
      <c r="H31" s="2082"/>
      <c r="K31" s="1861"/>
      <c r="N31" s="1861"/>
      <c r="AE31" s="1239"/>
      <c r="AF31" s="1239"/>
      <c r="AG31" s="1239"/>
      <c r="AH31" s="1239"/>
      <c r="AI31" s="1239"/>
      <c r="AJ31" s="1239"/>
      <c r="AK31" s="1239"/>
      <c r="AL31" s="1239"/>
      <c r="AM31" s="1239"/>
      <c r="AN31" s="1239"/>
      <c r="AO31" s="1239"/>
    </row>
    <row r="32" spans="1:41" ht="14.25">
      <c r="A32" s="2097" t="s">
        <v>1702</v>
      </c>
      <c r="B32" s="30">
        <v>0.1</v>
      </c>
      <c r="C32" s="1239"/>
      <c r="D32" s="2118" t="s">
        <v>1703</v>
      </c>
      <c r="E32" s="43">
        <v>7.0000000000000007E-2</v>
      </c>
      <c r="F32" s="1853" t="s">
        <v>1704</v>
      </c>
      <c r="G32" s="2082"/>
      <c r="H32" s="2082"/>
      <c r="K32" s="1861"/>
      <c r="L32" s="1861"/>
      <c r="M32" s="1861"/>
      <c r="N32" s="1861"/>
      <c r="AE32" s="1239"/>
      <c r="AF32" s="1239"/>
      <c r="AG32" s="1239"/>
      <c r="AH32" s="1239"/>
      <c r="AI32" s="1239"/>
      <c r="AJ32" s="1239"/>
      <c r="AK32" s="1239"/>
      <c r="AL32" s="1239"/>
      <c r="AM32" s="1239"/>
      <c r="AN32" s="1239"/>
      <c r="AO32" s="1239"/>
    </row>
    <row r="33" spans="1:41" ht="14.25">
      <c r="A33" s="2097" t="s">
        <v>1705</v>
      </c>
      <c r="B33" s="1382">
        <f>收益法!J54</f>
        <v>29</v>
      </c>
      <c r="C33" s="1239"/>
      <c r="D33" s="2118" t="s">
        <v>1706</v>
      </c>
      <c r="E33" s="41">
        <v>0.03</v>
      </c>
      <c r="F33" s="1852" t="s">
        <v>1707</v>
      </c>
      <c r="G33" s="2082"/>
      <c r="H33" s="2082"/>
      <c r="K33" s="1861"/>
      <c r="L33" s="1861"/>
      <c r="M33" s="1861"/>
      <c r="N33" s="1861"/>
      <c r="AE33" s="1239"/>
      <c r="AF33" s="1239"/>
      <c r="AG33" s="1239"/>
      <c r="AH33" s="1239"/>
      <c r="AI33" s="1239"/>
      <c r="AJ33" s="1239"/>
      <c r="AK33" s="1239"/>
      <c r="AL33" s="1239"/>
      <c r="AM33" s="1239"/>
      <c r="AN33" s="1239"/>
      <c r="AO33" s="1239"/>
    </row>
    <row r="34" spans="1:41" s="2120" customFormat="1" ht="15" thickBot="1">
      <c r="A34" s="2117" t="str">
        <f>IF(B28="租赁期内按合同租金","剩余租赁期","——")</f>
        <v>——</v>
      </c>
      <c r="B34" s="999"/>
      <c r="C34" s="1239"/>
      <c r="D34" s="2118" t="s">
        <v>1708</v>
      </c>
      <c r="E34" s="41">
        <v>0.02</v>
      </c>
      <c r="F34" s="1852" t="s">
        <v>1709</v>
      </c>
      <c r="G34" s="2119"/>
      <c r="H34" s="2119"/>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0" customFormat="1" ht="15.75" thickBot="1">
      <c r="A35" s="2121" t="s">
        <v>1710</v>
      </c>
      <c r="B35" s="995"/>
      <c r="C35" s="1239"/>
      <c r="D35" s="2122" t="s">
        <v>1711</v>
      </c>
      <c r="E35" s="44">
        <v>0</v>
      </c>
      <c r="F35" s="1860" t="s">
        <v>1712</v>
      </c>
      <c r="G35" s="2119"/>
      <c r="H35" s="2119"/>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0" customFormat="1" ht="14.25">
      <c r="A36" s="2123" t="str">
        <f>IF(B28="租赁期内按合同租金","租金","——")</f>
        <v>——</v>
      </c>
      <c r="B36" s="1000"/>
      <c r="C36" s="1239"/>
      <c r="D36" s="2124" t="s">
        <v>1713</v>
      </c>
      <c r="E36" s="45">
        <v>0.03</v>
      </c>
      <c r="F36" s="1856" t="s">
        <v>1714</v>
      </c>
      <c r="G36" s="2119"/>
      <c r="H36" s="2119"/>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0" customFormat="1" ht="15" thickBot="1">
      <c r="A37" s="2097" t="str">
        <f>IF(B28="租赁期内按合同租金","年租金增长率","——")</f>
        <v>——</v>
      </c>
      <c r="B37" s="30"/>
      <c r="C37" s="1239"/>
      <c r="D37" s="2104" t="s">
        <v>1715</v>
      </c>
      <c r="E37" s="41">
        <v>5.0000000000000001E-4</v>
      </c>
      <c r="F37" s="1856" t="s">
        <v>1716</v>
      </c>
      <c r="G37" s="2082"/>
      <c r="H37" s="2082"/>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0" customFormat="1" ht="14.25">
      <c r="A38" s="2097" t="str">
        <f>IF(B28="租赁期内按合同租金","空置率","——")</f>
        <v>——</v>
      </c>
      <c r="B38" s="30"/>
      <c r="C38" s="1239"/>
      <c r="D38" s="2125" t="s">
        <v>1717</v>
      </c>
      <c r="E38" s="46">
        <v>1.2E-2</v>
      </c>
      <c r="F38" s="1854"/>
      <c r="G38" s="1859"/>
      <c r="H38" s="1859"/>
      <c r="I38" s="2082"/>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0" customFormat="1" ht="15" thickBot="1">
      <c r="A39" s="2097" t="str">
        <f>IF(B28="租赁期内按合同租金","成新率","——")</f>
        <v>——</v>
      </c>
      <c r="B39" s="30"/>
      <c r="C39" s="1239"/>
      <c r="D39" s="2102" t="s">
        <v>1718</v>
      </c>
      <c r="E39" s="47">
        <v>0.12</v>
      </c>
      <c r="F39" s="1854"/>
      <c r="G39" s="2119"/>
      <c r="H39" s="2119"/>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7" t="str">
        <f>IF(B28="租赁期内按合同租金","租赁期外收益期","——")</f>
        <v>——</v>
      </c>
      <c r="B40" s="1195" t="str">
        <f>IF(B28="租赁期内按合同租金",B33-B34,"——")</f>
        <v>——</v>
      </c>
      <c r="C40" s="1239"/>
      <c r="D40" s="2125" t="s">
        <v>1719</v>
      </c>
      <c r="E40" s="48">
        <f>SUMIF(D42:D51,E41,E42:E51)</f>
        <v>0</v>
      </c>
      <c r="F40" s="1854"/>
      <c r="G40" s="2082"/>
      <c r="H40" s="2082"/>
      <c r="I40" s="1861"/>
      <c r="J40" s="1861"/>
      <c r="K40" s="1861"/>
      <c r="L40" s="1861"/>
      <c r="M40" s="1861"/>
      <c r="N40" s="1861"/>
      <c r="AE40" s="1239"/>
      <c r="AF40" s="1239"/>
      <c r="AG40" s="1239"/>
      <c r="AH40" s="1239"/>
      <c r="AI40" s="1239"/>
      <c r="AJ40" s="1239"/>
      <c r="AK40" s="1239"/>
      <c r="AL40" s="1239"/>
      <c r="AM40" s="1239"/>
      <c r="AN40" s="1239"/>
      <c r="AO40" s="1239"/>
    </row>
    <row r="41" spans="1:41" ht="14.25">
      <c r="A41" s="2126" t="s">
        <v>1720</v>
      </c>
      <c r="B41" s="1001">
        <v>1</v>
      </c>
      <c r="C41" s="1239"/>
      <c r="D41" s="2099" t="s">
        <v>1721</v>
      </c>
      <c r="E41" s="2127" t="s">
        <v>221</v>
      </c>
      <c r="F41" s="1854" t="s">
        <v>1722</v>
      </c>
      <c r="G41" s="2128" t="s">
        <v>1723</v>
      </c>
      <c r="H41" s="2082"/>
      <c r="I41" s="1861"/>
      <c r="J41" s="1861"/>
      <c r="K41" s="1861"/>
      <c r="L41" s="1861"/>
      <c r="M41" s="1861"/>
      <c r="N41" s="1861"/>
      <c r="AE41" s="1239"/>
      <c r="AF41" s="1239"/>
      <c r="AG41" s="1239"/>
      <c r="AH41" s="1239"/>
      <c r="AI41" s="1239"/>
      <c r="AJ41" s="1239"/>
      <c r="AK41" s="1239"/>
      <c r="AL41" s="1239"/>
      <c r="AM41" s="1239"/>
      <c r="AN41" s="1239"/>
      <c r="AO41" s="1239"/>
    </row>
    <row r="42" spans="1:41" ht="14.25">
      <c r="A42" s="2097" t="s">
        <v>1724</v>
      </c>
      <c r="B42" s="994">
        <v>12</v>
      </c>
      <c r="C42" s="1239"/>
      <c r="D42" s="2129" t="s">
        <v>1725</v>
      </c>
      <c r="E42" s="29"/>
      <c r="F42" s="1854">
        <v>30</v>
      </c>
      <c r="G42" s="2082"/>
      <c r="H42" s="2082"/>
      <c r="I42" s="1861"/>
      <c r="J42" s="1861"/>
      <c r="K42" s="1861"/>
      <c r="L42" s="1861"/>
      <c r="M42" s="1861"/>
      <c r="N42" s="1861"/>
      <c r="AE42" s="1239"/>
      <c r="AF42" s="1239"/>
      <c r="AG42" s="1239"/>
      <c r="AH42" s="1239"/>
      <c r="AI42" s="1239"/>
      <c r="AJ42" s="1239"/>
      <c r="AK42" s="1239"/>
      <c r="AL42" s="1239"/>
      <c r="AM42" s="1239"/>
      <c r="AN42" s="1239"/>
      <c r="AO42" s="1239"/>
    </row>
    <row r="43" spans="1:41" ht="14.25">
      <c r="A43" s="2097" t="s">
        <v>1726</v>
      </c>
      <c r="B43" s="29"/>
      <c r="C43" s="1239"/>
      <c r="D43" s="2129" t="s">
        <v>1727</v>
      </c>
      <c r="E43" s="29"/>
      <c r="F43" s="1854">
        <v>24</v>
      </c>
      <c r="G43" s="2082"/>
      <c r="H43" s="2082"/>
      <c r="I43" s="1861"/>
      <c r="J43" s="1861"/>
      <c r="K43" s="1861"/>
      <c r="L43" s="1861"/>
      <c r="M43" s="1861"/>
      <c r="N43" s="1861"/>
      <c r="AE43" s="1239"/>
      <c r="AF43" s="1239"/>
      <c r="AG43" s="1239"/>
      <c r="AH43" s="1239"/>
      <c r="AI43" s="1239"/>
      <c r="AJ43" s="1239"/>
      <c r="AK43" s="1239"/>
      <c r="AL43" s="1239"/>
      <c r="AM43" s="1239"/>
      <c r="AN43" s="1239"/>
      <c r="AO43" s="1239"/>
    </row>
    <row r="44" spans="1:41" ht="14.25">
      <c r="A44" s="2097" t="s">
        <v>1728</v>
      </c>
      <c r="B44" s="1002">
        <v>1.4999999999999999E-2</v>
      </c>
      <c r="C44" s="1239" t="s">
        <v>970</v>
      </c>
      <c r="D44" s="2129" t="s">
        <v>1729</v>
      </c>
      <c r="E44" s="29"/>
      <c r="F44" s="1854">
        <v>18</v>
      </c>
      <c r="G44" s="1239"/>
      <c r="H44" s="1239"/>
      <c r="I44" s="2082"/>
      <c r="J44" s="1861"/>
      <c r="K44" s="1861"/>
      <c r="L44" s="1861"/>
      <c r="M44" s="1861"/>
      <c r="N44" s="1861"/>
      <c r="AE44" s="1239"/>
      <c r="AF44" s="1239"/>
      <c r="AG44" s="1239"/>
      <c r="AH44" s="1239"/>
      <c r="AI44" s="1239"/>
      <c r="AJ44" s="1239"/>
      <c r="AK44" s="1239"/>
      <c r="AL44" s="1239"/>
      <c r="AM44" s="1239"/>
      <c r="AN44" s="1239"/>
      <c r="AO44" s="1239"/>
    </row>
    <row r="45" spans="1:41" ht="14.25">
      <c r="A45" s="2097" t="s">
        <v>1730</v>
      </c>
      <c r="B45" s="1003">
        <v>1.5E-3</v>
      </c>
      <c r="C45" s="1239" t="s">
        <v>971</v>
      </c>
      <c r="D45" s="2129"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6" t="s">
        <v>1732</v>
      </c>
      <c r="B46" s="1004">
        <v>0.01</v>
      </c>
      <c r="C46" s="1239" t="s">
        <v>972</v>
      </c>
      <c r="D46" s="2129" t="s">
        <v>1478</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9"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9"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9"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9"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0" t="s">
        <v>1737</v>
      </c>
      <c r="E51" s="49"/>
      <c r="F51" s="1861"/>
      <c r="M51" s="1861"/>
      <c r="N51" s="1861"/>
      <c r="O51" s="85"/>
      <c r="P51" s="85"/>
    </row>
    <row r="52" spans="1:41" s="1239" customFormat="1" ht="14.25">
      <c r="D52" s="2082"/>
      <c r="E52" s="2082"/>
      <c r="F52" s="2082"/>
      <c r="G52" s="2082"/>
      <c r="H52" s="2082"/>
      <c r="I52" s="1861"/>
      <c r="J52" s="1861"/>
      <c r="K52" s="1861"/>
      <c r="L52" s="1861"/>
      <c r="M52" s="1861"/>
      <c r="N52" s="1861"/>
      <c r="O52" s="85"/>
      <c r="P52" s="85"/>
    </row>
    <row r="53" spans="1:41" s="1239" customFormat="1" ht="14.25">
      <c r="D53" s="2082"/>
      <c r="E53" s="2082"/>
      <c r="F53" s="2082"/>
      <c r="G53" s="2082"/>
      <c r="H53" s="2082"/>
      <c r="I53" s="1861"/>
      <c r="J53" s="1861"/>
      <c r="K53" s="1861"/>
      <c r="L53" s="1861"/>
      <c r="M53" s="1861"/>
      <c r="N53" s="1861"/>
      <c r="O53" s="85"/>
      <c r="P53" s="85"/>
    </row>
    <row r="54" spans="1:41" s="1239" customFormat="1" ht="14.25">
      <c r="A54" s="3071" t="s">
        <v>2819</v>
      </c>
      <c r="B54" s="3072"/>
      <c r="C54" s="3073"/>
      <c r="D54" s="3074"/>
      <c r="E54" s="3074"/>
      <c r="F54" s="3075"/>
      <c r="G54" s="3075"/>
      <c r="H54" s="2082"/>
      <c r="I54" s="1861"/>
      <c r="J54" s="1861"/>
      <c r="K54" s="1861"/>
      <c r="L54" s="1861"/>
      <c r="M54" s="1861"/>
      <c r="N54" s="1861"/>
      <c r="O54" s="85"/>
      <c r="P54" s="85"/>
    </row>
    <row r="55" spans="1:41" s="1239" customFormat="1" ht="14.25">
      <c r="A55" s="3076" t="s">
        <v>2820</v>
      </c>
      <c r="B55" s="3077">
        <v>0</v>
      </c>
      <c r="C55" s="3073"/>
      <c r="D55" s="3078"/>
      <c r="E55" s="3078"/>
      <c r="F55" s="3075"/>
      <c r="G55" s="3075"/>
      <c r="H55" s="2082"/>
      <c r="I55" s="1861"/>
      <c r="J55" s="1861"/>
      <c r="K55" s="1861"/>
      <c r="L55" s="1861"/>
      <c r="M55" s="1861"/>
      <c r="N55" s="1861"/>
      <c r="O55" s="85"/>
      <c r="P55" s="85"/>
    </row>
    <row r="56" spans="1:41" s="1239" customFormat="1" ht="14.25">
      <c r="A56" s="3076" t="s">
        <v>2821</v>
      </c>
      <c r="B56" s="3079" t="s">
        <v>2836</v>
      </c>
      <c r="C56" s="3073"/>
      <c r="D56" s="3078"/>
      <c r="E56" s="3080"/>
      <c r="F56" s="3075"/>
      <c r="G56" s="3075"/>
      <c r="H56" s="2082"/>
      <c r="I56" s="1861"/>
      <c r="J56" s="1861"/>
      <c r="K56" s="1861"/>
      <c r="L56" s="1861"/>
      <c r="M56" s="1861"/>
      <c r="N56" s="1861"/>
      <c r="O56" s="85"/>
      <c r="P56" s="85"/>
    </row>
    <row r="57" spans="1:41" s="1239" customFormat="1" ht="14.25">
      <c r="A57" s="3076" t="s">
        <v>2822</v>
      </c>
      <c r="B57" s="3079" t="s">
        <v>2823</v>
      </c>
      <c r="C57" s="3073"/>
      <c r="D57" s="3078"/>
      <c r="E57" s="3078"/>
      <c r="F57" s="3075"/>
      <c r="G57" s="3075"/>
      <c r="H57" s="2082"/>
      <c r="I57" s="1861"/>
      <c r="J57" s="1861"/>
      <c r="K57" s="1861"/>
      <c r="L57" s="1861"/>
      <c r="M57" s="1861"/>
      <c r="N57" s="1861"/>
      <c r="O57" s="85"/>
      <c r="P57" s="85"/>
    </row>
    <row r="58" spans="1:41" s="1239" customFormat="1" ht="14.25">
      <c r="A58" s="3076" t="s">
        <v>2824</v>
      </c>
      <c r="B58" s="3081">
        <f>ROUND(1-(1-B55)*B56/B57,2)</f>
        <v>0.83</v>
      </c>
      <c r="C58" s="3073"/>
      <c r="D58" s="3078"/>
      <c r="E58" s="3078"/>
      <c r="F58" s="3075"/>
      <c r="G58" s="3075"/>
      <c r="H58" s="2082"/>
      <c r="I58" s="1861"/>
      <c r="J58" s="1861"/>
      <c r="K58" s="1861"/>
      <c r="L58" s="1861"/>
      <c r="M58" s="1861"/>
      <c r="N58" s="1861"/>
      <c r="O58" s="85"/>
      <c r="P58" s="85"/>
    </row>
    <row r="59" spans="1:41" s="1239" customFormat="1" ht="14.25">
      <c r="A59" s="3082" t="s">
        <v>2825</v>
      </c>
      <c r="B59" s="3083">
        <v>0.5</v>
      </c>
      <c r="C59" s="3073"/>
      <c r="D59" s="3078"/>
      <c r="E59" s="3078"/>
      <c r="F59" s="3075"/>
      <c r="G59" s="3075"/>
      <c r="H59" s="2082"/>
      <c r="I59" s="1861"/>
      <c r="J59" s="1861"/>
      <c r="K59" s="1861"/>
      <c r="L59" s="1861"/>
      <c r="M59" s="2131"/>
      <c r="N59" s="1861"/>
      <c r="O59" s="85"/>
      <c r="P59" s="85"/>
    </row>
    <row r="60" spans="1:41" s="1239" customFormat="1" ht="14.25">
      <c r="A60" s="3084" t="s">
        <v>2826</v>
      </c>
      <c r="B60" s="3084"/>
      <c r="C60" s="3084"/>
      <c r="D60" s="3084"/>
      <c r="E60" s="3084"/>
      <c r="F60" s="3075"/>
      <c r="G60" s="3075"/>
      <c r="H60" s="2082"/>
      <c r="I60" s="1861"/>
      <c r="J60" s="1861"/>
      <c r="K60" s="1861"/>
      <c r="L60" s="1861"/>
      <c r="M60" s="1861"/>
      <c r="N60" s="1861"/>
      <c r="O60" s="85"/>
      <c r="P60" s="85"/>
    </row>
    <row r="61" spans="1:41" s="1239" customFormat="1" ht="14.25">
      <c r="A61" s="3085" t="s">
        <v>2827</v>
      </c>
      <c r="B61" s="3086" t="s">
        <v>2828</v>
      </c>
      <c r="C61" s="3086" t="s">
        <v>2829</v>
      </c>
      <c r="D61" s="3086" t="s">
        <v>2830</v>
      </c>
      <c r="E61" s="3086" t="s">
        <v>2831</v>
      </c>
      <c r="F61" s="3075"/>
      <c r="G61" s="3075"/>
      <c r="H61" s="2082"/>
      <c r="I61" s="1861"/>
      <c r="J61" s="1861"/>
      <c r="K61" s="1861"/>
      <c r="L61" s="1861"/>
      <c r="M61" s="1861"/>
      <c r="N61" s="1861"/>
      <c r="O61" s="85"/>
      <c r="P61" s="85"/>
    </row>
    <row r="62" spans="1:41" s="1239" customFormat="1" ht="14.25">
      <c r="A62" s="3085" t="s">
        <v>2832</v>
      </c>
      <c r="B62" s="3086">
        <v>100</v>
      </c>
      <c r="C62" s="3087" t="s">
        <v>2833</v>
      </c>
      <c r="D62" s="3086">
        <v>85</v>
      </c>
      <c r="E62" s="3088">
        <v>0.3</v>
      </c>
      <c r="F62" s="3075"/>
      <c r="G62" s="3075"/>
      <c r="H62" s="2082"/>
      <c r="I62" s="1861"/>
      <c r="J62" s="1861"/>
      <c r="K62" s="1861"/>
      <c r="L62" s="1861"/>
      <c r="M62" s="1861"/>
      <c r="N62" s="1861"/>
      <c r="O62" s="85"/>
      <c r="P62" s="85"/>
    </row>
    <row r="63" spans="1:41" s="1239" customFormat="1" ht="14.25">
      <c r="A63" s="3085" t="s">
        <v>2834</v>
      </c>
      <c r="B63" s="3086">
        <v>100</v>
      </c>
      <c r="C63" s="3087" t="s">
        <v>2833</v>
      </c>
      <c r="D63" s="3086">
        <v>85</v>
      </c>
      <c r="E63" s="3088">
        <v>0.5</v>
      </c>
      <c r="F63" s="3075"/>
      <c r="G63" s="3089">
        <f>ROUND(B58*B59+D65*B65,2)</f>
        <v>0.84</v>
      </c>
      <c r="H63" s="2082"/>
      <c r="I63" s="1861"/>
      <c r="J63" s="1861"/>
      <c r="K63" s="1861"/>
      <c r="L63" s="1861"/>
      <c r="M63" s="1861"/>
      <c r="N63" s="1861"/>
      <c r="O63" s="85"/>
      <c r="P63" s="85"/>
    </row>
    <row r="64" spans="1:41" s="1239" customFormat="1" ht="14.25">
      <c r="A64" s="3085" t="s">
        <v>2835</v>
      </c>
      <c r="B64" s="3086">
        <v>100</v>
      </c>
      <c r="C64" s="3087" t="s">
        <v>2833</v>
      </c>
      <c r="D64" s="3086">
        <v>85</v>
      </c>
      <c r="E64" s="3088">
        <f>1-E62-E63</f>
        <v>0.19999999999999996</v>
      </c>
      <c r="F64" s="3075"/>
      <c r="G64" s="3075"/>
      <c r="H64" s="2082"/>
      <c r="I64" s="1861"/>
      <c r="J64" s="1861"/>
      <c r="K64" s="1861"/>
      <c r="L64" s="1861"/>
      <c r="M64" s="1861"/>
      <c r="N64" s="1861"/>
      <c r="O64" s="85"/>
      <c r="P64" s="85"/>
    </row>
    <row r="65" spans="1:16" s="1239" customFormat="1" ht="14.25">
      <c r="A65" s="3090" t="s">
        <v>2825</v>
      </c>
      <c r="B65" s="3091">
        <f>1-B59</f>
        <v>0.5</v>
      </c>
      <c r="C65" s="3086" t="s">
        <v>2824</v>
      </c>
      <c r="D65" s="3092">
        <f>ROUND((D62*E62+D63*E63+D64*E64)/100,2)</f>
        <v>0.85</v>
      </c>
      <c r="E65" s="3093"/>
      <c r="F65" s="3075"/>
      <c r="G65" s="3075"/>
      <c r="H65" s="2082"/>
      <c r="I65" s="1861"/>
      <c r="J65" s="1861"/>
      <c r="K65" s="1861"/>
      <c r="L65" s="1861"/>
      <c r="M65" s="1861"/>
      <c r="N65" s="1861"/>
      <c r="O65" s="85"/>
      <c r="P65" s="85"/>
    </row>
    <row r="66" spans="1:16" s="1239" customFormat="1" ht="14.25">
      <c r="A66" s="2132"/>
      <c r="D66" s="2082"/>
      <c r="E66" s="2082"/>
      <c r="F66" s="2082"/>
      <c r="G66" s="2082"/>
      <c r="H66" s="2082"/>
      <c r="I66" s="1861"/>
      <c r="J66" s="1861"/>
      <c r="K66" s="1861"/>
      <c r="L66" s="1861"/>
      <c r="M66" s="1861"/>
      <c r="N66" s="1861"/>
      <c r="O66" s="85"/>
      <c r="P66" s="85"/>
    </row>
    <row r="67" spans="1:16" s="1239" customFormat="1" ht="14.25">
      <c r="A67" s="2132"/>
      <c r="D67" s="2082"/>
      <c r="E67" s="2082"/>
      <c r="F67" s="2082"/>
      <c r="G67" s="2082"/>
      <c r="H67" s="2082"/>
      <c r="I67" s="1861"/>
      <c r="J67" s="1861"/>
      <c r="K67" s="1861"/>
      <c r="L67" s="1861"/>
      <c r="M67" s="1861"/>
      <c r="N67" s="1861"/>
      <c r="O67" s="85"/>
      <c r="P67" s="85"/>
    </row>
    <row r="68" spans="1:16" s="1239" customFormat="1" ht="14.25">
      <c r="A68" s="2132"/>
      <c r="D68" s="2082"/>
      <c r="E68" s="2082"/>
      <c r="F68" s="2082"/>
      <c r="G68" s="1859"/>
      <c r="H68" s="1859"/>
      <c r="O68" s="85"/>
      <c r="P68" s="85"/>
    </row>
    <row r="69" spans="1:16" s="1239" customFormat="1">
      <c r="A69" s="2132"/>
      <c r="D69" s="1859"/>
      <c r="E69" s="1859"/>
      <c r="F69" s="1859"/>
      <c r="G69" s="1859"/>
      <c r="H69" s="1859"/>
      <c r="O69" s="85"/>
      <c r="P69" s="85"/>
    </row>
    <row r="70" spans="1:16" s="1239" customFormat="1">
      <c r="A70" s="2132"/>
      <c r="D70" s="1859"/>
      <c r="E70" s="1859"/>
      <c r="F70" s="1859"/>
      <c r="G70" s="1859"/>
      <c r="H70" s="1859"/>
      <c r="O70" s="85"/>
      <c r="P70" s="85"/>
    </row>
    <row r="71" spans="1:16" s="1239" customFormat="1">
      <c r="A71" s="2132"/>
      <c r="D71" s="1859"/>
      <c r="E71" s="1859"/>
      <c r="F71" s="1859"/>
      <c r="G71" s="1859"/>
      <c r="H71" s="1859"/>
      <c r="O71" s="85"/>
      <c r="P71" s="85"/>
    </row>
    <row r="72" spans="1:16" s="1239" customFormat="1">
      <c r="A72" s="2132"/>
      <c r="D72" s="1859"/>
      <c r="E72" s="1859"/>
      <c r="F72" s="1859"/>
      <c r="G72" s="1859"/>
      <c r="H72" s="1859"/>
      <c r="O72" s="85"/>
      <c r="P72" s="85"/>
    </row>
    <row r="73" spans="1:16" s="1239" customFormat="1">
      <c r="A73" s="2132"/>
      <c r="D73" s="1859"/>
      <c r="E73" s="1859"/>
      <c r="F73" s="1859"/>
      <c r="G73" s="1859"/>
      <c r="H73" s="1859"/>
      <c r="O73" s="85"/>
      <c r="P73" s="85"/>
    </row>
    <row r="74" spans="1:16" s="1239" customFormat="1">
      <c r="A74" s="2132"/>
      <c r="D74" s="1859"/>
      <c r="E74" s="1859"/>
      <c r="F74" s="1859"/>
      <c r="G74" s="1859"/>
      <c r="H74" s="1859"/>
      <c r="O74" s="85"/>
      <c r="P74" s="85"/>
    </row>
    <row r="75" spans="1:16" s="1239" customFormat="1">
      <c r="A75" s="2132"/>
      <c r="D75" s="1859"/>
      <c r="E75" s="1859"/>
      <c r="F75" s="1859"/>
      <c r="G75" s="1859"/>
      <c r="H75" s="1859"/>
      <c r="O75" s="85"/>
      <c r="P75" s="85"/>
    </row>
    <row r="76" spans="1:16" s="1239" customFormat="1">
      <c r="A76" s="2132"/>
      <c r="D76" s="1859"/>
      <c r="E76" s="1859"/>
      <c r="F76" s="1859"/>
      <c r="G76" s="1859"/>
      <c r="H76" s="1859"/>
      <c r="O76" s="85"/>
      <c r="P76" s="85"/>
    </row>
    <row r="77" spans="1:16" s="1239" customFormat="1">
      <c r="A77" s="2132"/>
      <c r="D77" s="1859"/>
      <c r="E77" s="1859"/>
      <c r="F77" s="1859"/>
      <c r="G77" s="1859"/>
      <c r="H77" s="1859"/>
      <c r="O77" s="85"/>
      <c r="P77" s="85"/>
    </row>
    <row r="78" spans="1:16" s="1239" customFormat="1">
      <c r="A78" s="2132"/>
      <c r="D78" s="1859"/>
      <c r="E78" s="1859"/>
      <c r="F78" s="1859"/>
      <c r="G78" s="1859"/>
      <c r="H78" s="1859"/>
      <c r="O78" s="85"/>
      <c r="P78" s="85"/>
    </row>
    <row r="79" spans="1:16" s="1239" customFormat="1">
      <c r="A79" s="2132"/>
      <c r="D79" s="1859"/>
      <c r="E79" s="1859"/>
      <c r="F79" s="1859"/>
      <c r="G79" s="1859"/>
      <c r="H79" s="1859"/>
      <c r="O79" s="85"/>
      <c r="P79" s="85"/>
    </row>
    <row r="80" spans="1:16" s="1239" customFormat="1">
      <c r="A80" s="2132"/>
      <c r="D80" s="1859"/>
      <c r="E80" s="1859"/>
      <c r="F80" s="1859"/>
      <c r="G80" s="1859"/>
      <c r="H80" s="1859"/>
      <c r="O80" s="85"/>
      <c r="P80" s="85"/>
    </row>
    <row r="81" spans="1:16" s="1239" customFormat="1">
      <c r="A81" s="2132"/>
      <c r="D81" s="1859"/>
      <c r="E81" s="1859"/>
      <c r="F81" s="1859"/>
      <c r="G81" s="1859"/>
      <c r="H81" s="1859"/>
      <c r="O81" s="85"/>
      <c r="P81" s="85"/>
    </row>
    <row r="82" spans="1:16" s="1239" customFormat="1">
      <c r="A82" s="2132"/>
      <c r="D82" s="1859"/>
      <c r="E82" s="1859"/>
      <c r="F82" s="1859"/>
      <c r="G82" s="1859"/>
      <c r="H82" s="1859"/>
      <c r="O82" s="85"/>
      <c r="P82" s="85"/>
    </row>
    <row r="83" spans="1:16" s="1239" customFormat="1">
      <c r="A83" s="2132"/>
      <c r="D83" s="1859"/>
      <c r="E83" s="1859"/>
      <c r="F83" s="1859"/>
      <c r="G83" s="1859"/>
      <c r="H83" s="1859"/>
      <c r="O83" s="85"/>
      <c r="P83" s="85"/>
    </row>
    <row r="84" spans="1:16" s="1239" customFormat="1">
      <c r="A84" s="2132"/>
      <c r="D84" s="1859"/>
      <c r="E84" s="1859"/>
      <c r="F84" s="1859"/>
      <c r="G84" s="1859"/>
      <c r="H84" s="1859"/>
      <c r="O84" s="85"/>
      <c r="P84" s="85"/>
    </row>
    <row r="85" spans="1:16" s="1239" customFormat="1">
      <c r="A85" s="2132"/>
      <c r="D85" s="1859"/>
      <c r="E85" s="1859"/>
      <c r="F85" s="1859"/>
      <c r="G85" s="1859"/>
      <c r="H85" s="1859"/>
      <c r="O85" s="85"/>
      <c r="P85" s="85"/>
    </row>
    <row r="86" spans="1:16" s="1239" customFormat="1">
      <c r="A86" s="2132"/>
      <c r="D86" s="1859"/>
      <c r="E86" s="1859"/>
      <c r="F86" s="1859"/>
      <c r="G86" s="1859"/>
      <c r="H86" s="1859"/>
      <c r="O86" s="85"/>
      <c r="P86" s="85"/>
    </row>
    <row r="87" spans="1:16" s="1239" customFormat="1">
      <c r="A87" s="2132"/>
      <c r="D87" s="1859"/>
      <c r="E87" s="1859"/>
      <c r="F87" s="1859"/>
      <c r="G87" s="1859"/>
      <c r="H87" s="1859"/>
      <c r="O87" s="85"/>
      <c r="P87" s="85"/>
    </row>
    <row r="88" spans="1:16" s="1239" customFormat="1">
      <c r="A88" s="2132"/>
      <c r="D88" s="1859"/>
      <c r="E88" s="1859"/>
      <c r="F88" s="1859"/>
      <c r="G88" s="1859"/>
      <c r="H88" s="1859"/>
      <c r="O88" s="85"/>
      <c r="P88" s="85"/>
    </row>
    <row r="89" spans="1:16" s="1239" customFormat="1">
      <c r="A89" s="2132"/>
      <c r="D89" s="1859"/>
      <c r="E89" s="1859"/>
      <c r="F89" s="1859"/>
      <c r="G89" s="1859"/>
      <c r="H89" s="1859"/>
      <c r="O89" s="85"/>
      <c r="P89" s="85"/>
    </row>
    <row r="90" spans="1:16" s="1239" customFormat="1">
      <c r="A90" s="2132"/>
      <c r="D90" s="1859"/>
      <c r="E90" s="1859"/>
      <c r="F90" s="1859"/>
      <c r="G90" s="1859"/>
      <c r="H90" s="1859"/>
      <c r="O90" s="85"/>
      <c r="P90" s="85"/>
    </row>
    <row r="91" spans="1:16" s="1239" customFormat="1">
      <c r="A91" s="2132"/>
      <c r="D91" s="1859"/>
      <c r="E91" s="1859"/>
      <c r="F91" s="1859"/>
      <c r="G91" s="1859"/>
      <c r="H91" s="1859"/>
      <c r="O91" s="85"/>
      <c r="P91" s="85"/>
    </row>
    <row r="92" spans="1:16" s="1239" customFormat="1">
      <c r="A92" s="2132"/>
      <c r="D92" s="1859"/>
      <c r="E92" s="1859"/>
      <c r="F92" s="1859"/>
      <c r="G92" s="1859"/>
      <c r="H92" s="1859"/>
      <c r="O92" s="85"/>
      <c r="P92" s="85"/>
    </row>
    <row r="93" spans="1:16" s="1239" customFormat="1">
      <c r="A93" s="2132"/>
      <c r="D93" s="1859"/>
      <c r="E93" s="1859"/>
      <c r="F93" s="1859"/>
      <c r="G93" s="1859"/>
      <c r="H93" s="1859"/>
      <c r="O93" s="85"/>
      <c r="P93" s="85"/>
    </row>
    <row r="94" spans="1:16" s="1239" customFormat="1">
      <c r="A94" s="2132"/>
      <c r="D94" s="1859"/>
      <c r="E94" s="1859"/>
      <c r="F94" s="1859"/>
      <c r="G94" s="1859"/>
      <c r="H94" s="1859"/>
      <c r="O94" s="85"/>
      <c r="P94" s="85"/>
    </row>
    <row r="95" spans="1:16" s="1239" customFormat="1">
      <c r="A95" s="2132"/>
      <c r="D95" s="1859"/>
      <c r="E95" s="1859"/>
      <c r="F95" s="1859"/>
      <c r="G95" s="1859"/>
      <c r="H95" s="1859"/>
      <c r="O95" s="85"/>
      <c r="P95" s="85"/>
    </row>
    <row r="96" spans="1:16" s="1239" customFormat="1">
      <c r="A96" s="2132"/>
      <c r="D96" s="1859"/>
      <c r="E96" s="1859"/>
      <c r="F96" s="1859"/>
      <c r="G96" s="1859"/>
      <c r="H96" s="1859"/>
      <c r="O96" s="85"/>
      <c r="P96" s="85"/>
    </row>
    <row r="97" spans="1:16" s="1239" customFormat="1">
      <c r="A97" s="2132"/>
      <c r="D97" s="1859"/>
      <c r="E97" s="1859"/>
      <c r="F97" s="1859"/>
      <c r="G97" s="1859"/>
      <c r="H97" s="1859"/>
      <c r="O97" s="85"/>
      <c r="P97" s="85"/>
    </row>
    <row r="98" spans="1:16" s="1239" customFormat="1">
      <c r="A98" s="2132"/>
      <c r="D98" s="1859"/>
      <c r="E98" s="1859"/>
      <c r="F98" s="1859"/>
      <c r="G98" s="1859"/>
      <c r="H98" s="1859"/>
      <c r="O98" s="85"/>
      <c r="P98" s="85"/>
    </row>
    <row r="99" spans="1:16" s="1239" customFormat="1">
      <c r="A99" s="2132"/>
      <c r="D99" s="1859"/>
      <c r="E99" s="1859"/>
      <c r="F99" s="1859"/>
      <c r="G99" s="1859"/>
      <c r="H99" s="1859"/>
      <c r="O99" s="85"/>
      <c r="P99" s="85"/>
    </row>
    <row r="100" spans="1:16" s="1239" customFormat="1">
      <c r="A100" s="2132"/>
      <c r="D100" s="1859"/>
      <c r="E100" s="1859"/>
      <c r="F100" s="1859"/>
      <c r="G100" s="1859"/>
      <c r="H100" s="1859"/>
      <c r="O100" s="85"/>
      <c r="P100" s="85"/>
    </row>
    <row r="101" spans="1:16" s="1239" customFormat="1">
      <c r="A101" s="2132"/>
      <c r="D101" s="1859"/>
      <c r="E101" s="1859"/>
      <c r="F101" s="1859"/>
      <c r="G101" s="1859"/>
      <c r="H101" s="1859"/>
      <c r="O101" s="85"/>
      <c r="P101" s="85"/>
    </row>
    <row r="102" spans="1:16" s="1239" customFormat="1">
      <c r="A102" s="2132"/>
      <c r="D102" s="1859"/>
      <c r="E102" s="1859"/>
      <c r="F102" s="1859"/>
      <c r="G102" s="1859"/>
      <c r="H102" s="1859"/>
      <c r="O102" s="85"/>
      <c r="P102" s="85"/>
    </row>
    <row r="103" spans="1:16" s="1239" customFormat="1">
      <c r="A103" s="2132"/>
      <c r="D103" s="1859"/>
      <c r="E103" s="1859"/>
      <c r="F103" s="1859"/>
      <c r="G103" s="1859"/>
      <c r="H103" s="1859"/>
      <c r="O103" s="85"/>
      <c r="P103" s="85"/>
    </row>
    <row r="104" spans="1:16" s="1239" customFormat="1">
      <c r="A104" s="2132"/>
      <c r="D104" s="1859"/>
      <c r="E104" s="1859"/>
      <c r="F104" s="1859"/>
      <c r="G104" s="1859"/>
      <c r="H104" s="1859"/>
      <c r="O104" s="85"/>
      <c r="P104" s="85"/>
    </row>
    <row r="105" spans="1:16" s="1239" customFormat="1">
      <c r="A105" s="2132"/>
      <c r="D105" s="1859"/>
      <c r="E105" s="1859"/>
      <c r="F105" s="1859"/>
      <c r="G105" s="1859"/>
      <c r="H105" s="1859"/>
      <c r="O105" s="85"/>
      <c r="P105" s="85"/>
    </row>
    <row r="106" spans="1:16" s="1239" customFormat="1">
      <c r="A106" s="2132"/>
      <c r="D106" s="1859"/>
      <c r="E106" s="1859"/>
      <c r="F106" s="1859"/>
      <c r="G106" s="1859"/>
      <c r="H106" s="1859"/>
      <c r="O106" s="85"/>
      <c r="P106" s="85"/>
    </row>
    <row r="107" spans="1:16" s="1239" customFormat="1">
      <c r="A107" s="2132"/>
      <c r="D107" s="1859"/>
      <c r="E107" s="1859"/>
      <c r="F107" s="1859"/>
      <c r="G107" s="1859"/>
      <c r="H107" s="1859"/>
      <c r="O107" s="85"/>
      <c r="P107" s="85"/>
    </row>
    <row r="108" spans="1:16" s="1239" customFormat="1">
      <c r="A108" s="2132"/>
      <c r="D108" s="1859"/>
      <c r="E108" s="1859"/>
      <c r="F108" s="1859"/>
      <c r="G108" s="1859"/>
      <c r="H108" s="1859"/>
      <c r="O108" s="85"/>
      <c r="P108" s="85"/>
    </row>
    <row r="109" spans="1:16" s="1239" customFormat="1">
      <c r="A109" s="2132"/>
      <c r="D109" s="1859"/>
      <c r="E109" s="1859"/>
      <c r="F109" s="1859"/>
      <c r="G109" s="1859"/>
      <c r="H109" s="1859"/>
      <c r="O109" s="85"/>
      <c r="P109" s="85"/>
    </row>
    <row r="110" spans="1:16" s="1239" customFormat="1">
      <c r="A110" s="2132"/>
      <c r="D110" s="1859"/>
      <c r="E110" s="1859"/>
      <c r="F110" s="1859"/>
      <c r="G110" s="1859"/>
      <c r="H110" s="1859"/>
      <c r="O110" s="85"/>
      <c r="P110" s="85"/>
    </row>
    <row r="111" spans="1:16" s="1239" customFormat="1">
      <c r="A111" s="2132"/>
      <c r="D111" s="1859"/>
      <c r="E111" s="1859"/>
      <c r="F111" s="1859"/>
      <c r="G111" s="1859"/>
      <c r="H111" s="1859"/>
      <c r="O111" s="85"/>
      <c r="P111" s="85"/>
    </row>
    <row r="112" spans="1:16" s="1239" customFormat="1">
      <c r="A112" s="2132"/>
      <c r="D112" s="1859"/>
      <c r="E112" s="1859"/>
      <c r="F112" s="1859"/>
      <c r="G112" s="1859"/>
      <c r="H112" s="1859"/>
      <c r="O112" s="85"/>
      <c r="P112" s="85"/>
    </row>
    <row r="113" spans="1:16" s="1239" customFormat="1">
      <c r="A113" s="2132"/>
      <c r="D113" s="1859"/>
      <c r="E113" s="1859"/>
      <c r="F113" s="1859"/>
      <c r="G113" s="1859"/>
      <c r="H113" s="1859"/>
      <c r="O113" s="85"/>
      <c r="P113" s="85"/>
    </row>
    <row r="114" spans="1:16" s="1239" customFormat="1">
      <c r="A114" s="2132"/>
      <c r="D114" s="1859"/>
      <c r="E114" s="1859"/>
      <c r="F114" s="1859"/>
      <c r="G114" s="1859"/>
      <c r="H114" s="1859"/>
      <c r="O114" s="85"/>
      <c r="P114" s="85"/>
    </row>
    <row r="115" spans="1:16" s="1239" customFormat="1">
      <c r="A115" s="2132"/>
      <c r="D115" s="1859"/>
      <c r="E115" s="1859"/>
      <c r="F115" s="1859"/>
      <c r="G115" s="1859"/>
      <c r="H115" s="1859"/>
      <c r="O115" s="85"/>
      <c r="P115" s="85"/>
    </row>
    <row r="116" spans="1:16" s="1239" customFormat="1">
      <c r="A116" s="2132"/>
      <c r="D116" s="1859"/>
      <c r="E116" s="1859"/>
      <c r="F116" s="1859"/>
      <c r="G116" s="1859"/>
      <c r="H116" s="1859"/>
      <c r="O116" s="85"/>
      <c r="P116" s="85"/>
    </row>
    <row r="117" spans="1:16" s="1239" customFormat="1">
      <c r="A117" s="2132"/>
      <c r="D117" s="1859"/>
      <c r="E117" s="1859"/>
      <c r="F117" s="1859"/>
      <c r="G117" s="1859"/>
      <c r="H117" s="1859"/>
      <c r="O117" s="85"/>
      <c r="P117" s="85"/>
    </row>
    <row r="118" spans="1:16" s="1239" customFormat="1">
      <c r="A118" s="2132"/>
      <c r="D118" s="1859"/>
      <c r="E118" s="1859"/>
      <c r="F118" s="1859"/>
      <c r="G118" s="1859"/>
      <c r="H118" s="1859"/>
      <c r="O118" s="85"/>
      <c r="P118" s="85"/>
    </row>
    <row r="119" spans="1:16" s="1239" customFormat="1">
      <c r="A119" s="2132"/>
      <c r="D119" s="1859"/>
      <c r="E119" s="1859"/>
      <c r="F119" s="1859"/>
      <c r="G119" s="1859"/>
      <c r="H119" s="1859"/>
      <c r="O119" s="85"/>
      <c r="P119" s="85"/>
    </row>
    <row r="120" spans="1:16" s="1239" customFormat="1">
      <c r="A120" s="2132"/>
      <c r="D120" s="1859"/>
      <c r="E120" s="1859"/>
      <c r="F120" s="1859"/>
      <c r="G120" s="1859"/>
      <c r="H120" s="1859"/>
      <c r="O120" s="85"/>
      <c r="P120" s="85"/>
    </row>
    <row r="121" spans="1:16" s="1239" customFormat="1">
      <c r="A121" s="2132"/>
      <c r="D121" s="1859"/>
      <c r="E121" s="1859"/>
      <c r="F121" s="1859"/>
      <c r="G121" s="1859"/>
      <c r="H121" s="1859"/>
      <c r="O121" s="85"/>
      <c r="P121" s="85"/>
    </row>
    <row r="122" spans="1:16" s="1239" customFormat="1">
      <c r="A122" s="2132"/>
      <c r="D122" s="1859"/>
      <c r="E122" s="1859"/>
      <c r="F122" s="1859"/>
      <c r="G122" s="1859"/>
      <c r="H122" s="1859"/>
      <c r="O122" s="85"/>
      <c r="P122" s="85"/>
    </row>
    <row r="123" spans="1:16" s="1239" customFormat="1">
      <c r="A123" s="2132"/>
      <c r="D123" s="1859"/>
      <c r="E123" s="1859"/>
      <c r="F123" s="1859"/>
      <c r="G123" s="1859"/>
      <c r="H123" s="1859"/>
      <c r="O123" s="85"/>
      <c r="P123" s="85"/>
    </row>
    <row r="124" spans="1:16" s="1239" customFormat="1">
      <c r="A124" s="2132"/>
      <c r="D124" s="1859"/>
      <c r="E124" s="1859"/>
      <c r="F124" s="1859"/>
      <c r="G124" s="1859"/>
      <c r="H124" s="1859"/>
      <c r="O124" s="85"/>
      <c r="P124" s="85"/>
    </row>
    <row r="125" spans="1:16" s="1239" customFormat="1">
      <c r="A125" s="2132"/>
      <c r="D125" s="1859"/>
      <c r="E125" s="1859"/>
      <c r="F125" s="1859"/>
      <c r="G125" s="1859"/>
      <c r="H125" s="1859"/>
      <c r="O125" s="85"/>
      <c r="P125" s="85"/>
    </row>
    <row r="126" spans="1:16" s="1239" customFormat="1">
      <c r="A126" s="2132"/>
      <c r="D126" s="1859"/>
      <c r="E126" s="1859"/>
      <c r="F126" s="1859"/>
      <c r="G126" s="1859"/>
      <c r="H126" s="1859"/>
      <c r="O126" s="85"/>
      <c r="P126" s="85"/>
    </row>
    <row r="127" spans="1:16" s="1239" customFormat="1">
      <c r="A127" s="2132"/>
      <c r="D127" s="1859"/>
      <c r="E127" s="1859"/>
      <c r="F127" s="1859"/>
      <c r="G127" s="1859"/>
      <c r="H127" s="1859"/>
      <c r="O127" s="85"/>
      <c r="P127" s="85"/>
    </row>
    <row r="128" spans="1:16" s="1239" customFormat="1">
      <c r="A128" s="2132"/>
      <c r="D128" s="1859"/>
      <c r="E128" s="1859"/>
      <c r="F128" s="1859"/>
      <c r="G128" s="1859"/>
      <c r="H128" s="1859"/>
      <c r="O128" s="85"/>
      <c r="P128" s="85"/>
    </row>
    <row r="129" spans="1:16" s="1239" customFormat="1">
      <c r="A129" s="2132"/>
      <c r="D129" s="1859"/>
      <c r="E129" s="1859"/>
      <c r="F129" s="1859"/>
      <c r="G129" s="1859"/>
      <c r="H129" s="1859"/>
      <c r="O129" s="85"/>
      <c r="P129" s="85"/>
    </row>
    <row r="130" spans="1:16" s="1239" customFormat="1">
      <c r="A130" s="2132"/>
      <c r="D130" s="1859"/>
      <c r="E130" s="1859"/>
      <c r="F130" s="1859"/>
      <c r="G130" s="1859"/>
      <c r="H130" s="1859"/>
      <c r="O130" s="85"/>
      <c r="P130" s="85"/>
    </row>
    <row r="131" spans="1:16" s="1239" customFormat="1">
      <c r="A131" s="2132"/>
      <c r="D131" s="1859"/>
      <c r="E131" s="1859"/>
      <c r="F131" s="1859"/>
      <c r="G131" s="1859"/>
      <c r="H131" s="1859"/>
      <c r="O131" s="85"/>
      <c r="P131" s="85"/>
    </row>
    <row r="132" spans="1:16" s="1239" customFormat="1">
      <c r="A132" s="2132"/>
      <c r="D132" s="1859"/>
      <c r="E132" s="1859"/>
      <c r="F132" s="1859"/>
      <c r="G132" s="1859"/>
      <c r="H132" s="1859"/>
      <c r="O132" s="85"/>
      <c r="P132" s="85"/>
    </row>
    <row r="133" spans="1:16" s="1239" customFormat="1">
      <c r="A133" s="2132"/>
      <c r="D133" s="1859"/>
      <c r="E133" s="1859"/>
      <c r="F133" s="1859"/>
      <c r="G133" s="1859"/>
      <c r="H133" s="1859"/>
      <c r="O133" s="85"/>
      <c r="P133" s="85"/>
    </row>
    <row r="134" spans="1:16" s="1239" customFormat="1">
      <c r="A134" s="2132"/>
      <c r="D134" s="1859"/>
      <c r="E134" s="1859"/>
      <c r="F134" s="1859"/>
      <c r="G134" s="1859"/>
      <c r="H134" s="1859"/>
      <c r="O134" s="85"/>
      <c r="P134" s="85"/>
    </row>
    <row r="135" spans="1:16" s="1239" customFormat="1">
      <c r="A135" s="2132"/>
      <c r="D135" s="1859"/>
      <c r="E135" s="1859"/>
      <c r="F135" s="1859"/>
      <c r="G135" s="1859"/>
      <c r="H135" s="1859"/>
      <c r="O135" s="85"/>
      <c r="P135" s="85"/>
    </row>
    <row r="136" spans="1:16" s="1239" customFormat="1">
      <c r="A136" s="2132"/>
      <c r="D136" s="1859"/>
      <c r="E136" s="1859"/>
      <c r="F136" s="1859"/>
      <c r="G136" s="1859"/>
      <c r="H136" s="1859"/>
      <c r="O136" s="85"/>
      <c r="P136" s="85"/>
    </row>
    <row r="137" spans="1:16" s="1239" customFormat="1">
      <c r="A137" s="2132"/>
      <c r="D137" s="1859"/>
      <c r="E137" s="1859"/>
      <c r="F137" s="1859"/>
      <c r="G137" s="1859"/>
      <c r="H137" s="1859"/>
      <c r="O137" s="85"/>
      <c r="P137" s="85"/>
    </row>
    <row r="138" spans="1:16" s="1239" customFormat="1">
      <c r="A138" s="2132"/>
      <c r="D138" s="1859"/>
      <c r="E138" s="1859"/>
      <c r="F138" s="1859"/>
      <c r="G138" s="1859"/>
      <c r="H138" s="1859"/>
      <c r="O138" s="85"/>
      <c r="P138" s="85"/>
    </row>
    <row r="139" spans="1:16" s="1239" customFormat="1">
      <c r="A139" s="2132"/>
      <c r="D139" s="1859"/>
      <c r="E139" s="1859"/>
      <c r="F139" s="1859"/>
      <c r="G139" s="1859"/>
      <c r="H139" s="1859"/>
      <c r="O139" s="85"/>
      <c r="P139" s="85"/>
    </row>
    <row r="140" spans="1:16" s="1239" customFormat="1">
      <c r="A140" s="2132"/>
      <c r="D140" s="1859"/>
      <c r="E140" s="1859"/>
      <c r="F140" s="1859"/>
      <c r="G140" s="1859"/>
      <c r="H140" s="1859"/>
      <c r="O140" s="85"/>
      <c r="P140" s="85"/>
    </row>
    <row r="141" spans="1:16" s="1239" customFormat="1">
      <c r="A141" s="2132"/>
      <c r="D141" s="1859"/>
      <c r="E141" s="1859"/>
      <c r="F141" s="1859"/>
      <c r="G141" s="1859"/>
      <c r="H141" s="1859"/>
      <c r="O141" s="85"/>
      <c r="P141" s="85"/>
    </row>
    <row r="142" spans="1:16" s="1239" customFormat="1">
      <c r="A142" s="2132"/>
      <c r="D142" s="1859"/>
      <c r="E142" s="1859"/>
      <c r="F142" s="1859"/>
      <c r="G142" s="1859"/>
      <c r="H142" s="1859"/>
      <c r="O142" s="85"/>
      <c r="P142" s="85"/>
    </row>
    <row r="143" spans="1:16" s="1239" customFormat="1">
      <c r="A143" s="2132"/>
      <c r="D143" s="1859"/>
      <c r="E143" s="1859"/>
      <c r="F143" s="1859"/>
      <c r="G143" s="1859"/>
      <c r="H143" s="1859"/>
      <c r="O143" s="85"/>
      <c r="P143" s="85"/>
    </row>
    <row r="144" spans="1:16" s="1239" customFormat="1">
      <c r="A144" s="2132"/>
      <c r="D144" s="1859"/>
      <c r="E144" s="1859"/>
      <c r="F144" s="1859"/>
      <c r="G144" s="1859"/>
      <c r="H144" s="1859"/>
      <c r="O144" s="85"/>
      <c r="P144" s="85"/>
    </row>
    <row r="145" spans="1:16" s="1239" customFormat="1">
      <c r="A145" s="2132"/>
      <c r="D145" s="1859"/>
      <c r="E145" s="1859"/>
      <c r="F145" s="1859"/>
      <c r="G145" s="1859"/>
      <c r="H145" s="1859"/>
      <c r="O145" s="85"/>
      <c r="P145" s="85"/>
    </row>
    <row r="146" spans="1:16" s="1239" customFormat="1">
      <c r="A146" s="2132"/>
      <c r="D146" s="1859"/>
      <c r="E146" s="1859"/>
      <c r="F146" s="1859"/>
      <c r="G146" s="1859"/>
      <c r="H146" s="1859"/>
      <c r="O146" s="85"/>
      <c r="P146" s="85"/>
    </row>
    <row r="147" spans="1:16" s="1239" customFormat="1">
      <c r="A147" s="2132"/>
      <c r="D147" s="1859"/>
      <c r="E147" s="1859"/>
      <c r="F147" s="1859"/>
      <c r="G147" s="1859"/>
      <c r="H147" s="1859"/>
      <c r="O147" s="85"/>
      <c r="P147" s="85"/>
    </row>
    <row r="148" spans="1:16" s="1239" customFormat="1">
      <c r="A148" s="2132"/>
      <c r="D148" s="1859"/>
      <c r="E148" s="1859"/>
      <c r="F148" s="1859"/>
      <c r="G148" s="1859"/>
      <c r="H148" s="1859"/>
      <c r="O148" s="85"/>
      <c r="P148" s="85"/>
    </row>
    <row r="149" spans="1:16" s="1239" customFormat="1">
      <c r="A149" s="2132"/>
      <c r="D149" s="1859"/>
      <c r="E149" s="1859"/>
      <c r="F149" s="1859"/>
      <c r="G149" s="1859"/>
      <c r="H149" s="1859"/>
      <c r="O149" s="85"/>
      <c r="P149" s="85"/>
    </row>
    <row r="150" spans="1:16" s="1239" customFormat="1">
      <c r="A150" s="2132"/>
      <c r="D150" s="1859"/>
      <c r="E150" s="1859"/>
      <c r="F150" s="1859"/>
      <c r="G150" s="1859"/>
      <c r="H150" s="1859"/>
      <c r="O150" s="85"/>
      <c r="P150" s="85"/>
    </row>
    <row r="151" spans="1:16" s="1239" customFormat="1">
      <c r="A151" s="2132"/>
      <c r="D151" s="1859"/>
      <c r="E151" s="1859"/>
      <c r="F151" s="1859"/>
      <c r="G151" s="1859"/>
      <c r="H151" s="1859"/>
      <c r="O151" s="85"/>
      <c r="P151" s="85"/>
    </row>
    <row r="152" spans="1:16" s="1239" customFormat="1">
      <c r="A152" s="2132"/>
      <c r="D152" s="1859"/>
      <c r="E152" s="1859"/>
      <c r="F152" s="1859"/>
      <c r="G152" s="1859"/>
      <c r="H152" s="1859"/>
      <c r="O152" s="85"/>
      <c r="P152" s="85"/>
    </row>
    <row r="153" spans="1:16" s="1239" customFormat="1">
      <c r="A153" s="2133"/>
      <c r="B153" s="2079"/>
      <c r="D153" s="1859"/>
      <c r="E153" s="1859"/>
      <c r="F153" s="1859"/>
      <c r="G153" s="1859"/>
      <c r="H153" s="1859"/>
      <c r="O153" s="85"/>
      <c r="P153" s="85"/>
    </row>
    <row r="154" spans="1:16" s="1239" customFormat="1">
      <c r="A154" s="2133"/>
      <c r="B154" s="2079"/>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A54:B54"/>
    <mergeCell ref="A60:E6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1" sqref="E11"/>
    </sheetView>
  </sheetViews>
  <sheetFormatPr defaultRowHeight="14.25"/>
  <cols>
    <col min="1" max="1" width="9.5" style="2148" customWidth="1"/>
    <col min="2" max="2" width="24.5" style="2196" customWidth="1"/>
    <col min="3" max="3" width="24.5" style="2195" customWidth="1"/>
    <col min="4" max="4" width="2.625" style="2195" customWidth="1"/>
    <col min="5" max="5" width="5.875" style="2195" customWidth="1"/>
    <col min="6" max="6" width="27" style="2196" customWidth="1"/>
    <col min="7" max="7" width="27" style="2197" customWidth="1"/>
    <col min="8" max="8" width="11.875" style="2173" customWidth="1"/>
    <col min="9" max="9" width="16.75" style="2174" customWidth="1"/>
    <col min="10" max="10" width="2.625" style="2173" customWidth="1"/>
    <col min="11" max="11" width="11.875" style="2173" customWidth="1"/>
    <col min="12" max="12" width="16.75" style="2174" customWidth="1"/>
    <col min="13" max="13" width="2.625" style="2173" customWidth="1"/>
    <col min="14" max="14" width="11.875" style="2173" customWidth="1"/>
    <col min="15" max="15" width="16.75" style="2174" customWidth="1"/>
    <col min="16" max="16" width="2.625" style="2173" customWidth="1"/>
    <col min="17" max="17" width="11.875" style="2173" customWidth="1"/>
    <col min="18" max="18" width="16.75" style="2175" customWidth="1"/>
    <col min="19" max="29" width="9" style="2147"/>
    <col min="30" max="16384" width="9" style="2148"/>
  </cols>
  <sheetData>
    <row r="1" spans="1:29" s="2140" customFormat="1" ht="19.5" thickBot="1">
      <c r="A1" s="2801" t="s">
        <v>1738</v>
      </c>
      <c r="B1" s="2802"/>
      <c r="C1" s="2802"/>
      <c r="D1" s="2802"/>
      <c r="E1" s="2802"/>
      <c r="F1" s="2802"/>
      <c r="G1" s="2802"/>
      <c r="H1" s="2135"/>
      <c r="I1" s="2136"/>
      <c r="J1" s="2135"/>
      <c r="K1" s="2135"/>
      <c r="L1" s="2136"/>
      <c r="M1" s="2135"/>
      <c r="N1" s="2135"/>
      <c r="O1" s="2136"/>
      <c r="P1" s="2135"/>
      <c r="Q1" s="2137"/>
      <c r="R1" s="2138"/>
      <c r="S1" s="2139"/>
      <c r="T1" s="2139"/>
      <c r="U1" s="2139"/>
      <c r="V1" s="2139"/>
      <c r="W1" s="2139"/>
      <c r="X1" s="2139"/>
      <c r="Y1" s="2139"/>
      <c r="Z1" s="2139"/>
      <c r="AA1" s="2139"/>
      <c r="AB1" s="2139"/>
      <c r="AC1" s="2139"/>
    </row>
    <row r="2" spans="1:29" ht="15.75" thickBot="1">
      <c r="A2" s="2141"/>
      <c r="B2" s="2142"/>
      <c r="C2" s="2143" t="s">
        <v>1739</v>
      </c>
      <c r="D2" s="2144"/>
      <c r="E2" s="2145"/>
      <c r="F2" s="2146"/>
      <c r="G2" s="2143" t="s">
        <v>1740</v>
      </c>
      <c r="H2" s="2147"/>
      <c r="I2" s="2147"/>
      <c r="J2" s="2147"/>
      <c r="K2" s="2147"/>
      <c r="L2" s="2147"/>
      <c r="M2" s="2147"/>
      <c r="N2" s="2147"/>
      <c r="O2" s="2147"/>
      <c r="P2" s="2147"/>
      <c r="Q2" s="2147"/>
      <c r="R2" s="2147"/>
    </row>
    <row r="3" spans="1:29" ht="54">
      <c r="A3" s="396" t="s">
        <v>1741</v>
      </c>
      <c r="B3" s="2149" t="s">
        <v>1742</v>
      </c>
      <c r="C3" s="3094" t="s">
        <v>2861</v>
      </c>
      <c r="D3" s="2150"/>
      <c r="E3" s="412" t="s">
        <v>1741</v>
      </c>
      <c r="F3" s="2151" t="s">
        <v>1743</v>
      </c>
      <c r="G3" s="2152" t="s">
        <v>1744</v>
      </c>
      <c r="H3" s="2147"/>
      <c r="I3" s="2147"/>
      <c r="J3" s="2147"/>
      <c r="K3" s="2147"/>
      <c r="L3" s="2147"/>
      <c r="M3" s="2147"/>
      <c r="N3" s="2147"/>
      <c r="O3" s="2147"/>
      <c r="P3" s="2147"/>
      <c r="Q3" s="2147"/>
      <c r="R3" s="2147"/>
    </row>
    <row r="4" spans="1:29" ht="54">
      <c r="A4" s="412"/>
      <c r="B4" s="1893" t="s">
        <v>1745</v>
      </c>
      <c r="C4" s="3095" t="s">
        <v>2862</v>
      </c>
      <c r="D4" s="2150"/>
      <c r="E4" s="2153"/>
      <c r="F4" s="2154" t="s">
        <v>1746</v>
      </c>
      <c r="G4" s="2155" t="s">
        <v>1747</v>
      </c>
      <c r="H4" s="2147"/>
      <c r="I4" s="2147"/>
      <c r="J4" s="2147"/>
      <c r="K4" s="2147"/>
      <c r="L4" s="2147"/>
      <c r="M4" s="2147"/>
      <c r="N4" s="2147"/>
      <c r="O4" s="2147"/>
      <c r="P4" s="2147"/>
      <c r="Q4" s="2147"/>
      <c r="R4" s="2147"/>
    </row>
    <row r="5" spans="1:29" ht="40.5" hidden="1">
      <c r="A5" s="412"/>
      <c r="B5" s="1893" t="s">
        <v>1748</v>
      </c>
      <c r="C5" s="3095" t="s">
        <v>2858</v>
      </c>
      <c r="D5" s="2150"/>
      <c r="E5" s="2153"/>
      <c r="F5" s="1893" t="s">
        <v>1749</v>
      </c>
      <c r="G5" s="2155" t="s">
        <v>1750</v>
      </c>
      <c r="H5" s="2147"/>
      <c r="I5" s="2147"/>
      <c r="J5" s="2147"/>
      <c r="K5" s="2147"/>
      <c r="L5" s="2147"/>
      <c r="M5" s="2147"/>
      <c r="N5" s="2147"/>
      <c r="O5" s="2147"/>
      <c r="P5" s="2147"/>
      <c r="Q5" s="2147"/>
      <c r="R5" s="2147"/>
    </row>
    <row r="6" spans="1:29" ht="94.5">
      <c r="A6" s="412"/>
      <c r="B6" s="1893" t="s">
        <v>1751</v>
      </c>
      <c r="C6" s="3096" t="s">
        <v>2863</v>
      </c>
      <c r="D6" s="2150"/>
      <c r="E6" s="2153"/>
      <c r="F6" s="1893" t="s">
        <v>1752</v>
      </c>
      <c r="G6" s="2155" t="s">
        <v>1753</v>
      </c>
      <c r="H6" s="2147"/>
      <c r="I6" s="2147"/>
      <c r="J6" s="2147"/>
      <c r="K6" s="2147"/>
      <c r="L6" s="2147"/>
      <c r="M6" s="2147"/>
      <c r="N6" s="2147"/>
      <c r="O6" s="2147"/>
      <c r="P6" s="2147"/>
      <c r="Q6" s="2147"/>
      <c r="R6" s="2147"/>
    </row>
    <row r="7" spans="1:29" ht="41.25" thickBot="1">
      <c r="A7" s="412"/>
      <c r="B7" s="1893" t="s">
        <v>1749</v>
      </c>
      <c r="C7" s="3096" t="s">
        <v>2859</v>
      </c>
      <c r="D7" s="2156"/>
      <c r="E7" s="2157"/>
      <c r="F7" s="2158" t="s">
        <v>1754</v>
      </c>
      <c r="G7" s="2159" t="s">
        <v>1755</v>
      </c>
      <c r="H7" s="2147"/>
      <c r="I7" s="2147"/>
      <c r="J7" s="2147"/>
      <c r="K7" s="2147"/>
      <c r="L7" s="2147"/>
      <c r="M7" s="2147"/>
      <c r="N7" s="2147"/>
      <c r="O7" s="2147"/>
      <c r="P7" s="2147"/>
      <c r="Q7" s="2147"/>
      <c r="R7" s="2147"/>
    </row>
    <row r="8" spans="1:29" ht="15">
      <c r="A8" s="412"/>
      <c r="B8" s="1893" t="s">
        <v>1752</v>
      </c>
      <c r="C8" s="3096" t="s">
        <v>2860</v>
      </c>
      <c r="D8" s="2156"/>
      <c r="E8" s="2156"/>
      <c r="F8" s="1248"/>
      <c r="G8" s="1248"/>
      <c r="H8" s="2147"/>
      <c r="I8" s="2147"/>
      <c r="J8" s="2147"/>
      <c r="K8" s="2147"/>
      <c r="L8" s="2147"/>
      <c r="M8" s="2147"/>
      <c r="N8" s="2147"/>
      <c r="O8" s="2147"/>
      <c r="P8" s="2147"/>
      <c r="Q8" s="2147"/>
      <c r="R8" s="2147"/>
    </row>
    <row r="9" spans="1:29" ht="108">
      <c r="A9" s="412"/>
      <c r="B9" s="1893" t="s">
        <v>1756</v>
      </c>
      <c r="C9" s="3095" t="s">
        <v>2864</v>
      </c>
      <c r="D9" s="2150"/>
      <c r="E9" s="2156"/>
      <c r="F9" s="1248"/>
      <c r="G9" s="1248"/>
      <c r="H9" s="2147"/>
      <c r="I9" s="2147"/>
      <c r="J9" s="2147"/>
      <c r="K9" s="2147"/>
      <c r="L9" s="2147"/>
      <c r="M9" s="2147"/>
      <c r="N9" s="2147"/>
      <c r="O9" s="2147"/>
      <c r="P9" s="2147"/>
      <c r="Q9" s="2147"/>
      <c r="R9" s="2147"/>
    </row>
    <row r="10" spans="1:29" s="35" customFormat="1" ht="15.75" thickBot="1">
      <c r="A10" s="2160"/>
      <c r="B10" s="2161" t="s">
        <v>1757</v>
      </c>
      <c r="C10" s="3097" t="s">
        <v>2865</v>
      </c>
      <c r="D10" s="2150"/>
      <c r="E10" s="2150"/>
      <c r="F10" s="1248"/>
      <c r="G10" s="1248"/>
      <c r="H10" s="2162"/>
      <c r="I10" s="2163"/>
      <c r="J10" s="2164"/>
      <c r="K10" s="2162"/>
      <c r="L10" s="2163"/>
      <c r="M10" s="2164"/>
      <c r="N10" s="2162"/>
      <c r="O10" s="2163"/>
      <c r="P10" s="2164"/>
      <c r="Q10" s="2162"/>
      <c r="R10" s="2163"/>
      <c r="S10" s="2147"/>
      <c r="T10" s="2147"/>
      <c r="U10" s="2147"/>
      <c r="V10" s="2147"/>
      <c r="W10" s="2147"/>
      <c r="X10" s="2147"/>
      <c r="Y10" s="2147"/>
      <c r="Z10" s="2147"/>
      <c r="AA10" s="2147"/>
      <c r="AB10" s="2147"/>
      <c r="AC10" s="2147"/>
    </row>
    <row r="11" spans="1:29" s="35" customFormat="1" ht="15">
      <c r="A11" s="2165"/>
      <c r="B11" s="2156"/>
      <c r="C11" s="2150"/>
      <c r="D11" s="2150"/>
      <c r="E11" s="2150"/>
      <c r="F11" s="2156"/>
      <c r="G11" s="1268"/>
      <c r="H11" s="2162"/>
      <c r="I11" s="2163"/>
      <c r="J11" s="2164"/>
      <c r="K11" s="2162"/>
      <c r="L11" s="2163"/>
      <c r="M11" s="2164"/>
      <c r="N11" s="2162"/>
      <c r="O11" s="2163"/>
      <c r="P11" s="2164"/>
      <c r="Q11" s="2162"/>
      <c r="R11" s="2163"/>
      <c r="S11" s="2147"/>
      <c r="T11" s="2147"/>
      <c r="U11" s="2147"/>
      <c r="V11" s="2147"/>
      <c r="W11" s="2147"/>
      <c r="X11" s="2147"/>
      <c r="Y11" s="2147"/>
      <c r="Z11" s="2147"/>
      <c r="AA11" s="2147"/>
      <c r="AB11" s="2147"/>
      <c r="AC11" s="2147"/>
    </row>
    <row r="12" spans="1:29" s="2140" customFormat="1" ht="18">
      <c r="A12" s="2165"/>
      <c r="B12" s="2156"/>
      <c r="C12" s="2150"/>
      <c r="D12" s="2166"/>
      <c r="E12" s="2150"/>
      <c r="F12" s="2156"/>
      <c r="G12" s="1268"/>
      <c r="H12" s="2167"/>
      <c r="I12" s="2168"/>
      <c r="J12" s="2167"/>
      <c r="K12" s="2167"/>
      <c r="L12" s="2169"/>
      <c r="M12" s="2167"/>
      <c r="N12" s="2170"/>
      <c r="O12" s="2171"/>
      <c r="P12" s="2170"/>
      <c r="Q12" s="2170"/>
      <c r="R12" s="2138"/>
      <c r="S12" s="2139"/>
      <c r="T12" s="2139"/>
      <c r="U12" s="2139"/>
      <c r="V12" s="2139"/>
      <c r="W12" s="2139"/>
      <c r="X12" s="2139"/>
      <c r="Y12" s="2139"/>
      <c r="Z12" s="2139"/>
      <c r="AA12" s="2139"/>
      <c r="AB12" s="2139"/>
      <c r="AC12" s="2139"/>
    </row>
    <row r="13" spans="1:29" ht="19.5" thickBot="1">
      <c r="A13" s="2172" t="s">
        <v>1758</v>
      </c>
      <c r="B13" s="2166"/>
      <c r="C13" s="2166"/>
      <c r="D13" s="2144"/>
      <c r="E13" s="2166"/>
      <c r="F13" s="2166"/>
      <c r="G13" s="2166"/>
    </row>
    <row r="14" spans="1:29" ht="15.75" thickBot="1">
      <c r="A14" s="2176"/>
      <c r="B14" s="2177"/>
      <c r="C14" s="2178" t="s">
        <v>1759</v>
      </c>
      <c r="D14" s="2150"/>
      <c r="E14" s="2179"/>
      <c r="F14" s="2179"/>
      <c r="G14" s="2143" t="s">
        <v>1760</v>
      </c>
    </row>
    <row r="15" spans="1:29" ht="57">
      <c r="A15" s="25" t="s">
        <v>1761</v>
      </c>
      <c r="B15" s="2180" t="s">
        <v>1742</v>
      </c>
      <c r="C15" s="2181" t="str">
        <f>C3</f>
        <v>周边有新街口西里、玉桃园、如意里、冠英园西区等居住社区，综合评价居住社区成熟度好。</v>
      </c>
      <c r="D15" s="2150"/>
      <c r="E15" s="2182" t="s">
        <v>1762</v>
      </c>
      <c r="F15" s="2180" t="s">
        <v>1763</v>
      </c>
      <c r="G15" s="51" t="str">
        <f>G3</f>
        <v>估价对象位于XX开发区，园区建设成熟度XX，产业集聚程度XX</v>
      </c>
    </row>
    <row r="16" spans="1:29" ht="42.75">
      <c r="A16" s="630"/>
      <c r="B16" s="1495" t="s">
        <v>1745</v>
      </c>
      <c r="C16" s="2183" t="str">
        <f>C4</f>
        <v>估价对象位于新街口商圈，周边商业氛围成熟，人流量大，商业繁华度较好</v>
      </c>
      <c r="D16" s="2150"/>
      <c r="E16" s="2184"/>
      <c r="F16" s="2185" t="s">
        <v>1746</v>
      </c>
      <c r="G16" s="52" t="str">
        <f>G4</f>
        <v>估价对象周边道路状况、公共交通通达情况、停车便捷程度，综合评价交通便捷度较好</v>
      </c>
    </row>
    <row r="17" spans="1:18" ht="42.75">
      <c r="A17" s="630"/>
      <c r="B17" s="1495" t="s">
        <v>1748</v>
      </c>
      <c r="C17" s="2183" t="str">
        <f>C5</f>
        <v>估价对象位于XX商圈，周边办公楼项目较多，入驻率高，办公集聚程度较好</v>
      </c>
      <c r="D17" s="2156"/>
      <c r="E17" s="2184"/>
      <c r="F17" s="2185" t="s">
        <v>1764</v>
      </c>
      <c r="G17" s="2186"/>
    </row>
    <row r="18" spans="1:18" ht="57">
      <c r="A18" s="630"/>
      <c r="B18" s="2185" t="s">
        <v>1751</v>
      </c>
      <c r="C18" s="52" t="str">
        <f>C6</f>
        <v>估价对象紧邻城市支道路——新街口四条，有22路、47路、86路、409路等多条公交线路及地铁2号线（积水潭站）、地铁6号线（新街口站)通过，交通便捷度较好。</v>
      </c>
      <c r="D18" s="2156"/>
      <c r="E18" s="2184"/>
      <c r="F18" s="2185" t="s">
        <v>1754</v>
      </c>
      <c r="G18" s="52" t="str">
        <f>G7</f>
        <v>该园区内是否有污染型企业，绿化情况，卫生条件，整体环境状况判断</v>
      </c>
    </row>
    <row r="19" spans="1:18" ht="28.5">
      <c r="A19" s="630"/>
      <c r="B19" s="2185" t="s">
        <v>1765</v>
      </c>
      <c r="C19" s="2186"/>
      <c r="D19" s="2150"/>
      <c r="E19" s="2184"/>
      <c r="F19" s="1893" t="s">
        <v>1749</v>
      </c>
      <c r="G19" s="52" t="str">
        <f>G5</f>
        <v>估价对象所在区域公共配套设施齐备情况</v>
      </c>
    </row>
    <row r="20" spans="1:18" ht="28.5">
      <c r="A20" s="630"/>
      <c r="B20" s="2185" t="s">
        <v>1766</v>
      </c>
      <c r="C20" s="2183" t="str">
        <f>C9</f>
        <v>自然环境：什刹海公园、官园公园、护城河；人文环境：西城区青少年儿童图书馆、西城区图书馆（总馆）、恭王府、北京古代钱币博物馆、北京工艺美术博物馆；综合评价环境状况好。</v>
      </c>
      <c r="D20" s="2156"/>
      <c r="E20" s="2184"/>
      <c r="F20" s="1893" t="s">
        <v>1767</v>
      </c>
      <c r="G20" s="52" t="str">
        <f>G6</f>
        <v>估价对象所在区域基础设施水平</v>
      </c>
    </row>
    <row r="21" spans="1:18" ht="28.5">
      <c r="A21" s="630"/>
      <c r="B21" s="1893" t="s">
        <v>1749</v>
      </c>
      <c r="C21" s="52" t="str">
        <f>C7</f>
        <v>估价对象所在区域公共配套设施好</v>
      </c>
      <c r="D21" s="2150"/>
      <c r="E21" s="2184"/>
      <c r="F21" s="2185" t="s">
        <v>1768</v>
      </c>
      <c r="G21" s="2187"/>
    </row>
    <row r="22" spans="1:18" ht="28.5">
      <c r="A22" s="630"/>
      <c r="B22" s="1893" t="s">
        <v>1752</v>
      </c>
      <c r="C22" s="52" t="str">
        <f>C8</f>
        <v>七通一平</v>
      </c>
      <c r="D22" s="2150"/>
      <c r="E22" s="2184"/>
      <c r="F22" s="2185" t="s">
        <v>1757</v>
      </c>
      <c r="G22" s="2188"/>
    </row>
    <row r="23" spans="1:18" s="2147" customFormat="1" ht="15.75" thickBot="1">
      <c r="A23" s="630"/>
      <c r="B23" s="2185" t="s">
        <v>1768</v>
      </c>
      <c r="C23" s="2187"/>
      <c r="D23" s="2173"/>
      <c r="E23" s="2189"/>
      <c r="F23" s="2190" t="s">
        <v>1769</v>
      </c>
      <c r="G23" s="2191"/>
      <c r="H23" s="2173"/>
      <c r="I23" s="2174"/>
      <c r="J23" s="2173"/>
      <c r="K23" s="2173"/>
      <c r="L23" s="2174"/>
      <c r="M23" s="2173"/>
      <c r="N23" s="2173"/>
      <c r="O23" s="2174"/>
      <c r="P23" s="2173"/>
      <c r="Q23" s="2173"/>
      <c r="R23" s="2175"/>
    </row>
    <row r="24" spans="1:18" s="2147" customFormat="1" ht="15.75" thickBot="1">
      <c r="A24" s="2192"/>
      <c r="B24" s="2190" t="s">
        <v>1770</v>
      </c>
      <c r="C24" s="53" t="str">
        <f>C10</f>
        <v>城市支道路——新街口四条</v>
      </c>
      <c r="D24" s="2173"/>
      <c r="E24" s="2193"/>
      <c r="F24" s="2193"/>
      <c r="G24" s="2194"/>
      <c r="H24" s="2173"/>
      <c r="I24" s="2174"/>
      <c r="J24" s="2173"/>
      <c r="K24" s="2173"/>
      <c r="L24" s="2174"/>
      <c r="M24" s="2173"/>
      <c r="N24" s="2173"/>
      <c r="O24" s="2174"/>
      <c r="P24" s="2173"/>
      <c r="Q24" s="2173"/>
      <c r="R24" s="2175"/>
    </row>
    <row r="25" spans="1:18" s="2147" customFormat="1">
      <c r="B25" s="2173"/>
      <c r="C25" s="2173"/>
      <c r="D25" s="2173"/>
      <c r="H25" s="2173"/>
      <c r="I25" s="2174"/>
      <c r="J25" s="2173"/>
      <c r="K25" s="2173"/>
      <c r="L25" s="2174"/>
      <c r="M25" s="2173"/>
      <c r="N25" s="2173"/>
      <c r="O25" s="2174"/>
      <c r="P25" s="2173"/>
      <c r="Q25" s="2173"/>
      <c r="R25" s="2175"/>
    </row>
    <row r="26" spans="1:18" s="2147" customFormat="1">
      <c r="B26" s="2173"/>
      <c r="C26" s="2173"/>
      <c r="D26" s="2173"/>
      <c r="H26" s="2173"/>
      <c r="I26" s="2174"/>
      <c r="J26" s="2173"/>
      <c r="K26" s="2173"/>
      <c r="L26" s="2174"/>
      <c r="M26" s="2173"/>
      <c r="N26" s="2173"/>
      <c r="O26" s="2174"/>
      <c r="P26" s="2173"/>
      <c r="Q26" s="2173"/>
      <c r="R26" s="2175"/>
    </row>
    <row r="27" spans="1:18" s="2147" customFormat="1">
      <c r="B27" s="2173"/>
      <c r="C27" s="2173"/>
      <c r="D27" s="2173"/>
      <c r="H27" s="2173"/>
      <c r="I27" s="2174"/>
      <c r="J27" s="2173"/>
      <c r="K27" s="2173"/>
      <c r="L27" s="2174"/>
      <c r="M27" s="2173"/>
      <c r="N27" s="2173"/>
      <c r="O27" s="2174"/>
      <c r="P27" s="2173"/>
      <c r="Q27" s="2173"/>
      <c r="R27" s="2175"/>
    </row>
    <row r="28" spans="1:18" s="2147" customFormat="1">
      <c r="B28" s="2173"/>
      <c r="C28" s="2173"/>
      <c r="D28" s="2173"/>
      <c r="H28" s="2173"/>
      <c r="I28" s="2174"/>
      <c r="J28" s="2173"/>
      <c r="K28" s="2173"/>
      <c r="L28" s="2174"/>
      <c r="M28" s="2173"/>
      <c r="N28" s="2173"/>
      <c r="O28" s="2174"/>
      <c r="P28" s="2173"/>
      <c r="Q28" s="2173"/>
      <c r="R28" s="2175"/>
    </row>
    <row r="29" spans="1:18" s="2147" customFormat="1">
      <c r="B29" s="2173"/>
      <c r="C29" s="2173"/>
      <c r="D29" s="2173"/>
      <c r="H29" s="2173"/>
      <c r="I29" s="2174"/>
      <c r="J29" s="2173"/>
      <c r="K29" s="2173"/>
      <c r="L29" s="2174"/>
      <c r="M29" s="2173"/>
      <c r="N29" s="2173"/>
      <c r="O29" s="2174"/>
      <c r="P29" s="2173"/>
      <c r="Q29" s="2173"/>
      <c r="R29" s="2175"/>
    </row>
    <row r="30" spans="1:18" s="2147" customFormat="1">
      <c r="B30" s="2173"/>
      <c r="C30" s="2173"/>
      <c r="D30" s="2173"/>
      <c r="H30" s="2173"/>
      <c r="I30" s="2174"/>
      <c r="J30" s="2173"/>
      <c r="K30" s="2173"/>
      <c r="L30" s="2174"/>
      <c r="M30" s="2173"/>
      <c r="N30" s="2173"/>
      <c r="O30" s="2174"/>
      <c r="P30" s="2173"/>
      <c r="Q30" s="2173"/>
      <c r="R30" s="2175"/>
    </row>
    <row r="31" spans="1:18" s="2147" customFormat="1">
      <c r="B31" s="2173"/>
      <c r="C31" s="2173"/>
      <c r="D31" s="2173"/>
      <c r="H31" s="2173"/>
      <c r="I31" s="2174"/>
      <c r="J31" s="2173"/>
      <c r="K31" s="2173"/>
      <c r="L31" s="2174"/>
      <c r="M31" s="2173"/>
      <c r="N31" s="2173"/>
      <c r="O31" s="2174"/>
      <c r="P31" s="2173"/>
      <c r="Q31" s="2173"/>
      <c r="R31" s="2175"/>
    </row>
    <row r="32" spans="1:18" s="2147" customFormat="1">
      <c r="B32" s="2173"/>
      <c r="C32" s="2173"/>
      <c r="D32" s="2173"/>
      <c r="H32" s="2173"/>
      <c r="I32" s="2174"/>
      <c r="J32" s="2173"/>
      <c r="K32" s="2173"/>
      <c r="L32" s="2174"/>
      <c r="M32" s="2173"/>
      <c r="N32" s="2173"/>
      <c r="O32" s="2174"/>
      <c r="P32" s="2173"/>
      <c r="Q32" s="2173"/>
      <c r="R32" s="2175"/>
    </row>
    <row r="33" spans="2:18" s="2147" customFormat="1">
      <c r="B33" s="2173"/>
      <c r="C33" s="2173"/>
      <c r="D33" s="2173"/>
      <c r="H33" s="2173"/>
      <c r="I33" s="2174"/>
      <c r="J33" s="2173"/>
      <c r="K33" s="2173"/>
      <c r="L33" s="2174"/>
      <c r="M33" s="2173"/>
      <c r="N33" s="2173"/>
      <c r="O33" s="2174"/>
      <c r="P33" s="2173"/>
      <c r="Q33" s="2173"/>
      <c r="R33" s="2175"/>
    </row>
    <row r="34" spans="2:18" s="2147" customFormat="1">
      <c r="B34" s="2173"/>
      <c r="C34" s="2173"/>
      <c r="D34" s="2173"/>
      <c r="H34" s="2173"/>
      <c r="I34" s="2174"/>
      <c r="J34" s="2173"/>
      <c r="K34" s="2173"/>
      <c r="L34" s="2174"/>
      <c r="M34" s="2173"/>
      <c r="N34" s="2173"/>
      <c r="O34" s="2174"/>
      <c r="P34" s="2173"/>
      <c r="Q34" s="2173"/>
      <c r="R34" s="2175"/>
    </row>
    <row r="35" spans="2:18" s="2147" customFormat="1">
      <c r="B35" s="2173"/>
      <c r="C35" s="2173"/>
      <c r="D35" s="2173"/>
      <c r="H35" s="2173"/>
      <c r="I35" s="2174"/>
      <c r="J35" s="2173"/>
      <c r="K35" s="2173"/>
      <c r="L35" s="2174"/>
      <c r="M35" s="2173"/>
      <c r="N35" s="2173"/>
      <c r="O35" s="2174"/>
      <c r="P35" s="2173"/>
      <c r="Q35" s="2173"/>
      <c r="R35" s="2175"/>
    </row>
    <row r="36" spans="2:18" s="2147" customFormat="1">
      <c r="B36" s="2173"/>
      <c r="C36" s="2173"/>
      <c r="D36" s="2173"/>
      <c r="H36" s="2173"/>
      <c r="I36" s="2174"/>
      <c r="J36" s="2173"/>
      <c r="K36" s="2173"/>
      <c r="L36" s="2174"/>
      <c r="M36" s="2173"/>
      <c r="N36" s="2173"/>
      <c r="O36" s="2174"/>
      <c r="P36" s="2173"/>
      <c r="Q36" s="2173"/>
      <c r="R36" s="2175"/>
    </row>
    <row r="37" spans="2:18" s="2147" customFormat="1">
      <c r="B37" s="2173"/>
      <c r="C37" s="2173"/>
      <c r="D37" s="2173"/>
      <c r="H37" s="2173"/>
      <c r="I37" s="2174"/>
      <c r="J37" s="2173"/>
      <c r="K37" s="2173"/>
      <c r="L37" s="2174"/>
      <c r="M37" s="2173"/>
      <c r="N37" s="2173"/>
      <c r="O37" s="2174"/>
      <c r="P37" s="2173"/>
      <c r="Q37" s="2173"/>
      <c r="R37" s="2175"/>
    </row>
    <row r="38" spans="2:18" s="2147" customFormat="1">
      <c r="B38" s="2173"/>
      <c r="C38" s="2173"/>
      <c r="D38" s="2173"/>
      <c r="E38" s="2173"/>
      <c r="F38" s="2173"/>
      <c r="G38" s="2174"/>
      <c r="H38" s="2173"/>
      <c r="I38" s="2174"/>
      <c r="J38" s="2173"/>
      <c r="K38" s="2173"/>
      <c r="L38" s="2174"/>
      <c r="M38" s="2173"/>
      <c r="N38" s="2173"/>
      <c r="O38" s="2174"/>
      <c r="P38" s="2173"/>
      <c r="Q38" s="2173"/>
      <c r="R38" s="2175"/>
    </row>
    <row r="39" spans="2:18" s="2147" customFormat="1">
      <c r="B39" s="2173"/>
      <c r="C39" s="2173"/>
      <c r="D39" s="2173"/>
      <c r="E39" s="2173"/>
      <c r="F39" s="2173"/>
      <c r="G39" s="2174"/>
      <c r="H39" s="2173"/>
      <c r="I39" s="2174"/>
      <c r="J39" s="2173"/>
      <c r="K39" s="2173"/>
      <c r="L39" s="2174"/>
      <c r="M39" s="2173"/>
      <c r="N39" s="2173"/>
      <c r="O39" s="2174"/>
      <c r="P39" s="2173"/>
      <c r="Q39" s="2173"/>
      <c r="R39" s="2175"/>
    </row>
    <row r="40" spans="2:18" s="2147" customFormat="1">
      <c r="B40" s="2173"/>
      <c r="C40" s="2173"/>
      <c r="D40" s="2173"/>
      <c r="E40" s="2173"/>
      <c r="F40" s="2173"/>
      <c r="G40" s="2174"/>
      <c r="H40" s="2173"/>
      <c r="I40" s="2174"/>
      <c r="J40" s="2173"/>
      <c r="K40" s="2173"/>
      <c r="L40" s="2174"/>
      <c r="M40" s="2173"/>
      <c r="N40" s="2173"/>
      <c r="O40" s="2174"/>
      <c r="P40" s="2173"/>
      <c r="Q40" s="2173"/>
      <c r="R40" s="2175"/>
    </row>
    <row r="41" spans="2:18" s="2147" customFormat="1">
      <c r="B41" s="2173"/>
      <c r="C41" s="2173"/>
      <c r="D41" s="2173"/>
      <c r="E41" s="2173"/>
      <c r="F41" s="2173"/>
      <c r="G41" s="2174"/>
      <c r="H41" s="2173"/>
      <c r="I41" s="2174"/>
      <c r="J41" s="2173"/>
      <c r="K41" s="2173"/>
      <c r="L41" s="2174"/>
      <c r="M41" s="2173"/>
      <c r="N41" s="2173"/>
      <c r="O41" s="2174"/>
      <c r="P41" s="2173"/>
      <c r="Q41" s="2173"/>
      <c r="R41" s="2175"/>
    </row>
    <row r="42" spans="2:18" s="2147" customFormat="1">
      <c r="B42" s="2173"/>
      <c r="C42" s="2173"/>
      <c r="D42" s="2173"/>
      <c r="E42" s="2173"/>
      <c r="F42" s="2173"/>
      <c r="G42" s="2174"/>
      <c r="H42" s="2173"/>
      <c r="I42" s="2174"/>
      <c r="J42" s="2173"/>
      <c r="K42" s="2173"/>
      <c r="L42" s="2174"/>
      <c r="M42" s="2173"/>
      <c r="N42" s="2173"/>
      <c r="O42" s="2174"/>
      <c r="P42" s="2173"/>
      <c r="Q42" s="2173"/>
      <c r="R42" s="2175"/>
    </row>
    <row r="43" spans="2:18" s="2147" customFormat="1">
      <c r="B43" s="2173"/>
      <c r="C43" s="2173"/>
      <c r="D43" s="2173"/>
      <c r="E43" s="2173"/>
      <c r="F43" s="2173"/>
      <c r="G43" s="2174"/>
      <c r="H43" s="2173"/>
      <c r="I43" s="2174"/>
      <c r="J43" s="2173"/>
      <c r="K43" s="2173"/>
      <c r="L43" s="2174"/>
      <c r="M43" s="2173"/>
      <c r="N43" s="2173"/>
      <c r="O43" s="2174"/>
      <c r="P43" s="2173"/>
      <c r="Q43" s="2173"/>
      <c r="R43" s="2175"/>
    </row>
    <row r="44" spans="2:18" s="2147" customFormat="1">
      <c r="B44" s="2173"/>
      <c r="C44" s="2173"/>
      <c r="D44" s="2173"/>
      <c r="E44" s="2173"/>
      <c r="F44" s="2173"/>
      <c r="G44" s="2174"/>
      <c r="H44" s="2173"/>
      <c r="I44" s="2174"/>
      <c r="J44" s="2173"/>
      <c r="K44" s="2173"/>
      <c r="L44" s="2174"/>
      <c r="M44" s="2173"/>
      <c r="N44" s="2173"/>
      <c r="O44" s="2174"/>
      <c r="P44" s="2173"/>
      <c r="Q44" s="2173"/>
      <c r="R44" s="2175"/>
    </row>
    <row r="45" spans="2:18" s="2147" customFormat="1">
      <c r="B45" s="2173"/>
      <c r="C45" s="2173"/>
      <c r="D45" s="2173"/>
      <c r="E45" s="2173"/>
      <c r="F45" s="2173"/>
      <c r="G45" s="2174"/>
      <c r="H45" s="2173"/>
      <c r="I45" s="2174"/>
      <c r="J45" s="2173"/>
      <c r="K45" s="2173"/>
      <c r="L45" s="2174"/>
      <c r="M45" s="2173"/>
      <c r="N45" s="2173"/>
      <c r="O45" s="2174"/>
      <c r="P45" s="2173"/>
      <c r="Q45" s="2173"/>
      <c r="R45" s="2175"/>
    </row>
    <row r="46" spans="2:18" s="2147" customFormat="1">
      <c r="B46" s="2173"/>
      <c r="C46" s="2173"/>
      <c r="D46" s="2173"/>
      <c r="E46" s="2173"/>
      <c r="F46" s="2173"/>
      <c r="G46" s="2174"/>
      <c r="H46" s="2173"/>
      <c r="I46" s="2174"/>
      <c r="J46" s="2173"/>
      <c r="K46" s="2173"/>
      <c r="L46" s="2174"/>
      <c r="M46" s="2173"/>
      <c r="N46" s="2173"/>
      <c r="O46" s="2174"/>
      <c r="P46" s="2173"/>
      <c r="Q46" s="2173"/>
      <c r="R46" s="2175"/>
    </row>
    <row r="47" spans="2:18" s="2147" customFormat="1">
      <c r="B47" s="2173"/>
      <c r="C47" s="2173"/>
      <c r="D47" s="2173"/>
      <c r="E47" s="2173"/>
      <c r="F47" s="2173"/>
      <c r="G47" s="2174"/>
      <c r="H47" s="2173"/>
      <c r="I47" s="2174"/>
      <c r="J47" s="2173"/>
      <c r="K47" s="2173"/>
      <c r="L47" s="2174"/>
      <c r="M47" s="2173"/>
      <c r="N47" s="2173"/>
      <c r="O47" s="2174"/>
      <c r="P47" s="2173"/>
      <c r="Q47" s="2173"/>
      <c r="R47" s="2175"/>
    </row>
    <row r="48" spans="2:18" s="2147" customFormat="1">
      <c r="B48" s="2173"/>
      <c r="C48" s="2173"/>
      <c r="D48" s="2173"/>
      <c r="E48" s="2173"/>
      <c r="F48" s="2173"/>
      <c r="G48" s="2174"/>
      <c r="H48" s="2173"/>
      <c r="I48" s="2174"/>
      <c r="J48" s="2173"/>
      <c r="K48" s="2173"/>
      <c r="L48" s="2174"/>
      <c r="M48" s="2173"/>
      <c r="N48" s="2173"/>
      <c r="O48" s="2174"/>
      <c r="P48" s="2173"/>
      <c r="Q48" s="2173"/>
      <c r="R48" s="2175"/>
    </row>
    <row r="49" spans="2:18" s="2147" customFormat="1">
      <c r="B49" s="2173"/>
      <c r="C49" s="2173"/>
      <c r="D49" s="2173"/>
      <c r="E49" s="2173"/>
      <c r="F49" s="2173"/>
      <c r="G49" s="2174"/>
      <c r="H49" s="2173"/>
      <c r="I49" s="2174"/>
      <c r="J49" s="2173"/>
      <c r="K49" s="2173"/>
      <c r="L49" s="2174"/>
      <c r="M49" s="2173"/>
      <c r="N49" s="2173"/>
      <c r="O49" s="2174"/>
      <c r="P49" s="2173"/>
      <c r="Q49" s="2173"/>
      <c r="R49" s="2175"/>
    </row>
    <row r="50" spans="2:18" s="2147" customFormat="1">
      <c r="B50" s="2173"/>
      <c r="C50" s="2173"/>
      <c r="D50" s="2173"/>
      <c r="E50" s="2173"/>
      <c r="F50" s="2173"/>
      <c r="G50" s="2174"/>
      <c r="H50" s="2173"/>
      <c r="I50" s="2174"/>
      <c r="J50" s="2173"/>
      <c r="K50" s="2173"/>
      <c r="L50" s="2174"/>
      <c r="M50" s="2173"/>
      <c r="N50" s="2173"/>
      <c r="O50" s="2174"/>
      <c r="P50" s="2173"/>
      <c r="Q50" s="2173"/>
      <c r="R50" s="2175"/>
    </row>
    <row r="51" spans="2:18" s="2147" customFormat="1">
      <c r="B51" s="2173"/>
      <c r="C51" s="2173"/>
      <c r="D51" s="2173"/>
      <c r="E51" s="2173"/>
      <c r="F51" s="2173"/>
      <c r="G51" s="2174"/>
      <c r="H51" s="2173"/>
      <c r="I51" s="2174"/>
      <c r="J51" s="2173"/>
      <c r="K51" s="2173"/>
      <c r="L51" s="2174"/>
      <c r="M51" s="2173"/>
      <c r="N51" s="2173"/>
      <c r="O51" s="2174"/>
      <c r="P51" s="2173"/>
      <c r="Q51" s="2173"/>
      <c r="R51" s="2175"/>
    </row>
    <row r="52" spans="2:18" s="2147" customFormat="1">
      <c r="B52" s="2173"/>
      <c r="C52" s="2173"/>
      <c r="D52" s="2173"/>
      <c r="E52" s="2173"/>
      <c r="F52" s="2173"/>
      <c r="G52" s="2174"/>
      <c r="H52" s="2173"/>
      <c r="I52" s="2174"/>
      <c r="J52" s="2173"/>
      <c r="K52" s="2173"/>
      <c r="L52" s="2174"/>
      <c r="M52" s="2173"/>
      <c r="N52" s="2173"/>
      <c r="O52" s="2174"/>
      <c r="P52" s="2173"/>
      <c r="Q52" s="2173"/>
      <c r="R52" s="2175"/>
    </row>
    <row r="53" spans="2:18" s="2147" customFormat="1">
      <c r="B53" s="2173"/>
      <c r="C53" s="2173"/>
      <c r="D53" s="2173"/>
      <c r="E53" s="2173"/>
      <c r="F53" s="2173"/>
      <c r="G53" s="2174"/>
      <c r="H53" s="2173"/>
      <c r="I53" s="2174"/>
      <c r="J53" s="2173"/>
      <c r="K53" s="2173"/>
      <c r="L53" s="2174"/>
      <c r="M53" s="2173"/>
      <c r="N53" s="2173"/>
      <c r="O53" s="2174"/>
      <c r="P53" s="2173"/>
      <c r="Q53" s="2173"/>
      <c r="R53" s="2175"/>
    </row>
    <row r="54" spans="2:18" s="2147" customFormat="1">
      <c r="B54" s="2173"/>
      <c r="C54" s="2173"/>
      <c r="D54" s="2173"/>
      <c r="E54" s="2173"/>
      <c r="F54" s="2173"/>
      <c r="G54" s="2174"/>
      <c r="H54" s="2173"/>
      <c r="I54" s="2174"/>
      <c r="J54" s="2173"/>
      <c r="K54" s="2173"/>
      <c r="L54" s="2174"/>
      <c r="M54" s="2173"/>
      <c r="N54" s="2173"/>
      <c r="O54" s="2174"/>
      <c r="P54" s="2173"/>
      <c r="Q54" s="2173"/>
      <c r="R54" s="2175"/>
    </row>
    <row r="55" spans="2:18" s="2147" customFormat="1">
      <c r="B55" s="2173"/>
      <c r="C55" s="2173"/>
      <c r="D55" s="2173"/>
      <c r="E55" s="2173"/>
      <c r="F55" s="2173"/>
      <c r="G55" s="2174"/>
      <c r="H55" s="2173"/>
      <c r="I55" s="2174"/>
      <c r="J55" s="2173"/>
      <c r="K55" s="2173"/>
      <c r="L55" s="2174"/>
      <c r="M55" s="2173"/>
      <c r="N55" s="2173"/>
      <c r="O55" s="2174"/>
      <c r="P55" s="2173"/>
      <c r="Q55" s="2173"/>
      <c r="R55" s="2175"/>
    </row>
    <row r="56" spans="2:18" s="2147" customFormat="1">
      <c r="B56" s="2173"/>
      <c r="C56" s="2173"/>
      <c r="D56" s="2173"/>
      <c r="E56" s="2173"/>
      <c r="F56" s="2173"/>
      <c r="G56" s="2174"/>
      <c r="H56" s="2173"/>
      <c r="I56" s="2174"/>
      <c r="J56" s="2173"/>
      <c r="K56" s="2173"/>
      <c r="L56" s="2174"/>
      <c r="M56" s="2173"/>
      <c r="N56" s="2173"/>
      <c r="O56" s="2174"/>
      <c r="P56" s="2173"/>
      <c r="Q56" s="2173"/>
      <c r="R56" s="2175"/>
    </row>
    <row r="57" spans="2:18" s="2147" customFormat="1">
      <c r="B57" s="2173"/>
      <c r="C57" s="2173"/>
      <c r="D57" s="2173"/>
      <c r="E57" s="2173"/>
      <c r="F57" s="2173"/>
      <c r="G57" s="2174"/>
      <c r="H57" s="2173"/>
      <c r="I57" s="2174"/>
      <c r="J57" s="2173"/>
      <c r="K57" s="2173"/>
      <c r="L57" s="2174"/>
      <c r="M57" s="2173"/>
      <c r="N57" s="2173"/>
      <c r="O57" s="2174"/>
      <c r="P57" s="2173"/>
      <c r="Q57" s="2173"/>
      <c r="R57" s="2175"/>
    </row>
    <row r="58" spans="2:18" s="2147" customFormat="1">
      <c r="B58" s="2173"/>
      <c r="C58" s="2173"/>
      <c r="D58" s="2173"/>
      <c r="E58" s="2173"/>
      <c r="F58" s="2173"/>
      <c r="G58" s="2174"/>
      <c r="H58" s="2173"/>
      <c r="I58" s="2174"/>
      <c r="J58" s="2173"/>
      <c r="K58" s="2173"/>
      <c r="L58" s="2174"/>
      <c r="M58" s="2173"/>
      <c r="N58" s="2173"/>
      <c r="O58" s="2174"/>
      <c r="P58" s="2173"/>
      <c r="Q58" s="2173"/>
      <c r="R58" s="2175"/>
    </row>
    <row r="59" spans="2:18" s="2147" customFormat="1">
      <c r="B59" s="2173"/>
      <c r="C59" s="2173"/>
      <c r="D59" s="2173"/>
      <c r="E59" s="2173"/>
      <c r="F59" s="2173"/>
      <c r="G59" s="2174"/>
      <c r="H59" s="2173"/>
      <c r="I59" s="2174"/>
      <c r="J59" s="2173"/>
      <c r="K59" s="2173"/>
      <c r="L59" s="2174"/>
      <c r="M59" s="2173"/>
      <c r="N59" s="2173"/>
      <c r="O59" s="2174"/>
      <c r="P59" s="2173"/>
      <c r="Q59" s="2173"/>
      <c r="R59" s="2175"/>
    </row>
    <row r="60" spans="2:18" s="2147" customFormat="1">
      <c r="B60" s="2173"/>
      <c r="C60" s="2173"/>
      <c r="D60" s="2173"/>
      <c r="E60" s="2173"/>
      <c r="F60" s="2173"/>
      <c r="G60" s="2174"/>
      <c r="H60" s="2173"/>
      <c r="I60" s="2174"/>
      <c r="J60" s="2173"/>
      <c r="K60" s="2173"/>
      <c r="L60" s="2174"/>
      <c r="M60" s="2173"/>
      <c r="N60" s="2173"/>
      <c r="O60" s="2174"/>
      <c r="P60" s="2173"/>
      <c r="Q60" s="2173"/>
      <c r="R60" s="2175"/>
    </row>
    <row r="61" spans="2:18" s="2147" customFormat="1">
      <c r="B61" s="2173"/>
      <c r="C61" s="2173"/>
      <c r="D61" s="2173"/>
      <c r="E61" s="2173"/>
      <c r="F61" s="2173"/>
      <c r="G61" s="2174"/>
      <c r="H61" s="2173"/>
      <c r="I61" s="2174"/>
      <c r="J61" s="2173"/>
      <c r="K61" s="2173"/>
      <c r="L61" s="2174"/>
      <c r="M61" s="2173"/>
      <c r="N61" s="2173"/>
      <c r="O61" s="2174"/>
      <c r="P61" s="2173"/>
      <c r="Q61" s="2173"/>
      <c r="R61" s="2175"/>
    </row>
    <row r="62" spans="2:18" s="2147" customFormat="1">
      <c r="B62" s="2173"/>
      <c r="C62" s="2173"/>
      <c r="D62" s="2173"/>
      <c r="E62" s="2173"/>
      <c r="F62" s="2173"/>
      <c r="G62" s="2174"/>
      <c r="H62" s="2173"/>
      <c r="I62" s="2174"/>
      <c r="J62" s="2173"/>
      <c r="K62" s="2173"/>
      <c r="L62" s="2174"/>
      <c r="M62" s="2173"/>
      <c r="N62" s="2173"/>
      <c r="O62" s="2174"/>
      <c r="P62" s="2173"/>
      <c r="Q62" s="2173"/>
      <c r="R62" s="2175"/>
    </row>
    <row r="63" spans="2:18" s="2147" customFormat="1">
      <c r="B63" s="2173"/>
      <c r="C63" s="2173"/>
      <c r="D63" s="2173"/>
      <c r="E63" s="2173"/>
      <c r="F63" s="2173"/>
      <c r="G63" s="2174"/>
      <c r="H63" s="2173"/>
      <c r="I63" s="2174"/>
      <c r="J63" s="2173"/>
      <c r="K63" s="2173"/>
      <c r="L63" s="2174"/>
      <c r="M63" s="2173"/>
      <c r="N63" s="2173"/>
      <c r="O63" s="2174"/>
      <c r="P63" s="2173"/>
      <c r="Q63" s="2173"/>
      <c r="R63" s="2175"/>
    </row>
    <row r="64" spans="2:18" s="2147" customFormat="1">
      <c r="B64" s="2173"/>
      <c r="C64" s="2173"/>
      <c r="D64" s="2173"/>
      <c r="E64" s="2173"/>
      <c r="F64" s="2173"/>
      <c r="G64" s="2174"/>
      <c r="H64" s="2173"/>
      <c r="I64" s="2174"/>
      <c r="J64" s="2173"/>
      <c r="K64" s="2173"/>
      <c r="L64" s="2174"/>
      <c r="M64" s="2173"/>
      <c r="N64" s="2173"/>
      <c r="O64" s="2174"/>
      <c r="P64" s="2173"/>
      <c r="Q64" s="2173"/>
      <c r="R64" s="2175"/>
    </row>
    <row r="65" spans="2:18" s="2147" customFormat="1">
      <c r="B65" s="2173"/>
      <c r="C65" s="2173"/>
      <c r="D65" s="2173"/>
      <c r="E65" s="2173"/>
      <c r="F65" s="2173"/>
      <c r="G65" s="2174"/>
      <c r="H65" s="2173"/>
      <c r="I65" s="2174"/>
      <c r="J65" s="2173"/>
      <c r="K65" s="2173"/>
      <c r="L65" s="2174"/>
      <c r="M65" s="2173"/>
      <c r="N65" s="2173"/>
      <c r="O65" s="2174"/>
      <c r="P65" s="2173"/>
      <c r="Q65" s="2173"/>
      <c r="R65" s="2175"/>
    </row>
    <row r="66" spans="2:18" s="2147" customFormat="1">
      <c r="B66" s="2173"/>
      <c r="C66" s="2173"/>
      <c r="D66" s="2173"/>
      <c r="E66" s="2173"/>
      <c r="F66" s="2173"/>
      <c r="G66" s="2174"/>
      <c r="H66" s="2173"/>
      <c r="I66" s="2174"/>
      <c r="J66" s="2173"/>
      <c r="K66" s="2173"/>
      <c r="L66" s="2174"/>
      <c r="M66" s="2173"/>
      <c r="N66" s="2173"/>
      <c r="O66" s="2174"/>
      <c r="P66" s="2173"/>
      <c r="Q66" s="2173"/>
      <c r="R66" s="2175"/>
    </row>
    <row r="67" spans="2:18" s="2147" customFormat="1">
      <c r="B67" s="2173"/>
      <c r="C67" s="2173"/>
      <c r="D67" s="2173"/>
      <c r="E67" s="2173"/>
      <c r="F67" s="2173"/>
      <c r="G67" s="2174"/>
      <c r="H67" s="2173"/>
      <c r="I67" s="2174"/>
      <c r="J67" s="2173"/>
      <c r="K67" s="2173"/>
      <c r="L67" s="2174"/>
      <c r="M67" s="2173"/>
      <c r="N67" s="2173"/>
      <c r="O67" s="2174"/>
      <c r="P67" s="2173"/>
      <c r="Q67" s="2173"/>
      <c r="R67" s="2175"/>
    </row>
    <row r="68" spans="2:18" s="2147" customFormat="1">
      <c r="B68" s="2173"/>
      <c r="C68" s="2173"/>
      <c r="D68" s="2173"/>
      <c r="E68" s="2173"/>
      <c r="F68" s="2173"/>
      <c r="G68" s="2174"/>
      <c r="H68" s="2173"/>
      <c r="I68" s="2174"/>
      <c r="J68" s="2173"/>
      <c r="K68" s="2173"/>
      <c r="L68" s="2174"/>
      <c r="M68" s="2173"/>
      <c r="N68" s="2173"/>
      <c r="O68" s="2174"/>
      <c r="P68" s="2173"/>
      <c r="Q68" s="2173"/>
      <c r="R68" s="2175"/>
    </row>
    <row r="69" spans="2:18" s="2147" customFormat="1">
      <c r="B69" s="2173"/>
      <c r="C69" s="2173"/>
      <c r="D69" s="2173"/>
      <c r="E69" s="2173"/>
      <c r="F69" s="2173"/>
      <c r="G69" s="2174"/>
      <c r="H69" s="2173"/>
      <c r="I69" s="2174"/>
      <c r="J69" s="2173"/>
      <c r="K69" s="2173"/>
      <c r="L69" s="2174"/>
      <c r="M69" s="2173"/>
      <c r="N69" s="2173"/>
      <c r="O69" s="2174"/>
      <c r="P69" s="2173"/>
      <c r="Q69" s="2173"/>
      <c r="R69" s="2175"/>
    </row>
    <row r="70" spans="2:18" s="2147" customFormat="1">
      <c r="B70" s="2173"/>
      <c r="C70" s="2173"/>
      <c r="D70" s="2173"/>
      <c r="E70" s="2173"/>
      <c r="F70" s="2173"/>
      <c r="G70" s="2174"/>
      <c r="H70" s="2173"/>
      <c r="I70" s="2174"/>
      <c r="J70" s="2173"/>
      <c r="K70" s="2173"/>
      <c r="L70" s="2174"/>
      <c r="M70" s="2173"/>
      <c r="N70" s="2173"/>
      <c r="O70" s="2174"/>
      <c r="P70" s="2173"/>
      <c r="Q70" s="2173"/>
      <c r="R70" s="2175"/>
    </row>
    <row r="71" spans="2:18" s="2147" customFormat="1">
      <c r="B71" s="2173"/>
      <c r="C71" s="2173"/>
      <c r="D71" s="2173"/>
      <c r="E71" s="2173"/>
      <c r="F71" s="2173"/>
      <c r="G71" s="2174"/>
      <c r="H71" s="2173"/>
      <c r="I71" s="2174"/>
      <c r="J71" s="2173"/>
      <c r="K71" s="2173"/>
      <c r="L71" s="2174"/>
      <c r="M71" s="2173"/>
      <c r="N71" s="2173"/>
      <c r="O71" s="2174"/>
      <c r="P71" s="2173"/>
      <c r="Q71" s="2173"/>
      <c r="R71" s="2175"/>
    </row>
    <row r="72" spans="2:18" s="2147" customFormat="1">
      <c r="B72" s="2173"/>
      <c r="C72" s="2173"/>
      <c r="D72" s="2173"/>
      <c r="E72" s="2173"/>
      <c r="F72" s="2173"/>
      <c r="G72" s="2174"/>
      <c r="H72" s="2173"/>
      <c r="I72" s="2174"/>
      <c r="J72" s="2173"/>
      <c r="K72" s="2173"/>
      <c r="L72" s="2174"/>
      <c r="M72" s="2173"/>
      <c r="N72" s="2173"/>
      <c r="O72" s="2174"/>
      <c r="P72" s="2173"/>
      <c r="Q72" s="2173"/>
      <c r="R72" s="2175"/>
    </row>
    <row r="73" spans="2:18" s="2147" customFormat="1">
      <c r="B73" s="2173"/>
      <c r="C73" s="2173"/>
      <c r="D73" s="2173"/>
      <c r="E73" s="2173"/>
      <c r="F73" s="2173"/>
      <c r="G73" s="2174"/>
      <c r="H73" s="2173"/>
      <c r="I73" s="2174"/>
      <c r="J73" s="2173"/>
      <c r="K73" s="2173"/>
      <c r="L73" s="2174"/>
      <c r="M73" s="2173"/>
      <c r="N73" s="2173"/>
      <c r="O73" s="2174"/>
      <c r="P73" s="2173"/>
      <c r="Q73" s="2173"/>
      <c r="R73" s="2175"/>
    </row>
    <row r="74" spans="2:18" s="2147" customFormat="1">
      <c r="B74" s="2173"/>
      <c r="C74" s="2173"/>
      <c r="D74" s="2173"/>
      <c r="E74" s="2173"/>
      <c r="F74" s="2173"/>
      <c r="G74" s="2174"/>
      <c r="H74" s="2173"/>
      <c r="I74" s="2174"/>
      <c r="J74" s="2173"/>
      <c r="K74" s="2173"/>
      <c r="L74" s="2174"/>
      <c r="M74" s="2173"/>
      <c r="N74" s="2173"/>
      <c r="O74" s="2174"/>
      <c r="P74" s="2173"/>
      <c r="Q74" s="2173"/>
      <c r="R74" s="2175"/>
    </row>
    <row r="75" spans="2:18" s="2147" customFormat="1">
      <c r="B75" s="2173"/>
      <c r="C75" s="2173"/>
      <c r="D75" s="2173"/>
      <c r="E75" s="2173"/>
      <c r="F75" s="2173"/>
      <c r="G75" s="2174"/>
      <c r="H75" s="2173"/>
      <c r="I75" s="2174"/>
      <c r="J75" s="2173"/>
      <c r="K75" s="2173"/>
      <c r="L75" s="2174"/>
      <c r="M75" s="2173"/>
      <c r="N75" s="2173"/>
      <c r="O75" s="2174"/>
      <c r="P75" s="2173"/>
      <c r="Q75" s="2173"/>
      <c r="R75" s="2175"/>
    </row>
    <row r="76" spans="2:18" s="2147" customFormat="1">
      <c r="B76" s="2173"/>
      <c r="C76" s="2173"/>
      <c r="D76" s="2173"/>
      <c r="E76" s="2173"/>
      <c r="F76" s="2173"/>
      <c r="G76" s="2174"/>
      <c r="H76" s="2173"/>
      <c r="I76" s="2174"/>
      <c r="J76" s="2173"/>
      <c r="K76" s="2173"/>
      <c r="L76" s="2174"/>
      <c r="M76" s="2173"/>
      <c r="N76" s="2173"/>
      <c r="O76" s="2174"/>
      <c r="P76" s="2173"/>
      <c r="Q76" s="2173"/>
      <c r="R76" s="2175"/>
    </row>
    <row r="77" spans="2:18" s="2147" customFormat="1">
      <c r="B77" s="2173"/>
      <c r="C77" s="2173"/>
      <c r="D77" s="2173"/>
      <c r="E77" s="2173"/>
      <c r="F77" s="2173"/>
      <c r="G77" s="2174"/>
      <c r="H77" s="2173"/>
      <c r="I77" s="2174"/>
      <c r="J77" s="2173"/>
      <c r="K77" s="2173"/>
      <c r="L77" s="2174"/>
      <c r="M77" s="2173"/>
      <c r="N77" s="2173"/>
      <c r="O77" s="2174"/>
      <c r="P77" s="2173"/>
      <c r="Q77" s="2173"/>
      <c r="R77" s="2175"/>
    </row>
    <row r="78" spans="2:18" s="2147" customFormat="1">
      <c r="B78" s="2173"/>
      <c r="C78" s="2173"/>
      <c r="D78" s="2173"/>
      <c r="E78" s="2173"/>
      <c r="F78" s="2173"/>
      <c r="G78" s="2174"/>
      <c r="H78" s="2173"/>
      <c r="I78" s="2174"/>
      <c r="J78" s="2173"/>
      <c r="K78" s="2173"/>
      <c r="L78" s="2174"/>
      <c r="M78" s="2173"/>
      <c r="N78" s="2173"/>
      <c r="O78" s="2174"/>
      <c r="P78" s="2173"/>
      <c r="Q78" s="2173"/>
      <c r="R78" s="2175"/>
    </row>
    <row r="79" spans="2:18" s="2147" customFormat="1">
      <c r="B79" s="2173"/>
      <c r="C79" s="2173"/>
      <c r="D79" s="2173"/>
      <c r="E79" s="2173"/>
      <c r="F79" s="2173"/>
      <c r="G79" s="2174"/>
      <c r="H79" s="2173"/>
      <c r="I79" s="2174"/>
      <c r="J79" s="2173"/>
      <c r="K79" s="2173"/>
      <c r="L79" s="2174"/>
      <c r="M79" s="2173"/>
      <c r="N79" s="2173"/>
      <c r="O79" s="2174"/>
      <c r="P79" s="2173"/>
      <c r="Q79" s="2173"/>
      <c r="R79" s="2175"/>
    </row>
    <row r="80" spans="2:18" s="2147" customFormat="1">
      <c r="B80" s="2173"/>
      <c r="C80" s="2173"/>
      <c r="D80" s="2173"/>
      <c r="E80" s="2173"/>
      <c r="F80" s="2173"/>
      <c r="G80" s="2174"/>
      <c r="H80" s="2173"/>
      <c r="I80" s="2174"/>
      <c r="J80" s="2173"/>
      <c r="K80" s="2173"/>
      <c r="L80" s="2174"/>
      <c r="M80" s="2173"/>
      <c r="N80" s="2173"/>
      <c r="O80" s="2174"/>
      <c r="P80" s="2173"/>
      <c r="Q80" s="2173"/>
      <c r="R80" s="2175"/>
    </row>
    <row r="81" spans="2:18" s="2147" customFormat="1">
      <c r="B81" s="2173"/>
      <c r="C81" s="2173"/>
      <c r="D81" s="2173"/>
      <c r="E81" s="2173"/>
      <c r="F81" s="2173"/>
      <c r="G81" s="2174"/>
      <c r="H81" s="2173"/>
      <c r="I81" s="2174"/>
      <c r="J81" s="2173"/>
      <c r="K81" s="2173"/>
      <c r="L81" s="2174"/>
      <c r="M81" s="2173"/>
      <c r="N81" s="2173"/>
      <c r="O81" s="2174"/>
      <c r="P81" s="2173"/>
      <c r="Q81" s="2173"/>
      <c r="R81" s="2175"/>
    </row>
    <row r="82" spans="2:18" s="2147" customFormat="1">
      <c r="B82" s="2173"/>
      <c r="C82" s="2173"/>
      <c r="D82" s="2173"/>
      <c r="E82" s="2173"/>
      <c r="F82" s="2173"/>
      <c r="G82" s="2174"/>
      <c r="H82" s="2173"/>
      <c r="I82" s="2174"/>
      <c r="J82" s="2173"/>
      <c r="K82" s="2173"/>
      <c r="L82" s="2174"/>
      <c r="M82" s="2173"/>
      <c r="N82" s="2173"/>
      <c r="O82" s="2174"/>
      <c r="P82" s="2173"/>
      <c r="Q82" s="2173"/>
      <c r="R82" s="2175"/>
    </row>
    <row r="83" spans="2:18" s="2147" customFormat="1">
      <c r="B83" s="2173"/>
      <c r="C83" s="2173"/>
      <c r="D83" s="2173"/>
      <c r="E83" s="2173"/>
      <c r="F83" s="2173"/>
      <c r="G83" s="2174"/>
      <c r="H83" s="2173"/>
      <c r="I83" s="2174"/>
      <c r="J83" s="2173"/>
      <c r="K83" s="2173"/>
      <c r="L83" s="2174"/>
      <c r="M83" s="2173"/>
      <c r="N83" s="2173"/>
      <c r="O83" s="2174"/>
      <c r="P83" s="2173"/>
      <c r="Q83" s="2173"/>
      <c r="R83" s="2175"/>
    </row>
    <row r="84" spans="2:18" s="2147" customFormat="1">
      <c r="B84" s="2173"/>
      <c r="C84" s="2173"/>
      <c r="D84" s="2173"/>
      <c r="E84" s="2173"/>
      <c r="F84" s="2173"/>
      <c r="G84" s="2174"/>
      <c r="H84" s="2173"/>
      <c r="I84" s="2174"/>
      <c r="J84" s="2173"/>
      <c r="K84" s="2173"/>
      <c r="L84" s="2174"/>
      <c r="M84" s="2173"/>
      <c r="N84" s="2173"/>
      <c r="O84" s="2174"/>
      <c r="P84" s="2173"/>
      <c r="Q84" s="2173"/>
      <c r="R84" s="2175"/>
    </row>
    <row r="85" spans="2:18" s="2147" customFormat="1">
      <c r="B85" s="2173"/>
      <c r="C85" s="2173"/>
      <c r="D85" s="2173"/>
      <c r="E85" s="2173"/>
      <c r="F85" s="2173"/>
      <c r="G85" s="2174"/>
      <c r="H85" s="2173"/>
      <c r="I85" s="2174"/>
      <c r="J85" s="2173"/>
      <c r="K85" s="2173"/>
      <c r="L85" s="2174"/>
      <c r="M85" s="2173"/>
      <c r="N85" s="2173"/>
      <c r="O85" s="2174"/>
      <c r="P85" s="2173"/>
      <c r="Q85" s="2173"/>
      <c r="R85" s="2175"/>
    </row>
    <row r="86" spans="2:18" s="2147" customFormat="1">
      <c r="B86" s="2173"/>
      <c r="C86" s="2173"/>
      <c r="D86" s="2173"/>
      <c r="E86" s="2173"/>
      <c r="F86" s="2173"/>
      <c r="G86" s="2174"/>
      <c r="H86" s="2173"/>
      <c r="I86" s="2174"/>
      <c r="J86" s="2173"/>
      <c r="K86" s="2173"/>
      <c r="L86" s="2174"/>
      <c r="M86" s="2173"/>
      <c r="N86" s="2173"/>
      <c r="O86" s="2174"/>
      <c r="P86" s="2173"/>
      <c r="Q86" s="2173"/>
      <c r="R86" s="2175"/>
    </row>
    <row r="87" spans="2:18" s="2147" customFormat="1">
      <c r="B87" s="2173"/>
      <c r="C87" s="2173"/>
      <c r="D87" s="2173"/>
      <c r="E87" s="2173"/>
      <c r="F87" s="2173"/>
      <c r="G87" s="2174"/>
      <c r="H87" s="2173"/>
      <c r="I87" s="2174"/>
      <c r="J87" s="2173"/>
      <c r="K87" s="2173"/>
      <c r="L87" s="2174"/>
      <c r="M87" s="2173"/>
      <c r="N87" s="2173"/>
      <c r="O87" s="2174"/>
      <c r="P87" s="2173"/>
      <c r="Q87" s="2173"/>
      <c r="R87" s="2175"/>
    </row>
    <row r="88" spans="2:18" s="2147" customFormat="1">
      <c r="B88" s="2173"/>
      <c r="C88" s="2173"/>
      <c r="D88" s="2173"/>
      <c r="E88" s="2173"/>
      <c r="F88" s="2173"/>
      <c r="G88" s="2174"/>
      <c r="H88" s="2173"/>
      <c r="I88" s="2174"/>
      <c r="J88" s="2173"/>
      <c r="K88" s="2173"/>
      <c r="L88" s="2174"/>
      <c r="M88" s="2173"/>
      <c r="N88" s="2173"/>
      <c r="O88" s="2174"/>
      <c r="P88" s="2173"/>
      <c r="Q88" s="2173"/>
      <c r="R88" s="2175"/>
    </row>
    <row r="89" spans="2:18" s="2147" customFormat="1">
      <c r="B89" s="2173"/>
      <c r="C89" s="2173"/>
      <c r="D89" s="2173"/>
      <c r="E89" s="2173"/>
      <c r="F89" s="2173"/>
      <c r="G89" s="2174"/>
      <c r="H89" s="2173"/>
      <c r="I89" s="2174"/>
      <c r="J89" s="2173"/>
      <c r="K89" s="2173"/>
      <c r="L89" s="2174"/>
      <c r="M89" s="2173"/>
      <c r="N89" s="2173"/>
      <c r="O89" s="2174"/>
      <c r="P89" s="2173"/>
      <c r="Q89" s="2173"/>
      <c r="R89" s="2175"/>
    </row>
    <row r="90" spans="2:18" s="2147" customFormat="1">
      <c r="B90" s="2173"/>
      <c r="C90" s="2173"/>
      <c r="D90" s="2173"/>
      <c r="E90" s="2173"/>
      <c r="F90" s="2173"/>
      <c r="G90" s="2174"/>
      <c r="H90" s="2173"/>
      <c r="I90" s="2174"/>
      <c r="J90" s="2173"/>
      <c r="K90" s="2173"/>
      <c r="L90" s="2174"/>
      <c r="M90" s="2173"/>
      <c r="N90" s="2173"/>
      <c r="O90" s="2174"/>
      <c r="P90" s="2173"/>
      <c r="Q90" s="2173"/>
      <c r="R90" s="2175"/>
    </row>
    <row r="91" spans="2:18" s="2147" customFormat="1">
      <c r="B91" s="2173"/>
      <c r="C91" s="2173"/>
      <c r="D91" s="2173"/>
      <c r="E91" s="2173"/>
      <c r="F91" s="2173"/>
      <c r="G91" s="2174"/>
      <c r="H91" s="2173"/>
      <c r="I91" s="2174"/>
      <c r="J91" s="2173"/>
      <c r="K91" s="2173"/>
      <c r="L91" s="2174"/>
      <c r="M91" s="2173"/>
      <c r="N91" s="2173"/>
      <c r="O91" s="2174"/>
      <c r="P91" s="2173"/>
      <c r="Q91" s="2173"/>
      <c r="R91" s="2175"/>
    </row>
    <row r="92" spans="2:18" s="2147" customFormat="1">
      <c r="B92" s="2173"/>
      <c r="C92" s="2173"/>
      <c r="D92" s="2173"/>
      <c r="E92" s="2173"/>
      <c r="F92" s="2173"/>
      <c r="G92" s="2174"/>
      <c r="H92" s="2173"/>
      <c r="I92" s="2174"/>
      <c r="J92" s="2173"/>
      <c r="K92" s="2173"/>
      <c r="L92" s="2174"/>
      <c r="M92" s="2173"/>
      <c r="N92" s="2173"/>
      <c r="O92" s="2174"/>
      <c r="P92" s="2173"/>
      <c r="Q92" s="2173"/>
      <c r="R92" s="2175"/>
    </row>
    <row r="93" spans="2:18" s="2147" customFormat="1">
      <c r="B93" s="2173"/>
      <c r="C93" s="2173"/>
      <c r="D93" s="2173"/>
      <c r="E93" s="2173"/>
      <c r="F93" s="2173"/>
      <c r="G93" s="2174"/>
      <c r="H93" s="2173"/>
      <c r="I93" s="2174"/>
      <c r="J93" s="2173"/>
      <c r="K93" s="2173"/>
      <c r="L93" s="2174"/>
      <c r="M93" s="2173"/>
      <c r="N93" s="2173"/>
      <c r="O93" s="2174"/>
      <c r="P93" s="2173"/>
      <c r="Q93" s="2173"/>
      <c r="R93" s="2175"/>
    </row>
    <row r="94" spans="2:18" s="2147" customFormat="1">
      <c r="B94" s="2173"/>
      <c r="C94" s="2173"/>
      <c r="D94" s="2173"/>
      <c r="E94" s="2173"/>
      <c r="F94" s="2173"/>
      <c r="G94" s="2174"/>
      <c r="H94" s="2173"/>
      <c r="I94" s="2174"/>
      <c r="J94" s="2173"/>
      <c r="K94" s="2173"/>
      <c r="L94" s="2174"/>
      <c r="M94" s="2173"/>
      <c r="N94" s="2173"/>
      <c r="O94" s="2174"/>
      <c r="P94" s="2173"/>
      <c r="Q94" s="2173"/>
      <c r="R94" s="2175"/>
    </row>
    <row r="95" spans="2:18" s="2147" customFormat="1">
      <c r="B95" s="2173"/>
      <c r="C95" s="2173"/>
      <c r="D95" s="2173"/>
      <c r="E95" s="2173"/>
      <c r="F95" s="2173"/>
      <c r="G95" s="2174"/>
      <c r="H95" s="2173"/>
      <c r="I95" s="2174"/>
      <c r="J95" s="2173"/>
      <c r="K95" s="2173"/>
      <c r="L95" s="2174"/>
      <c r="M95" s="2173"/>
      <c r="N95" s="2173"/>
      <c r="O95" s="2174"/>
      <c r="P95" s="2173"/>
      <c r="Q95" s="2173"/>
      <c r="R95" s="2175"/>
    </row>
    <row r="96" spans="2:18" s="2147" customFormat="1">
      <c r="B96" s="2173"/>
      <c r="C96" s="2173"/>
      <c r="D96" s="2173"/>
      <c r="E96" s="2173"/>
      <c r="F96" s="2173"/>
      <c r="G96" s="2174"/>
      <c r="H96" s="2173"/>
      <c r="I96" s="2174"/>
      <c r="J96" s="2173"/>
      <c r="K96" s="2173"/>
      <c r="L96" s="2174"/>
      <c r="M96" s="2173"/>
      <c r="N96" s="2173"/>
      <c r="O96" s="2174"/>
      <c r="P96" s="2173"/>
      <c r="Q96" s="2173"/>
      <c r="R96" s="2175"/>
    </row>
    <row r="97" spans="2:18" s="2147" customFormat="1">
      <c r="B97" s="2173"/>
      <c r="C97" s="2173"/>
      <c r="D97" s="2173"/>
      <c r="E97" s="2173"/>
      <c r="F97" s="2173"/>
      <c r="G97" s="2174"/>
      <c r="H97" s="2173"/>
      <c r="I97" s="2174"/>
      <c r="J97" s="2173"/>
      <c r="K97" s="2173"/>
      <c r="L97" s="2174"/>
      <c r="M97" s="2173"/>
      <c r="N97" s="2173"/>
      <c r="O97" s="2174"/>
      <c r="P97" s="2173"/>
      <c r="Q97" s="2173"/>
      <c r="R97" s="2175"/>
    </row>
    <row r="98" spans="2:18" s="2147" customFormat="1">
      <c r="B98" s="2173"/>
      <c r="C98" s="2173"/>
      <c r="D98" s="2173"/>
      <c r="E98" s="2173"/>
      <c r="F98" s="2173"/>
      <c r="G98" s="2174"/>
      <c r="H98" s="2173"/>
      <c r="I98" s="2174"/>
      <c r="J98" s="2173"/>
      <c r="K98" s="2173"/>
      <c r="L98" s="2174"/>
      <c r="M98" s="2173"/>
      <c r="N98" s="2173"/>
      <c r="O98" s="2174"/>
      <c r="P98" s="2173"/>
      <c r="Q98" s="2173"/>
      <c r="R98" s="2175"/>
    </row>
    <row r="99" spans="2:18" s="2147" customFormat="1">
      <c r="B99" s="2173"/>
      <c r="C99" s="2173"/>
      <c r="D99" s="2173"/>
      <c r="E99" s="2173"/>
      <c r="F99" s="2173"/>
      <c r="G99" s="2174"/>
      <c r="H99" s="2173"/>
      <c r="I99" s="2174"/>
      <c r="J99" s="2173"/>
      <c r="K99" s="2173"/>
      <c r="L99" s="2174"/>
      <c r="M99" s="2173"/>
      <c r="N99" s="2173"/>
      <c r="O99" s="2174"/>
      <c r="P99" s="2173"/>
      <c r="Q99" s="2173"/>
      <c r="R99" s="2175"/>
    </row>
    <row r="100" spans="2:18" s="2147" customFormat="1">
      <c r="B100" s="2173"/>
      <c r="C100" s="2173"/>
      <c r="D100" s="2173"/>
      <c r="E100" s="2173"/>
      <c r="F100" s="2173"/>
      <c r="G100" s="2174"/>
      <c r="H100" s="2173"/>
      <c r="I100" s="2174"/>
      <c r="J100" s="2173"/>
      <c r="K100" s="2173"/>
      <c r="L100" s="2174"/>
      <c r="M100" s="2173"/>
      <c r="N100" s="2173"/>
      <c r="O100" s="2174"/>
      <c r="P100" s="2173"/>
      <c r="Q100" s="2173"/>
      <c r="R100" s="2175"/>
    </row>
    <row r="101" spans="2:18" s="2147" customFormat="1">
      <c r="B101" s="2173"/>
      <c r="C101" s="2173"/>
      <c r="D101" s="2173"/>
      <c r="E101" s="2173"/>
      <c r="F101" s="2173"/>
      <c r="G101" s="2174"/>
      <c r="H101" s="2173"/>
      <c r="I101" s="2174"/>
      <c r="J101" s="2173"/>
      <c r="K101" s="2173"/>
      <c r="L101" s="2174"/>
      <c r="M101" s="2173"/>
      <c r="N101" s="2173"/>
      <c r="O101" s="2174"/>
      <c r="P101" s="2173"/>
      <c r="Q101" s="2173"/>
      <c r="R101" s="2175"/>
    </row>
    <row r="102" spans="2:18" s="2147" customFormat="1">
      <c r="B102" s="2173"/>
      <c r="C102" s="2173"/>
      <c r="D102" s="2173"/>
      <c r="E102" s="2173"/>
      <c r="F102" s="2173"/>
      <c r="G102" s="2174"/>
      <c r="H102" s="2173"/>
      <c r="I102" s="2174"/>
      <c r="J102" s="2173"/>
      <c r="K102" s="2173"/>
      <c r="L102" s="2174"/>
      <c r="M102" s="2173"/>
      <c r="N102" s="2173"/>
      <c r="O102" s="2174"/>
      <c r="P102" s="2173"/>
      <c r="Q102" s="2173"/>
      <c r="R102" s="2175"/>
    </row>
    <row r="103" spans="2:18" s="2147" customFormat="1">
      <c r="B103" s="2173"/>
      <c r="C103" s="2173"/>
      <c r="D103" s="2173"/>
      <c r="E103" s="2173"/>
      <c r="F103" s="2173"/>
      <c r="G103" s="2174"/>
      <c r="H103" s="2173"/>
      <c r="I103" s="2174"/>
      <c r="J103" s="2173"/>
      <c r="K103" s="2173"/>
      <c r="L103" s="2174"/>
      <c r="M103" s="2173"/>
      <c r="N103" s="2173"/>
      <c r="O103" s="2174"/>
      <c r="P103" s="2173"/>
      <c r="Q103" s="2173"/>
      <c r="R103" s="2175"/>
    </row>
    <row r="104" spans="2:18" s="2147" customFormat="1">
      <c r="B104" s="2173"/>
      <c r="C104" s="2173"/>
      <c r="D104" s="2173"/>
      <c r="E104" s="2173"/>
      <c r="F104" s="2173"/>
      <c r="G104" s="2174"/>
      <c r="H104" s="2173"/>
      <c r="I104" s="2174"/>
      <c r="J104" s="2173"/>
      <c r="K104" s="2173"/>
      <c r="L104" s="2174"/>
      <c r="M104" s="2173"/>
      <c r="N104" s="2173"/>
      <c r="O104" s="2174"/>
      <c r="P104" s="2173"/>
      <c r="Q104" s="2173"/>
      <c r="R104" s="2175"/>
    </row>
    <row r="105" spans="2:18" s="2147" customFormat="1">
      <c r="B105" s="2173"/>
      <c r="C105" s="2173"/>
      <c r="D105" s="2173"/>
      <c r="E105" s="2173"/>
      <c r="F105" s="2173"/>
      <c r="G105" s="2174"/>
      <c r="H105" s="2173"/>
      <c r="I105" s="2174"/>
      <c r="J105" s="2173"/>
      <c r="K105" s="2173"/>
      <c r="L105" s="2174"/>
      <c r="M105" s="2173"/>
      <c r="N105" s="2173"/>
      <c r="O105" s="2174"/>
      <c r="P105" s="2173"/>
      <c r="Q105" s="2173"/>
      <c r="R105" s="2175"/>
    </row>
    <row r="106" spans="2:18" s="2147" customFormat="1">
      <c r="B106" s="2173"/>
      <c r="C106" s="2173"/>
      <c r="D106" s="2173"/>
      <c r="E106" s="2173"/>
      <c r="F106" s="2173"/>
      <c r="G106" s="2174"/>
      <c r="H106" s="2173"/>
      <c r="I106" s="2174"/>
      <c r="J106" s="2173"/>
      <c r="K106" s="2173"/>
      <c r="L106" s="2174"/>
      <c r="M106" s="2173"/>
      <c r="N106" s="2173"/>
      <c r="O106" s="2174"/>
      <c r="P106" s="2173"/>
      <c r="Q106" s="2173"/>
      <c r="R106" s="2175"/>
    </row>
    <row r="107" spans="2:18" s="2147" customFormat="1">
      <c r="B107" s="2173"/>
      <c r="C107" s="2173"/>
      <c r="D107" s="2173"/>
      <c r="E107" s="2173"/>
      <c r="F107" s="2173"/>
      <c r="G107" s="2174"/>
      <c r="H107" s="2173"/>
      <c r="I107" s="2174"/>
      <c r="J107" s="2173"/>
      <c r="K107" s="2173"/>
      <c r="L107" s="2174"/>
      <c r="M107" s="2173"/>
      <c r="N107" s="2173"/>
      <c r="O107" s="2174"/>
      <c r="P107" s="2173"/>
      <c r="Q107" s="2173"/>
      <c r="R107" s="2175"/>
    </row>
    <row r="108" spans="2:18" s="2147" customFormat="1">
      <c r="B108" s="2173"/>
      <c r="C108" s="2173"/>
      <c r="D108" s="2173"/>
      <c r="E108" s="2173"/>
      <c r="F108" s="2173"/>
      <c r="G108" s="2174"/>
      <c r="H108" s="2173"/>
      <c r="I108" s="2174"/>
      <c r="J108" s="2173"/>
      <c r="K108" s="2173"/>
      <c r="L108" s="2174"/>
      <c r="M108" s="2173"/>
      <c r="N108" s="2173"/>
      <c r="O108" s="2174"/>
      <c r="P108" s="2173"/>
      <c r="Q108" s="2173"/>
      <c r="R108" s="2175"/>
    </row>
    <row r="109" spans="2:18" s="2147" customFormat="1">
      <c r="B109" s="2173"/>
      <c r="C109" s="2173"/>
      <c r="D109" s="2173"/>
      <c r="E109" s="2173"/>
      <c r="F109" s="2173"/>
      <c r="G109" s="2174"/>
      <c r="H109" s="2173"/>
      <c r="I109" s="2174"/>
      <c r="J109" s="2173"/>
      <c r="K109" s="2173"/>
      <c r="L109" s="2174"/>
      <c r="M109" s="2173"/>
      <c r="N109" s="2173"/>
      <c r="O109" s="2174"/>
      <c r="P109" s="2173"/>
      <c r="Q109" s="2173"/>
      <c r="R109" s="2175"/>
    </row>
    <row r="110" spans="2:18" s="2147" customFormat="1">
      <c r="B110" s="2173"/>
      <c r="C110" s="2173"/>
      <c r="D110" s="2173"/>
      <c r="E110" s="2173"/>
      <c r="F110" s="2173"/>
      <c r="G110" s="2174"/>
      <c r="H110" s="2173"/>
      <c r="I110" s="2174"/>
      <c r="J110" s="2173"/>
      <c r="K110" s="2173"/>
      <c r="L110" s="2174"/>
      <c r="M110" s="2173"/>
      <c r="N110" s="2173"/>
      <c r="O110" s="2174"/>
      <c r="P110" s="2173"/>
      <c r="Q110" s="2173"/>
      <c r="R110" s="2175"/>
    </row>
    <row r="111" spans="2:18" s="2147" customFormat="1">
      <c r="B111" s="2173"/>
      <c r="C111" s="2173"/>
      <c r="D111" s="2173"/>
      <c r="E111" s="2173"/>
      <c r="F111" s="2173"/>
      <c r="G111" s="2174"/>
      <c r="H111" s="2173"/>
      <c r="I111" s="2174"/>
      <c r="J111" s="2173"/>
      <c r="K111" s="2173"/>
      <c r="L111" s="2174"/>
      <c r="M111" s="2173"/>
      <c r="N111" s="2173"/>
      <c r="O111" s="2174"/>
      <c r="P111" s="2173"/>
      <c r="Q111" s="2173"/>
      <c r="R111" s="2175"/>
    </row>
    <row r="112" spans="2:18" s="2147" customFormat="1">
      <c r="B112" s="2173"/>
      <c r="C112" s="2173"/>
      <c r="D112" s="2173"/>
      <c r="E112" s="2173"/>
      <c r="F112" s="2173"/>
      <c r="G112" s="2174"/>
      <c r="H112" s="2173"/>
      <c r="I112" s="2174"/>
      <c r="J112" s="2173"/>
      <c r="K112" s="2173"/>
      <c r="L112" s="2174"/>
      <c r="M112" s="2173"/>
      <c r="N112" s="2173"/>
      <c r="O112" s="2174"/>
      <c r="P112" s="2173"/>
      <c r="Q112" s="2173"/>
      <c r="R112" s="2175"/>
    </row>
    <row r="113" spans="2:18" s="2147" customFormat="1">
      <c r="B113" s="2173"/>
      <c r="C113" s="2173"/>
      <c r="D113" s="2173"/>
      <c r="E113" s="2173"/>
      <c r="F113" s="2173"/>
      <c r="G113" s="2174"/>
      <c r="H113" s="2173"/>
      <c r="I113" s="2174"/>
      <c r="J113" s="2173"/>
      <c r="K113" s="2173"/>
      <c r="L113" s="2174"/>
      <c r="M113" s="2173"/>
      <c r="N113" s="2173"/>
      <c r="O113" s="2174"/>
      <c r="P113" s="2173"/>
      <c r="Q113" s="2173"/>
      <c r="R113" s="2175"/>
    </row>
    <row r="114" spans="2:18" s="2147" customFormat="1">
      <c r="B114" s="2173"/>
      <c r="C114" s="2173"/>
      <c r="D114" s="2173"/>
      <c r="E114" s="2173"/>
      <c r="F114" s="2173"/>
      <c r="G114" s="2174"/>
      <c r="H114" s="2173"/>
      <c r="I114" s="2174"/>
      <c r="J114" s="2173"/>
      <c r="K114" s="2173"/>
      <c r="L114" s="2174"/>
      <c r="M114" s="2173"/>
      <c r="N114" s="2173"/>
      <c r="O114" s="2174"/>
      <c r="P114" s="2173"/>
      <c r="Q114" s="2173"/>
      <c r="R114" s="2175"/>
    </row>
    <row r="115" spans="2:18" s="2147" customFormat="1">
      <c r="B115" s="2173"/>
      <c r="C115" s="2173"/>
      <c r="D115" s="2173"/>
      <c r="E115" s="2173"/>
      <c r="F115" s="2173"/>
      <c r="G115" s="2174"/>
      <c r="H115" s="2173"/>
      <c r="I115" s="2174"/>
      <c r="J115" s="2173"/>
      <c r="K115" s="2173"/>
      <c r="L115" s="2174"/>
      <c r="M115" s="2173"/>
      <c r="N115" s="2173"/>
      <c r="O115" s="2174"/>
      <c r="P115" s="2173"/>
      <c r="Q115" s="2173"/>
      <c r="R115" s="2175"/>
    </row>
    <row r="116" spans="2:18" s="2147" customFormat="1">
      <c r="B116" s="2173"/>
      <c r="C116" s="2173"/>
      <c r="D116" s="2173"/>
      <c r="E116" s="2173"/>
      <c r="F116" s="2173"/>
      <c r="G116" s="2174"/>
      <c r="H116" s="2173"/>
      <c r="I116" s="2174"/>
      <c r="J116" s="2173"/>
      <c r="K116" s="2173"/>
      <c r="L116" s="2174"/>
      <c r="M116" s="2173"/>
      <c r="N116" s="2173"/>
      <c r="O116" s="2174"/>
      <c r="P116" s="2173"/>
      <c r="Q116" s="2173"/>
      <c r="R116" s="2175"/>
    </row>
    <row r="117" spans="2:18" s="2147" customFormat="1">
      <c r="B117" s="2173"/>
      <c r="C117" s="2173"/>
      <c r="D117" s="2173"/>
      <c r="E117" s="2173"/>
      <c r="F117" s="2173"/>
      <c r="G117" s="2174"/>
      <c r="H117" s="2173"/>
      <c r="I117" s="2174"/>
      <c r="J117" s="2173"/>
      <c r="K117" s="2173"/>
      <c r="L117" s="2174"/>
      <c r="M117" s="2173"/>
      <c r="N117" s="2173"/>
      <c r="O117" s="2174"/>
      <c r="P117" s="2173"/>
      <c r="Q117" s="2173"/>
      <c r="R117" s="2175"/>
    </row>
    <row r="118" spans="2:18" s="2147" customFormat="1">
      <c r="B118" s="2173"/>
      <c r="C118" s="2173"/>
      <c r="D118" s="2173"/>
      <c r="E118" s="2173"/>
      <c r="F118" s="2173"/>
      <c r="G118" s="2174"/>
      <c r="H118" s="2173"/>
      <c r="I118" s="2174"/>
      <c r="J118" s="2173"/>
      <c r="K118" s="2173"/>
      <c r="L118" s="2174"/>
      <c r="M118" s="2173"/>
      <c r="N118" s="2173"/>
      <c r="O118" s="2174"/>
      <c r="P118" s="2173"/>
      <c r="Q118" s="2173"/>
      <c r="R118" s="2175"/>
    </row>
    <row r="119" spans="2:18" s="2147" customFormat="1">
      <c r="B119" s="2173"/>
      <c r="C119" s="2173"/>
      <c r="D119" s="2173"/>
      <c r="E119" s="2173"/>
      <c r="F119" s="2173"/>
      <c r="G119" s="2174"/>
      <c r="H119" s="2173"/>
      <c r="I119" s="2174"/>
      <c r="J119" s="2173"/>
      <c r="K119" s="2173"/>
      <c r="L119" s="2174"/>
      <c r="M119" s="2173"/>
      <c r="N119" s="2173"/>
      <c r="O119" s="2174"/>
      <c r="P119" s="2173"/>
      <c r="Q119" s="2173"/>
      <c r="R119" s="2175"/>
    </row>
    <row r="120" spans="2:18" s="2147" customFormat="1">
      <c r="B120" s="2173"/>
      <c r="C120" s="2173"/>
      <c r="D120" s="2173"/>
      <c r="E120" s="2173"/>
      <c r="F120" s="2173"/>
      <c r="G120" s="2174"/>
      <c r="H120" s="2173"/>
      <c r="I120" s="2174"/>
      <c r="J120" s="2173"/>
      <c r="K120" s="2173"/>
      <c r="L120" s="2174"/>
      <c r="M120" s="2173"/>
      <c r="N120" s="2173"/>
      <c r="O120" s="2174"/>
      <c r="P120" s="2173"/>
      <c r="Q120" s="2173"/>
      <c r="R120" s="2175"/>
    </row>
    <row r="121" spans="2:18" s="2147" customFormat="1">
      <c r="B121" s="2173"/>
      <c r="C121" s="2173"/>
      <c r="D121" s="2173"/>
      <c r="E121" s="2173"/>
      <c r="F121" s="2173"/>
      <c r="G121" s="2174"/>
      <c r="H121" s="2173"/>
      <c r="I121" s="2174"/>
      <c r="J121" s="2173"/>
      <c r="K121" s="2173"/>
      <c r="L121" s="2174"/>
      <c r="M121" s="2173"/>
      <c r="N121" s="2173"/>
      <c r="O121" s="2174"/>
      <c r="P121" s="2173"/>
      <c r="Q121" s="2173"/>
      <c r="R121" s="2175"/>
    </row>
    <row r="122" spans="2:18" s="2147" customFormat="1">
      <c r="B122" s="2173"/>
      <c r="C122" s="2173"/>
      <c r="D122" s="2173"/>
      <c r="E122" s="2173"/>
      <c r="F122" s="2173"/>
      <c r="G122" s="2174"/>
      <c r="H122" s="2173"/>
      <c r="I122" s="2174"/>
      <c r="J122" s="2173"/>
      <c r="K122" s="2173"/>
      <c r="L122" s="2174"/>
      <c r="M122" s="2173"/>
      <c r="N122" s="2173"/>
      <c r="O122" s="2174"/>
      <c r="P122" s="2173"/>
      <c r="Q122" s="2173"/>
      <c r="R122" s="2175"/>
    </row>
    <row r="123" spans="2:18" s="2147" customFormat="1">
      <c r="B123" s="2173"/>
      <c r="C123" s="2173"/>
      <c r="D123" s="2173"/>
      <c r="E123" s="2173"/>
      <c r="F123" s="2173"/>
      <c r="G123" s="2174"/>
      <c r="H123" s="2173"/>
      <c r="I123" s="2174"/>
      <c r="J123" s="2173"/>
      <c r="K123" s="2173"/>
      <c r="L123" s="2174"/>
      <c r="M123" s="2173"/>
      <c r="N123" s="2173"/>
      <c r="O123" s="2174"/>
      <c r="P123" s="2173"/>
      <c r="Q123" s="2173"/>
      <c r="R123" s="2175"/>
    </row>
    <row r="124" spans="2:18" s="2147" customFormat="1">
      <c r="B124" s="2173"/>
      <c r="C124" s="2173"/>
      <c r="D124" s="2173"/>
      <c r="E124" s="2173"/>
      <c r="F124" s="2173"/>
      <c r="G124" s="2174"/>
      <c r="H124" s="2173"/>
      <c r="I124" s="2174"/>
      <c r="J124" s="2173"/>
      <c r="K124" s="2173"/>
      <c r="L124" s="2174"/>
      <c r="M124" s="2173"/>
      <c r="N124" s="2173"/>
      <c r="O124" s="2174"/>
      <c r="P124" s="2173"/>
      <c r="Q124" s="2173"/>
      <c r="R124" s="2175"/>
    </row>
    <row r="125" spans="2:18" s="2147" customFormat="1">
      <c r="B125" s="2173"/>
      <c r="C125" s="2173"/>
      <c r="D125" s="2173"/>
      <c r="E125" s="2173"/>
      <c r="F125" s="2173"/>
      <c r="G125" s="2174"/>
      <c r="H125" s="2173"/>
      <c r="I125" s="2174"/>
      <c r="J125" s="2173"/>
      <c r="K125" s="2173"/>
      <c r="L125" s="2174"/>
      <c r="M125" s="2173"/>
      <c r="N125" s="2173"/>
      <c r="O125" s="2174"/>
      <c r="P125" s="2173"/>
      <c r="Q125" s="2173"/>
      <c r="R125" s="2175"/>
    </row>
    <row r="126" spans="2:18" s="2147" customFormat="1">
      <c r="B126" s="2173"/>
      <c r="C126" s="2173"/>
      <c r="D126" s="2173"/>
      <c r="E126" s="2173"/>
      <c r="F126" s="2173"/>
      <c r="G126" s="2174"/>
      <c r="H126" s="2173"/>
      <c r="I126" s="2174"/>
      <c r="J126" s="2173"/>
      <c r="K126" s="2173"/>
      <c r="L126" s="2174"/>
      <c r="M126" s="2173"/>
      <c r="N126" s="2173"/>
      <c r="O126" s="2174"/>
      <c r="P126" s="2173"/>
      <c r="Q126" s="2173"/>
      <c r="R126" s="2175"/>
    </row>
    <row r="127" spans="2:18" s="2147" customFormat="1">
      <c r="B127" s="2173"/>
      <c r="C127" s="2173"/>
      <c r="D127" s="2173"/>
      <c r="E127" s="2173"/>
      <c r="F127" s="2173"/>
      <c r="G127" s="2174"/>
      <c r="H127" s="2173"/>
      <c r="I127" s="2174"/>
      <c r="J127" s="2173"/>
      <c r="K127" s="2173"/>
      <c r="L127" s="2174"/>
      <c r="M127" s="2173"/>
      <c r="N127" s="2173"/>
      <c r="O127" s="2174"/>
      <c r="P127" s="2173"/>
      <c r="Q127" s="2173"/>
      <c r="R127" s="2175"/>
    </row>
    <row r="128" spans="2:18" s="2147" customFormat="1">
      <c r="B128" s="2173"/>
      <c r="C128" s="2173"/>
      <c r="D128" s="2173"/>
      <c r="E128" s="2173"/>
      <c r="F128" s="2173"/>
      <c r="G128" s="2174"/>
      <c r="H128" s="2173"/>
      <c r="I128" s="2174"/>
      <c r="J128" s="2173"/>
      <c r="K128" s="2173"/>
      <c r="L128" s="2174"/>
      <c r="M128" s="2173"/>
      <c r="N128" s="2173"/>
      <c r="O128" s="2174"/>
      <c r="P128" s="2173"/>
      <c r="Q128" s="2173"/>
      <c r="R128" s="2175"/>
    </row>
    <row r="129" spans="2:18" s="2147" customFormat="1">
      <c r="B129" s="2173"/>
      <c r="C129" s="2173"/>
      <c r="D129" s="2173"/>
      <c r="E129" s="2173"/>
      <c r="F129" s="2173"/>
      <c r="G129" s="2174"/>
      <c r="H129" s="2173"/>
      <c r="I129" s="2174"/>
      <c r="J129" s="2173"/>
      <c r="K129" s="2173"/>
      <c r="L129" s="2174"/>
      <c r="M129" s="2173"/>
      <c r="N129" s="2173"/>
      <c r="O129" s="2174"/>
      <c r="P129" s="2173"/>
      <c r="Q129" s="2173"/>
      <c r="R129" s="2175"/>
    </row>
    <row r="130" spans="2:18" s="2147" customFormat="1">
      <c r="B130" s="2173"/>
      <c r="C130" s="2173"/>
      <c r="D130" s="2173"/>
      <c r="E130" s="2173"/>
      <c r="F130" s="2173"/>
      <c r="G130" s="2174"/>
      <c r="H130" s="2173"/>
      <c r="I130" s="2174"/>
      <c r="J130" s="2173"/>
      <c r="K130" s="2173"/>
      <c r="L130" s="2174"/>
      <c r="M130" s="2173"/>
      <c r="N130" s="2173"/>
      <c r="O130" s="2174"/>
      <c r="P130" s="2173"/>
      <c r="Q130" s="2173"/>
      <c r="R130" s="2175"/>
    </row>
    <row r="131" spans="2:18" s="2147" customFormat="1">
      <c r="B131" s="2173"/>
      <c r="C131" s="2173"/>
      <c r="D131" s="2173"/>
      <c r="E131" s="2173"/>
      <c r="F131" s="2173"/>
      <c r="G131" s="2174"/>
      <c r="H131" s="2173"/>
      <c r="I131" s="2174"/>
      <c r="J131" s="2173"/>
      <c r="K131" s="2173"/>
      <c r="L131" s="2174"/>
      <c r="M131" s="2173"/>
      <c r="N131" s="2173"/>
      <c r="O131" s="2174"/>
      <c r="P131" s="2173"/>
      <c r="Q131" s="2173"/>
      <c r="R131" s="2175"/>
    </row>
    <row r="132" spans="2:18" s="2147" customFormat="1">
      <c r="B132" s="2173"/>
      <c r="C132" s="2173"/>
      <c r="D132" s="2173"/>
      <c r="E132" s="2173"/>
      <c r="F132" s="2173"/>
      <c r="G132" s="2174"/>
      <c r="H132" s="2173"/>
      <c r="I132" s="2174"/>
      <c r="J132" s="2173"/>
      <c r="K132" s="2173"/>
      <c r="L132" s="2174"/>
      <c r="M132" s="2173"/>
      <c r="N132" s="2173"/>
      <c r="O132" s="2174"/>
      <c r="P132" s="2173"/>
      <c r="Q132" s="2173"/>
      <c r="R132" s="2175"/>
    </row>
    <row r="133" spans="2:18" s="2147" customFormat="1">
      <c r="B133" s="2173"/>
      <c r="C133" s="2173"/>
      <c r="D133" s="2173"/>
      <c r="E133" s="2173"/>
      <c r="F133" s="2173"/>
      <c r="G133" s="2174"/>
      <c r="H133" s="2173"/>
      <c r="I133" s="2174"/>
      <c r="J133" s="2173"/>
      <c r="K133" s="2173"/>
      <c r="L133" s="2174"/>
      <c r="M133" s="2173"/>
      <c r="N133" s="2173"/>
      <c r="O133" s="2174"/>
      <c r="P133" s="2173"/>
      <c r="Q133" s="2173"/>
      <c r="R133" s="2175"/>
    </row>
    <row r="134" spans="2:18" s="2147" customFormat="1">
      <c r="B134" s="2173"/>
      <c r="C134" s="2173"/>
      <c r="D134" s="2173"/>
      <c r="E134" s="2173"/>
      <c r="F134" s="2173"/>
      <c r="G134" s="2174"/>
      <c r="H134" s="2173"/>
      <c r="I134" s="2174"/>
      <c r="J134" s="2173"/>
      <c r="K134" s="2173"/>
      <c r="L134" s="2174"/>
      <c r="M134" s="2173"/>
      <c r="N134" s="2173"/>
      <c r="O134" s="2174"/>
      <c r="P134" s="2173"/>
      <c r="Q134" s="2173"/>
      <c r="R134" s="2175"/>
    </row>
    <row r="135" spans="2:18" s="2147" customFormat="1">
      <c r="B135" s="2173"/>
      <c r="C135" s="2173"/>
      <c r="D135" s="2173"/>
      <c r="E135" s="2173"/>
      <c r="F135" s="2173"/>
      <c r="G135" s="2174"/>
      <c r="H135" s="2173"/>
      <c r="I135" s="2174"/>
      <c r="J135" s="2173"/>
      <c r="K135" s="2173"/>
      <c r="L135" s="2174"/>
      <c r="M135" s="2173"/>
      <c r="N135" s="2173"/>
      <c r="O135" s="2174"/>
      <c r="P135" s="2173"/>
      <c r="Q135" s="2173"/>
      <c r="R135" s="2175"/>
    </row>
    <row r="136" spans="2:18" s="2147" customFormat="1">
      <c r="B136" s="2173"/>
      <c r="C136" s="2173"/>
      <c r="D136" s="2173"/>
      <c r="E136" s="2173"/>
      <c r="F136" s="2173"/>
      <c r="G136" s="2174"/>
      <c r="H136" s="2173"/>
      <c r="I136" s="2174"/>
      <c r="J136" s="2173"/>
      <c r="K136" s="2173"/>
      <c r="L136" s="2174"/>
      <c r="M136" s="2173"/>
      <c r="N136" s="2173"/>
      <c r="O136" s="2174"/>
      <c r="P136" s="2173"/>
      <c r="Q136" s="2173"/>
      <c r="R136" s="2175"/>
    </row>
    <row r="137" spans="2:18" s="2147" customFormat="1">
      <c r="B137" s="2173"/>
      <c r="C137" s="2173"/>
      <c r="D137" s="2173"/>
      <c r="E137" s="2173"/>
      <c r="F137" s="2173"/>
      <c r="G137" s="2174"/>
      <c r="H137" s="2173"/>
      <c r="I137" s="2174"/>
      <c r="J137" s="2173"/>
      <c r="K137" s="2173"/>
      <c r="L137" s="2174"/>
      <c r="M137" s="2173"/>
      <c r="N137" s="2173"/>
      <c r="O137" s="2174"/>
      <c r="P137" s="2173"/>
      <c r="Q137" s="2173"/>
      <c r="R137" s="2175"/>
    </row>
    <row r="138" spans="2:18" s="2147" customFormat="1">
      <c r="B138" s="2173"/>
      <c r="C138" s="2173"/>
      <c r="D138" s="2173"/>
      <c r="E138" s="2173"/>
      <c r="F138" s="2173"/>
      <c r="G138" s="2174"/>
      <c r="H138" s="2173"/>
      <c r="I138" s="2174"/>
      <c r="J138" s="2173"/>
      <c r="K138" s="2173"/>
      <c r="L138" s="2174"/>
      <c r="M138" s="2173"/>
      <c r="N138" s="2173"/>
      <c r="O138" s="2174"/>
      <c r="P138" s="2173"/>
      <c r="Q138" s="2173"/>
      <c r="R138" s="2175"/>
    </row>
    <row r="139" spans="2:18" s="2147" customFormat="1">
      <c r="B139" s="2173"/>
      <c r="C139" s="2173"/>
      <c r="D139" s="2173"/>
      <c r="E139" s="2173"/>
      <c r="F139" s="2173"/>
      <c r="G139" s="2174"/>
      <c r="H139" s="2173"/>
      <c r="I139" s="2174"/>
      <c r="J139" s="2173"/>
      <c r="K139" s="2173"/>
      <c r="L139" s="2174"/>
      <c r="M139" s="2173"/>
      <c r="N139" s="2173"/>
      <c r="O139" s="2174"/>
      <c r="P139" s="2173"/>
      <c r="Q139" s="2173"/>
      <c r="R139" s="2175"/>
    </row>
    <row r="140" spans="2:18" s="2147" customFormat="1">
      <c r="B140" s="2173"/>
      <c r="C140" s="2173"/>
      <c r="D140" s="2173"/>
      <c r="E140" s="2173"/>
      <c r="F140" s="2173"/>
      <c r="G140" s="2174"/>
      <c r="H140" s="2173"/>
      <c r="I140" s="2174"/>
      <c r="J140" s="2173"/>
      <c r="K140" s="2173"/>
      <c r="L140" s="2174"/>
      <c r="M140" s="2173"/>
      <c r="N140" s="2173"/>
      <c r="O140" s="2174"/>
      <c r="P140" s="2173"/>
      <c r="Q140" s="2173"/>
      <c r="R140" s="2175"/>
    </row>
    <row r="141" spans="2:18" s="2147" customFormat="1">
      <c r="B141" s="2173"/>
      <c r="C141" s="2173"/>
      <c r="D141" s="2173"/>
      <c r="E141" s="2173"/>
      <c r="F141" s="2173"/>
      <c r="G141" s="2174"/>
      <c r="H141" s="2173"/>
      <c r="I141" s="2174"/>
      <c r="J141" s="2173"/>
      <c r="K141" s="2173"/>
      <c r="L141" s="2174"/>
      <c r="M141" s="2173"/>
      <c r="N141" s="2173"/>
      <c r="O141" s="2174"/>
      <c r="P141" s="2173"/>
      <c r="Q141" s="2173"/>
      <c r="R141" s="2175"/>
    </row>
    <row r="142" spans="2:18" s="2147" customFormat="1">
      <c r="B142" s="2173"/>
      <c r="C142" s="2173"/>
      <c r="D142" s="2173"/>
      <c r="E142" s="2173"/>
      <c r="F142" s="2173"/>
      <c r="G142" s="2174"/>
      <c r="H142" s="2173"/>
      <c r="I142" s="2174"/>
      <c r="J142" s="2173"/>
      <c r="K142" s="2173"/>
      <c r="L142" s="2174"/>
      <c r="M142" s="2173"/>
      <c r="N142" s="2173"/>
      <c r="O142" s="2174"/>
      <c r="P142" s="2173"/>
      <c r="Q142" s="2173"/>
      <c r="R142" s="2175"/>
    </row>
    <row r="143" spans="2:18" s="2147" customFormat="1">
      <c r="B143" s="2173"/>
      <c r="C143" s="2173"/>
      <c r="D143" s="2173"/>
      <c r="E143" s="2173"/>
      <c r="F143" s="2173"/>
      <c r="G143" s="2174"/>
      <c r="H143" s="2173"/>
      <c r="I143" s="2174"/>
      <c r="J143" s="2173"/>
      <c r="K143" s="2173"/>
      <c r="L143" s="2174"/>
      <c r="M143" s="2173"/>
      <c r="N143" s="2173"/>
      <c r="O143" s="2174"/>
      <c r="P143" s="2173"/>
      <c r="Q143" s="2173"/>
      <c r="R143" s="2175"/>
    </row>
    <row r="144" spans="2:18" s="2147" customFormat="1">
      <c r="B144" s="2173"/>
      <c r="C144" s="2173"/>
      <c r="D144" s="2173"/>
      <c r="E144" s="2173"/>
      <c r="F144" s="2173"/>
      <c r="G144" s="2174"/>
      <c r="H144" s="2173"/>
      <c r="I144" s="2174"/>
      <c r="J144" s="2173"/>
      <c r="K144" s="2173"/>
      <c r="L144" s="2174"/>
      <c r="M144" s="2173"/>
      <c r="N144" s="2173"/>
      <c r="O144" s="2174"/>
      <c r="P144" s="2173"/>
      <c r="Q144" s="2173"/>
      <c r="R144" s="2175"/>
    </row>
    <row r="145" spans="2:18" s="2147" customFormat="1">
      <c r="B145" s="2173"/>
      <c r="C145" s="2173"/>
      <c r="D145" s="2173"/>
      <c r="E145" s="2173"/>
      <c r="F145" s="2173"/>
      <c r="G145" s="2174"/>
      <c r="H145" s="2173"/>
      <c r="I145" s="2174"/>
      <c r="J145" s="2173"/>
      <c r="K145" s="2173"/>
      <c r="L145" s="2174"/>
      <c r="M145" s="2173"/>
      <c r="N145" s="2173"/>
      <c r="O145" s="2174"/>
      <c r="P145" s="2173"/>
      <c r="Q145" s="2173"/>
      <c r="R145" s="2175"/>
    </row>
    <row r="146" spans="2:18" s="2147" customFormat="1">
      <c r="B146" s="2173"/>
      <c r="C146" s="2173"/>
      <c r="D146" s="2173"/>
      <c r="E146" s="2173"/>
      <c r="F146" s="2173"/>
      <c r="G146" s="2174"/>
      <c r="H146" s="2173"/>
      <c r="I146" s="2174"/>
      <c r="J146" s="2173"/>
      <c r="K146" s="2173"/>
      <c r="L146" s="2174"/>
      <c r="M146" s="2173"/>
      <c r="N146" s="2173"/>
      <c r="O146" s="2174"/>
      <c r="P146" s="2173"/>
      <c r="Q146" s="2173"/>
      <c r="R146" s="2175"/>
    </row>
    <row r="147" spans="2:18" s="2147" customFormat="1">
      <c r="B147" s="2173"/>
      <c r="C147" s="2173"/>
      <c r="D147" s="2173"/>
      <c r="E147" s="2173"/>
      <c r="F147" s="2173"/>
      <c r="G147" s="2174"/>
      <c r="H147" s="2173"/>
      <c r="I147" s="2174"/>
      <c r="J147" s="2173"/>
      <c r="K147" s="2173"/>
      <c r="L147" s="2174"/>
      <c r="M147" s="2173"/>
      <c r="N147" s="2173"/>
      <c r="O147" s="2174"/>
      <c r="P147" s="2173"/>
      <c r="Q147" s="2173"/>
      <c r="R147" s="2175"/>
    </row>
    <row r="148" spans="2:18" s="2147" customFormat="1">
      <c r="B148" s="2173"/>
      <c r="C148" s="2173"/>
      <c r="D148" s="2173"/>
      <c r="E148" s="2173"/>
      <c r="F148" s="2173"/>
      <c r="G148" s="2174"/>
      <c r="H148" s="2173"/>
      <c r="I148" s="2174"/>
      <c r="J148" s="2173"/>
      <c r="K148" s="2173"/>
      <c r="L148" s="2174"/>
      <c r="M148" s="2173"/>
      <c r="N148" s="2173"/>
      <c r="O148" s="2174"/>
      <c r="P148" s="2173"/>
      <c r="Q148" s="2173"/>
      <c r="R148" s="2175"/>
    </row>
    <row r="149" spans="2:18" s="2147" customFormat="1">
      <c r="B149" s="2173"/>
      <c r="C149" s="2173"/>
      <c r="D149" s="2173"/>
      <c r="E149" s="2173"/>
      <c r="F149" s="2173"/>
      <c r="G149" s="2174"/>
      <c r="H149" s="2173"/>
      <c r="I149" s="2174"/>
      <c r="J149" s="2173"/>
      <c r="K149" s="2173"/>
      <c r="L149" s="2174"/>
      <c r="M149" s="2173"/>
      <c r="N149" s="2173"/>
      <c r="O149" s="2174"/>
      <c r="P149" s="2173"/>
      <c r="Q149" s="2173"/>
      <c r="R149" s="2175"/>
    </row>
    <row r="150" spans="2:18" s="2147" customFormat="1">
      <c r="B150" s="2173"/>
      <c r="C150" s="2173"/>
      <c r="D150" s="2173"/>
      <c r="E150" s="2173"/>
      <c r="F150" s="2173"/>
      <c r="G150" s="2174"/>
      <c r="H150" s="2173"/>
      <c r="I150" s="2174"/>
      <c r="J150" s="2173"/>
      <c r="K150" s="2173"/>
      <c r="L150" s="2174"/>
      <c r="M150" s="2173"/>
      <c r="N150" s="2173"/>
      <c r="O150" s="2174"/>
      <c r="P150" s="2173"/>
      <c r="Q150" s="2173"/>
      <c r="R150" s="2175"/>
    </row>
    <row r="151" spans="2:18" s="2147" customFormat="1">
      <c r="B151" s="2173"/>
      <c r="C151" s="2173"/>
      <c r="D151" s="2173"/>
      <c r="E151" s="2173"/>
      <c r="F151" s="2173"/>
      <c r="G151" s="2174"/>
      <c r="H151" s="2173"/>
      <c r="I151" s="2174"/>
      <c r="J151" s="2173"/>
      <c r="K151" s="2173"/>
      <c r="L151" s="2174"/>
      <c r="M151" s="2173"/>
      <c r="N151" s="2173"/>
      <c r="O151" s="2174"/>
      <c r="P151" s="2173"/>
      <c r="Q151" s="2173"/>
      <c r="R151" s="2175"/>
    </row>
    <row r="152" spans="2:18" s="2147" customFormat="1">
      <c r="B152" s="2173"/>
      <c r="C152" s="2173"/>
      <c r="D152" s="2173"/>
      <c r="E152" s="2173"/>
      <c r="F152" s="2173"/>
      <c r="G152" s="2174"/>
      <c r="H152" s="2173"/>
      <c r="I152" s="2174"/>
      <c r="J152" s="2173"/>
      <c r="K152" s="2173"/>
      <c r="L152" s="2174"/>
      <c r="M152" s="2173"/>
      <c r="N152" s="2173"/>
      <c r="O152" s="2174"/>
      <c r="P152" s="2173"/>
      <c r="Q152" s="2173"/>
      <c r="R152" s="2175"/>
    </row>
    <row r="153" spans="2:18" s="2147" customFormat="1">
      <c r="B153" s="2173"/>
      <c r="C153" s="2173"/>
      <c r="D153" s="2173"/>
      <c r="E153" s="2173"/>
      <c r="F153" s="2173"/>
      <c r="G153" s="2174"/>
      <c r="H153" s="2173"/>
      <c r="I153" s="2174"/>
      <c r="J153" s="2173"/>
      <c r="K153" s="2173"/>
      <c r="L153" s="2174"/>
      <c r="M153" s="2173"/>
      <c r="N153" s="2173"/>
      <c r="O153" s="2174"/>
      <c r="P153" s="2173"/>
      <c r="Q153" s="2173"/>
      <c r="R153" s="2175"/>
    </row>
    <row r="154" spans="2:18" s="2147" customFormat="1">
      <c r="B154" s="2173"/>
      <c r="C154" s="2173"/>
      <c r="D154" s="2173"/>
      <c r="E154" s="2173"/>
      <c r="F154" s="2173"/>
      <c r="G154" s="2174"/>
      <c r="H154" s="2173"/>
      <c r="I154" s="2174"/>
      <c r="J154" s="2173"/>
      <c r="K154" s="2173"/>
      <c r="L154" s="2174"/>
      <c r="M154" s="2173"/>
      <c r="N154" s="2173"/>
      <c r="O154" s="2174"/>
      <c r="P154" s="2173"/>
      <c r="Q154" s="2173"/>
      <c r="R154" s="2175"/>
    </row>
    <row r="155" spans="2:18" s="2147" customFormat="1">
      <c r="B155" s="2173"/>
      <c r="C155" s="2173"/>
      <c r="D155" s="2173"/>
      <c r="E155" s="2173"/>
      <c r="F155" s="2173"/>
      <c r="G155" s="2174"/>
      <c r="H155" s="2173"/>
      <c r="I155" s="2174"/>
      <c r="J155" s="2173"/>
      <c r="K155" s="2173"/>
      <c r="L155" s="2174"/>
      <c r="M155" s="2173"/>
      <c r="N155" s="2173"/>
      <c r="O155" s="2174"/>
      <c r="P155" s="2173"/>
      <c r="Q155" s="2173"/>
      <c r="R155" s="2175"/>
    </row>
    <row r="156" spans="2:18" s="2147" customFormat="1">
      <c r="B156" s="2173"/>
      <c r="C156" s="2173"/>
      <c r="D156" s="2173"/>
      <c r="E156" s="2173"/>
      <c r="F156" s="2173"/>
      <c r="G156" s="2174"/>
      <c r="H156" s="2173"/>
      <c r="I156" s="2174"/>
      <c r="J156" s="2173"/>
      <c r="K156" s="2173"/>
      <c r="L156" s="2174"/>
      <c r="M156" s="2173"/>
      <c r="N156" s="2173"/>
      <c r="O156" s="2174"/>
      <c r="P156" s="2173"/>
      <c r="Q156" s="2173"/>
      <c r="R156" s="2175"/>
    </row>
    <row r="157" spans="2:18" s="2147" customFormat="1">
      <c r="B157" s="2173"/>
      <c r="C157" s="2173"/>
      <c r="D157" s="2173"/>
      <c r="E157" s="2173"/>
      <c r="F157" s="2173"/>
      <c r="G157" s="2174"/>
      <c r="H157" s="2173"/>
      <c r="I157" s="2174"/>
      <c r="J157" s="2173"/>
      <c r="K157" s="2173"/>
      <c r="L157" s="2174"/>
      <c r="M157" s="2173"/>
      <c r="N157" s="2173"/>
      <c r="O157" s="2174"/>
      <c r="P157" s="2173"/>
      <c r="Q157" s="2173"/>
      <c r="R157" s="2175"/>
    </row>
    <row r="158" spans="2:18" s="2147" customFormat="1">
      <c r="B158" s="2173"/>
      <c r="C158" s="2173"/>
      <c r="D158" s="2173"/>
      <c r="E158" s="2173"/>
      <c r="F158" s="2173"/>
      <c r="G158" s="2174"/>
      <c r="H158" s="2173"/>
      <c r="I158" s="2174"/>
      <c r="J158" s="2173"/>
      <c r="K158" s="2173"/>
      <c r="L158" s="2174"/>
      <c r="M158" s="2173"/>
      <c r="N158" s="2173"/>
      <c r="O158" s="2174"/>
      <c r="P158" s="2173"/>
      <c r="Q158" s="2173"/>
      <c r="R158" s="2175"/>
    </row>
    <row r="159" spans="2:18" s="2147" customFormat="1">
      <c r="B159" s="2173"/>
      <c r="C159" s="2173"/>
      <c r="D159" s="2173"/>
      <c r="E159" s="2173"/>
      <c r="F159" s="2173"/>
      <c r="G159" s="2174"/>
      <c r="H159" s="2173"/>
      <c r="I159" s="2174"/>
      <c r="J159" s="2173"/>
      <c r="K159" s="2173"/>
      <c r="L159" s="2174"/>
      <c r="M159" s="2173"/>
      <c r="N159" s="2173"/>
      <c r="O159" s="2174"/>
      <c r="P159" s="2173"/>
      <c r="Q159" s="2173"/>
      <c r="R159" s="2175"/>
    </row>
    <row r="160" spans="2:18" s="2147" customFormat="1">
      <c r="B160" s="2173"/>
      <c r="C160" s="2173"/>
      <c r="D160" s="2173"/>
      <c r="E160" s="2173"/>
      <c r="F160" s="2173"/>
      <c r="G160" s="2174"/>
      <c r="H160" s="2173"/>
      <c r="I160" s="2174"/>
      <c r="J160" s="2173"/>
      <c r="K160" s="2173"/>
      <c r="L160" s="2174"/>
      <c r="M160" s="2173"/>
      <c r="N160" s="2173"/>
      <c r="O160" s="2174"/>
      <c r="P160" s="2173"/>
      <c r="Q160" s="2173"/>
      <c r="R160" s="2175"/>
    </row>
    <row r="161" spans="2:18" s="2147" customFormat="1">
      <c r="B161" s="2173"/>
      <c r="C161" s="2173"/>
      <c r="D161" s="2173"/>
      <c r="E161" s="2173"/>
      <c r="F161" s="2173"/>
      <c r="G161" s="2174"/>
      <c r="H161" s="2173"/>
      <c r="I161" s="2174"/>
      <c r="J161" s="2173"/>
      <c r="K161" s="2173"/>
      <c r="L161" s="2174"/>
      <c r="M161" s="2173"/>
      <c r="N161" s="2173"/>
      <c r="O161" s="2174"/>
      <c r="P161" s="2173"/>
      <c r="Q161" s="2173"/>
      <c r="R161" s="2175"/>
    </row>
    <row r="162" spans="2:18" s="2147" customFormat="1">
      <c r="B162" s="2173"/>
      <c r="C162" s="2173"/>
      <c r="D162" s="2173"/>
      <c r="E162" s="2173"/>
      <c r="F162" s="2173"/>
      <c r="G162" s="2174"/>
      <c r="H162" s="2173"/>
      <c r="I162" s="2174"/>
      <c r="J162" s="2173"/>
      <c r="K162" s="2173"/>
      <c r="L162" s="2174"/>
      <c r="M162" s="2173"/>
      <c r="N162" s="2173"/>
      <c r="O162" s="2174"/>
      <c r="P162" s="2173"/>
      <c r="Q162" s="2173"/>
      <c r="R162" s="2175"/>
    </row>
    <row r="163" spans="2:18" s="2147" customFormat="1">
      <c r="B163" s="2173"/>
      <c r="C163" s="2173"/>
      <c r="D163" s="2173"/>
      <c r="E163" s="2173"/>
      <c r="F163" s="2173"/>
      <c r="G163" s="2174"/>
      <c r="H163" s="2173"/>
      <c r="I163" s="2174"/>
      <c r="J163" s="2173"/>
      <c r="K163" s="2173"/>
      <c r="L163" s="2174"/>
      <c r="M163" s="2173"/>
      <c r="N163" s="2173"/>
      <c r="O163" s="2174"/>
      <c r="P163" s="2173"/>
      <c r="Q163" s="2173"/>
      <c r="R163" s="2175"/>
    </row>
    <row r="164" spans="2:18" s="2147" customFormat="1">
      <c r="B164" s="2173"/>
      <c r="C164" s="2173"/>
      <c r="D164" s="2173"/>
      <c r="E164" s="2173"/>
      <c r="F164" s="2173"/>
      <c r="G164" s="2174"/>
      <c r="H164" s="2173"/>
      <c r="I164" s="2174"/>
      <c r="J164" s="2173"/>
      <c r="K164" s="2173"/>
      <c r="L164" s="2174"/>
      <c r="M164" s="2173"/>
      <c r="N164" s="2173"/>
      <c r="O164" s="2174"/>
      <c r="P164" s="2173"/>
      <c r="Q164" s="2173"/>
      <c r="R164" s="2175"/>
    </row>
    <row r="165" spans="2:18" s="2147" customFormat="1">
      <c r="B165" s="2173"/>
      <c r="C165" s="2173"/>
      <c r="D165" s="2173"/>
      <c r="E165" s="2173"/>
      <c r="F165" s="2173"/>
      <c r="G165" s="2174"/>
      <c r="H165" s="2173"/>
      <c r="I165" s="2174"/>
      <c r="J165" s="2173"/>
      <c r="K165" s="2173"/>
      <c r="L165" s="2174"/>
      <c r="M165" s="2173"/>
      <c r="N165" s="2173"/>
      <c r="O165" s="2174"/>
      <c r="P165" s="2173"/>
      <c r="Q165" s="2173"/>
      <c r="R165" s="2175"/>
    </row>
    <row r="166" spans="2:18" s="2147" customFormat="1">
      <c r="B166" s="2173"/>
      <c r="C166" s="2173"/>
      <c r="D166" s="2173"/>
      <c r="E166" s="2173"/>
      <c r="F166" s="2173"/>
      <c r="G166" s="2174"/>
      <c r="H166" s="2173"/>
      <c r="I166" s="2174"/>
      <c r="J166" s="2173"/>
      <c r="K166" s="2173"/>
      <c r="L166" s="2174"/>
      <c r="M166" s="2173"/>
      <c r="N166" s="2173"/>
      <c r="O166" s="2174"/>
      <c r="P166" s="2173"/>
      <c r="Q166" s="2173"/>
      <c r="R166" s="2175"/>
    </row>
    <row r="167" spans="2:18" s="2147" customFormat="1">
      <c r="B167" s="2173"/>
      <c r="C167" s="2173"/>
      <c r="D167" s="2173"/>
      <c r="E167" s="2173"/>
      <c r="F167" s="2173"/>
      <c r="G167" s="2174"/>
      <c r="H167" s="2173"/>
      <c r="I167" s="2174"/>
      <c r="J167" s="2173"/>
      <c r="K167" s="2173"/>
      <c r="L167" s="2174"/>
      <c r="M167" s="2173"/>
      <c r="N167" s="2173"/>
      <c r="O167" s="2174"/>
      <c r="P167" s="2173"/>
      <c r="Q167" s="2173"/>
      <c r="R167" s="2175"/>
    </row>
    <row r="168" spans="2:18" s="2147" customFormat="1">
      <c r="B168" s="2173"/>
      <c r="C168" s="2173"/>
      <c r="D168" s="2173"/>
      <c r="E168" s="2173"/>
      <c r="F168" s="2173"/>
      <c r="G168" s="2174"/>
      <c r="H168" s="2173"/>
      <c r="I168" s="2174"/>
      <c r="J168" s="2173"/>
      <c r="K168" s="2173"/>
      <c r="L168" s="2174"/>
      <c r="M168" s="2173"/>
      <c r="N168" s="2173"/>
      <c r="O168" s="2174"/>
      <c r="P168" s="2173"/>
      <c r="Q168" s="2173"/>
      <c r="R168" s="2175"/>
    </row>
    <row r="169" spans="2:18" s="2147" customFormat="1">
      <c r="B169" s="2173"/>
      <c r="C169" s="2173"/>
      <c r="D169" s="2173"/>
      <c r="E169" s="2173"/>
      <c r="F169" s="2173"/>
      <c r="G169" s="2174"/>
      <c r="H169" s="2173"/>
      <c r="I169" s="2174"/>
      <c r="J169" s="2173"/>
      <c r="K169" s="2173"/>
      <c r="L169" s="2174"/>
      <c r="M169" s="2173"/>
      <c r="N169" s="2173"/>
      <c r="O169" s="2174"/>
      <c r="P169" s="2173"/>
      <c r="Q169" s="2173"/>
      <c r="R169" s="2175"/>
    </row>
    <row r="170" spans="2:18" s="2147" customFormat="1">
      <c r="B170" s="2173"/>
      <c r="C170" s="2173"/>
      <c r="D170" s="2173"/>
      <c r="E170" s="2173"/>
      <c r="F170" s="2173"/>
      <c r="G170" s="2174"/>
      <c r="H170" s="2173"/>
      <c r="I170" s="2174"/>
      <c r="J170" s="2173"/>
      <c r="K170" s="2173"/>
      <c r="L170" s="2174"/>
      <c r="M170" s="2173"/>
      <c r="N170" s="2173"/>
      <c r="O170" s="2174"/>
      <c r="P170" s="2173"/>
      <c r="Q170" s="2173"/>
      <c r="R170" s="2175"/>
    </row>
    <row r="171" spans="2:18" s="2147" customFormat="1">
      <c r="B171" s="2173"/>
      <c r="C171" s="2173"/>
      <c r="D171" s="2173"/>
      <c r="E171" s="2173"/>
      <c r="F171" s="2173"/>
      <c r="G171" s="2174"/>
      <c r="H171" s="2173"/>
      <c r="I171" s="2174"/>
      <c r="J171" s="2173"/>
      <c r="K171" s="2173"/>
      <c r="L171" s="2174"/>
      <c r="M171" s="2173"/>
      <c r="N171" s="2173"/>
      <c r="O171" s="2174"/>
      <c r="P171" s="2173"/>
      <c r="Q171" s="2173"/>
      <c r="R171" s="2175"/>
    </row>
    <row r="172" spans="2:18" s="2147" customFormat="1">
      <c r="B172" s="2173"/>
      <c r="C172" s="2173"/>
      <c r="D172" s="2173"/>
      <c r="E172" s="2173"/>
      <c r="F172" s="2173"/>
      <c r="G172" s="2174"/>
      <c r="H172" s="2173"/>
      <c r="I172" s="2174"/>
      <c r="J172" s="2173"/>
      <c r="K172" s="2173"/>
      <c r="L172" s="2174"/>
      <c r="M172" s="2173"/>
      <c r="N172" s="2173"/>
      <c r="O172" s="2174"/>
      <c r="P172" s="2173"/>
      <c r="Q172" s="2173"/>
      <c r="R172" s="2175"/>
    </row>
    <row r="173" spans="2:18" s="2147" customFormat="1">
      <c r="B173" s="2173"/>
      <c r="C173" s="2173"/>
      <c r="D173" s="2173"/>
      <c r="E173" s="2173"/>
      <c r="F173" s="2173"/>
      <c r="G173" s="2174"/>
      <c r="H173" s="2173"/>
      <c r="I173" s="2174"/>
      <c r="J173" s="2173"/>
      <c r="K173" s="2173"/>
      <c r="L173" s="2174"/>
      <c r="M173" s="2173"/>
      <c r="N173" s="2173"/>
      <c r="O173" s="2174"/>
      <c r="P173" s="2173"/>
      <c r="Q173" s="2173"/>
      <c r="R173" s="2175"/>
    </row>
    <row r="174" spans="2:18" s="2147" customFormat="1">
      <c r="B174" s="2173"/>
      <c r="C174" s="2173"/>
      <c r="D174" s="2173"/>
      <c r="E174" s="2173"/>
      <c r="F174" s="2173"/>
      <c r="G174" s="2174"/>
      <c r="H174" s="2173"/>
      <c r="I174" s="2174"/>
      <c r="J174" s="2173"/>
      <c r="K174" s="2173"/>
      <c r="L174" s="2174"/>
      <c r="M174" s="2173"/>
      <c r="N174" s="2173"/>
      <c r="O174" s="2174"/>
      <c r="P174" s="2173"/>
      <c r="Q174" s="2173"/>
      <c r="R174" s="2175"/>
    </row>
    <row r="175" spans="2:18" s="2147" customFormat="1">
      <c r="B175" s="2173"/>
      <c r="C175" s="2173"/>
      <c r="D175" s="2173"/>
      <c r="E175" s="2173"/>
      <c r="F175" s="2173"/>
      <c r="G175" s="2174"/>
      <c r="H175" s="2173"/>
      <c r="I175" s="2174"/>
      <c r="J175" s="2173"/>
      <c r="K175" s="2173"/>
      <c r="L175" s="2174"/>
      <c r="M175" s="2173"/>
      <c r="N175" s="2173"/>
      <c r="O175" s="2174"/>
      <c r="P175" s="2173"/>
      <c r="Q175" s="2173"/>
      <c r="R175" s="2175"/>
    </row>
    <row r="176" spans="2:18" s="2147" customFormat="1">
      <c r="B176" s="2173"/>
      <c r="C176" s="2173"/>
      <c r="D176" s="2173"/>
      <c r="E176" s="2173"/>
      <c r="F176" s="2173"/>
      <c r="G176" s="2174"/>
      <c r="H176" s="2173"/>
      <c r="I176" s="2174"/>
      <c r="J176" s="2173"/>
      <c r="K176" s="2173"/>
      <c r="L176" s="2174"/>
      <c r="M176" s="2173"/>
      <c r="N176" s="2173"/>
      <c r="O176" s="2174"/>
      <c r="P176" s="2173"/>
      <c r="Q176" s="2173"/>
      <c r="R176" s="2175"/>
    </row>
    <row r="177" spans="1:18" s="2147" customFormat="1">
      <c r="B177" s="2173"/>
      <c r="C177" s="2173"/>
      <c r="D177" s="2173"/>
      <c r="E177" s="2173"/>
      <c r="F177" s="2173"/>
      <c r="G177" s="2174"/>
      <c r="H177" s="2173"/>
      <c r="I177" s="2174"/>
      <c r="J177" s="2173"/>
      <c r="K177" s="2173"/>
      <c r="L177" s="2174"/>
      <c r="M177" s="2173"/>
      <c r="N177" s="2173"/>
      <c r="O177" s="2174"/>
      <c r="P177" s="2173"/>
      <c r="Q177" s="2173"/>
      <c r="R177" s="2175"/>
    </row>
    <row r="178" spans="1:18" s="2147" customFormat="1">
      <c r="B178" s="2173"/>
      <c r="C178" s="2173"/>
      <c r="D178" s="2173"/>
      <c r="E178" s="2173"/>
      <c r="F178" s="2173"/>
      <c r="G178" s="2174"/>
      <c r="H178" s="2173"/>
      <c r="I178" s="2174"/>
      <c r="J178" s="2173"/>
      <c r="K178" s="2173"/>
      <c r="L178" s="2174"/>
      <c r="M178" s="2173"/>
      <c r="N178" s="2173"/>
      <c r="O178" s="2174"/>
      <c r="P178" s="2173"/>
      <c r="Q178" s="2173"/>
      <c r="R178" s="2175"/>
    </row>
    <row r="179" spans="1:18" s="2147" customFormat="1">
      <c r="B179" s="2173"/>
      <c r="C179" s="2173"/>
      <c r="D179" s="2173"/>
      <c r="E179" s="2173"/>
      <c r="F179" s="2173"/>
      <c r="G179" s="2174"/>
      <c r="H179" s="2173"/>
      <c r="I179" s="2174"/>
      <c r="J179" s="2173"/>
      <c r="K179" s="2173"/>
      <c r="L179" s="2174"/>
      <c r="M179" s="2173"/>
      <c r="N179" s="2173"/>
      <c r="O179" s="2174"/>
      <c r="P179" s="2173"/>
      <c r="Q179" s="2173"/>
      <c r="R179" s="2175"/>
    </row>
    <row r="180" spans="1:18" s="2147" customFormat="1">
      <c r="B180" s="2173"/>
      <c r="C180" s="2173"/>
      <c r="D180" s="2173"/>
      <c r="E180" s="2173"/>
      <c r="F180" s="2173"/>
      <c r="G180" s="2174"/>
      <c r="H180" s="2173"/>
      <c r="I180" s="2174"/>
      <c r="J180" s="2173"/>
      <c r="K180" s="2173"/>
      <c r="L180" s="2174"/>
      <c r="M180" s="2173"/>
      <c r="N180" s="2173"/>
      <c r="O180" s="2174"/>
      <c r="P180" s="2173"/>
      <c r="Q180" s="2173"/>
      <c r="R180" s="2175"/>
    </row>
    <row r="181" spans="1:18" s="2147" customFormat="1">
      <c r="B181" s="2173"/>
      <c r="C181" s="2173"/>
      <c r="D181" s="2173"/>
      <c r="E181" s="2173"/>
      <c r="F181" s="2173"/>
      <c r="G181" s="2174"/>
      <c r="H181" s="2173"/>
      <c r="I181" s="2174"/>
      <c r="J181" s="2173"/>
      <c r="K181" s="2173"/>
      <c r="L181" s="2174"/>
      <c r="M181" s="2173"/>
      <c r="N181" s="2173"/>
      <c r="O181" s="2174"/>
      <c r="P181" s="2173"/>
      <c r="Q181" s="2173"/>
      <c r="R181" s="2175"/>
    </row>
    <row r="182" spans="1:18" s="2147" customFormat="1">
      <c r="B182" s="2173"/>
      <c r="C182" s="2173"/>
      <c r="D182" s="2173"/>
      <c r="E182" s="2173"/>
      <c r="F182" s="2173"/>
      <c r="G182" s="2174"/>
      <c r="H182" s="2173"/>
      <c r="I182" s="2174"/>
      <c r="J182" s="2173"/>
      <c r="K182" s="2173"/>
      <c r="L182" s="2174"/>
      <c r="M182" s="2173"/>
      <c r="N182" s="2173"/>
      <c r="O182" s="2174"/>
      <c r="P182" s="2173"/>
      <c r="Q182" s="2173"/>
      <c r="R182" s="2175"/>
    </row>
    <row r="183" spans="1:18" s="2147" customFormat="1">
      <c r="B183" s="2173"/>
      <c r="C183" s="2173"/>
      <c r="D183" s="2173"/>
      <c r="E183" s="2173"/>
      <c r="F183" s="2173"/>
      <c r="G183" s="2174"/>
      <c r="H183" s="2173"/>
      <c r="I183" s="2174"/>
      <c r="J183" s="2173"/>
      <c r="K183" s="2173"/>
      <c r="L183" s="2174"/>
      <c r="M183" s="2173"/>
      <c r="N183" s="2173"/>
      <c r="O183" s="2174"/>
      <c r="P183" s="2173"/>
      <c r="Q183" s="2173"/>
      <c r="R183" s="2175"/>
    </row>
    <row r="184" spans="1:18" s="2147" customFormat="1">
      <c r="B184" s="2173"/>
      <c r="C184" s="2173"/>
      <c r="D184" s="2173"/>
      <c r="E184" s="2173"/>
      <c r="F184" s="2173"/>
      <c r="G184" s="2174"/>
      <c r="H184" s="2173"/>
      <c r="I184" s="2174"/>
      <c r="J184" s="2173"/>
      <c r="K184" s="2173"/>
      <c r="L184" s="2174"/>
      <c r="M184" s="2173"/>
      <c r="N184" s="2173"/>
      <c r="O184" s="2174"/>
      <c r="P184" s="2173"/>
      <c r="Q184" s="2173"/>
      <c r="R184" s="2175"/>
    </row>
    <row r="185" spans="1:18" s="2147" customFormat="1">
      <c r="B185" s="2173"/>
      <c r="C185" s="2173"/>
      <c r="D185" s="2173"/>
      <c r="E185" s="2173"/>
      <c r="F185" s="2173"/>
      <c r="G185" s="2174"/>
      <c r="H185" s="2173"/>
      <c r="I185" s="2174"/>
      <c r="J185" s="2173"/>
      <c r="K185" s="2173"/>
      <c r="L185" s="2174"/>
      <c r="M185" s="2173"/>
      <c r="N185" s="2173"/>
      <c r="O185" s="2174"/>
      <c r="P185" s="2173"/>
      <c r="Q185" s="2173"/>
      <c r="R185" s="2175"/>
    </row>
    <row r="186" spans="1:18">
      <c r="A186" s="2147"/>
      <c r="B186" s="2173"/>
      <c r="C186" s="2173"/>
      <c r="E186" s="2173"/>
      <c r="F186" s="2173"/>
      <c r="G186" s="2174"/>
    </row>
    <row r="187" spans="1:18">
      <c r="A187" s="2147"/>
      <c r="B187" s="2173"/>
      <c r="C187" s="2173"/>
      <c r="E187" s="2173"/>
      <c r="F187" s="2173"/>
      <c r="G187" s="217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35" sqref="D35"/>
    </sheetView>
  </sheetViews>
  <sheetFormatPr defaultColWidth="14.625" defaultRowHeight="13.5"/>
  <cols>
    <col min="1" max="1" width="24.375" customWidth="1"/>
  </cols>
  <sheetData>
    <row r="1" spans="1:9" ht="16.5">
      <c r="A1" s="1836" t="s">
        <v>1229</v>
      </c>
      <c r="B1" s="1836">
        <f>SUM(B14:B23)</f>
        <v>339.05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42990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2802.0963000000002</v>
      </c>
      <c r="C5" s="1836">
        <f ca="1">ROUND(B5*10000/$B$1,0)</f>
        <v>82646</v>
      </c>
      <c r="D5" s="1836" t="e">
        <f ca="1">ROUND(B5*10000/$B$2,0)</f>
        <v>#DIV/0!</v>
      </c>
      <c r="E5" s="1837"/>
      <c r="F5" s="1841"/>
      <c r="G5" s="1841"/>
    </row>
    <row r="6" spans="1:9" ht="16.5">
      <c r="A6" s="1836" t="s">
        <v>1237</v>
      </c>
      <c r="B6" s="1836">
        <f ca="1">SUM(G14:G23)</f>
        <v>2802.0963000000002</v>
      </c>
      <c r="C6" s="1836">
        <f t="shared" ref="C6:C8" ca="1" si="0">ROUND(B6*10000/$B$1,0)</f>
        <v>82646</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1257</v>
      </c>
      <c r="B11" s="1842"/>
      <c r="C11" s="1837"/>
      <c r="D11" s="1837"/>
      <c r="E11" s="1837"/>
      <c r="F11" s="1841"/>
      <c r="G11" s="1841"/>
    </row>
    <row r="12" spans="1:9" ht="16.5">
      <c r="A12" s="1837"/>
      <c r="B12" s="1837"/>
      <c r="C12" s="1837"/>
      <c r="D12" s="1837"/>
      <c r="E12" s="1837"/>
      <c r="F12" s="1841"/>
      <c r="G12" s="1841"/>
    </row>
    <row r="13" spans="1:9" ht="33">
      <c r="A13" s="1846" t="s">
        <v>1256</v>
      </c>
      <c r="B13" s="1840" t="s">
        <v>1229</v>
      </c>
      <c r="C13" s="1840" t="s">
        <v>1230</v>
      </c>
      <c r="D13" s="1840" t="s">
        <v>1242</v>
      </c>
      <c r="E13" s="1836" t="s">
        <v>1234</v>
      </c>
      <c r="F13" s="1836" t="s">
        <v>1235</v>
      </c>
      <c r="G13" s="1840" t="s">
        <v>1243</v>
      </c>
      <c r="H13" s="1840" t="s">
        <v>1244</v>
      </c>
      <c r="I13" s="1840" t="s">
        <v>1245</v>
      </c>
    </row>
    <row r="14" spans="1:9" ht="16.5">
      <c r="A14" s="1843" t="s">
        <v>1255</v>
      </c>
      <c r="B14" s="1840">
        <f>项目基本情况!C12</f>
        <v>339.05</v>
      </c>
      <c r="C14" s="1840">
        <f>项目基本情况!C13</f>
        <v>0</v>
      </c>
      <c r="D14" s="1840">
        <f ca="1">IF('数据-取费表'!B3="万元",IF(A14="估价对象1（结果表）",结果表!H121,'结果表 (1修多)'!H124),IF(A14="估价对象1（结果表）",结果表!H121,'结果表 (1修多)'!H124)/10000)</f>
        <v>2802.0963000000002</v>
      </c>
      <c r="E14" s="1840">
        <f ca="1">ROUND(D14*10000/B14,0)</f>
        <v>82646</v>
      </c>
      <c r="F14" s="1840" t="e">
        <f ca="1">ROUND(D14*10000/C14,0)</f>
        <v>#DIV/0!</v>
      </c>
      <c r="G14" s="1840">
        <f ca="1">IF('数据-取费表'!B3="万元",IF(A14="估价对象1（结果表）",结果表!D125,'结果表 (1修多)'!D128),IF(A14="估价对象1（结果表）",结果表!D125,'结果表 (1修多)'!D128)/10000)</f>
        <v>2802.0963000000002</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200"/>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1771</v>
      </c>
      <c r="B1" s="2199"/>
      <c r="C1" s="2199"/>
      <c r="D1" s="2199"/>
      <c r="E1" s="2199"/>
      <c r="F1" s="2199"/>
      <c r="G1" s="2199"/>
      <c r="H1" s="2199"/>
      <c r="I1" s="2199"/>
    </row>
    <row r="2" spans="1:12" ht="21.75" customHeight="1">
      <c r="A2" s="2879" t="str">
        <f>项目基本情况!B1</f>
        <v>北京市房地产市场价值预评估</v>
      </c>
      <c r="B2" s="2879"/>
      <c r="C2" s="2879"/>
      <c r="D2" s="2879"/>
      <c r="E2" s="2879"/>
      <c r="F2" s="2879"/>
      <c r="G2" s="2879"/>
      <c r="H2" s="2879"/>
      <c r="I2" s="2879"/>
    </row>
    <row r="3" spans="1:12" ht="12.75">
      <c r="A3" s="2885" t="s">
        <v>1772</v>
      </c>
      <c r="B3" s="2886"/>
      <c r="C3" s="2886"/>
      <c r="D3" s="2886"/>
      <c r="E3" s="2886"/>
      <c r="F3" s="2886"/>
      <c r="G3" s="2886"/>
      <c r="H3" s="2886"/>
      <c r="I3" s="2886"/>
    </row>
    <row r="4" spans="1:12" ht="14.25">
      <c r="A4" s="2201" t="s">
        <v>1773</v>
      </c>
      <c r="B4" s="2202" t="s">
        <v>1774</v>
      </c>
      <c r="C4" s="2203" t="s">
        <v>2839</v>
      </c>
      <c r="D4" s="2203" t="s">
        <v>2840</v>
      </c>
      <c r="E4" s="2890" t="s">
        <v>1775</v>
      </c>
      <c r="F4" s="2891"/>
      <c r="G4" s="2891"/>
      <c r="H4" s="2891"/>
      <c r="I4" s="2892"/>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80" t="s">
        <v>1776</v>
      </c>
      <c r="B5" s="2825">
        <v>25</v>
      </c>
      <c r="C5" s="2887">
        <v>5</v>
      </c>
      <c r="D5" s="2884">
        <v>5</v>
      </c>
      <c r="E5" s="56" t="s">
        <v>1777</v>
      </c>
      <c r="F5" s="2204"/>
      <c r="G5" s="2204"/>
      <c r="H5" s="2204"/>
      <c r="I5" s="2205"/>
    </row>
    <row r="6" spans="1:12" ht="12.75">
      <c r="A6" s="2880"/>
      <c r="B6" s="2825"/>
      <c r="C6" s="2888"/>
      <c r="D6" s="2884"/>
      <c r="E6" s="56" t="s">
        <v>1778</v>
      </c>
      <c r="F6" s="2204"/>
      <c r="G6" s="2204"/>
      <c r="H6" s="2204"/>
      <c r="I6" s="2205"/>
    </row>
    <row r="7" spans="1:12" ht="12.75">
      <c r="A7" s="2880"/>
      <c r="B7" s="2825"/>
      <c r="C7" s="2889"/>
      <c r="D7" s="2884"/>
      <c r="E7" s="56" t="s">
        <v>1779</v>
      </c>
      <c r="F7" s="2204"/>
      <c r="G7" s="2204"/>
      <c r="H7" s="2204"/>
      <c r="I7" s="2205"/>
    </row>
    <row r="8" spans="1:12" ht="12.75">
      <c r="A8" s="2880" t="s">
        <v>1780</v>
      </c>
      <c r="B8" s="2825">
        <v>15</v>
      </c>
      <c r="C8" s="2887"/>
      <c r="D8" s="2884"/>
      <c r="E8" s="56" t="s">
        <v>1781</v>
      </c>
      <c r="F8" s="2204"/>
      <c r="G8" s="2204"/>
      <c r="H8" s="2204"/>
      <c r="I8" s="2205"/>
    </row>
    <row r="9" spans="1:12" ht="12.75">
      <c r="A9" s="2880"/>
      <c r="B9" s="2825"/>
      <c r="C9" s="2889"/>
      <c r="D9" s="2884"/>
      <c r="E9" s="56" t="s">
        <v>1782</v>
      </c>
      <c r="F9" s="2204"/>
      <c r="G9" s="2204"/>
      <c r="H9" s="2204"/>
      <c r="I9" s="2205"/>
    </row>
    <row r="10" spans="1:12" ht="12.75">
      <c r="A10" s="2880" t="s">
        <v>1783</v>
      </c>
      <c r="B10" s="2825">
        <v>15</v>
      </c>
      <c r="C10" s="2887"/>
      <c r="D10" s="2884"/>
      <c r="E10" s="56" t="s">
        <v>1784</v>
      </c>
      <c r="F10" s="2204"/>
      <c r="G10" s="2204"/>
      <c r="H10" s="2204"/>
      <c r="I10" s="2205"/>
    </row>
    <row r="11" spans="1:12" ht="12.75">
      <c r="A11" s="2880"/>
      <c r="B11" s="2825"/>
      <c r="C11" s="2889"/>
      <c r="D11" s="2884"/>
      <c r="E11" s="56" t="s">
        <v>1785</v>
      </c>
      <c r="F11" s="2204"/>
      <c r="G11" s="2204"/>
      <c r="H11" s="2204"/>
      <c r="I11" s="2205"/>
    </row>
    <row r="12" spans="1:12" ht="12.75">
      <c r="A12" s="2880" t="s">
        <v>1786</v>
      </c>
      <c r="B12" s="2825">
        <v>15</v>
      </c>
      <c r="C12" s="2887"/>
      <c r="D12" s="2884"/>
      <c r="E12" s="56" t="s">
        <v>1787</v>
      </c>
      <c r="F12" s="2204"/>
      <c r="G12" s="2204"/>
      <c r="H12" s="2204"/>
      <c r="I12" s="2205"/>
    </row>
    <row r="13" spans="1:12" ht="12.75">
      <c r="A13" s="2880"/>
      <c r="B13" s="2825"/>
      <c r="C13" s="2889"/>
      <c r="D13" s="2884"/>
      <c r="E13" s="56" t="s">
        <v>1788</v>
      </c>
      <c r="F13" s="2204"/>
      <c r="G13" s="2204"/>
      <c r="H13" s="2204"/>
      <c r="I13" s="2205"/>
    </row>
    <row r="14" spans="1:12" ht="12.75">
      <c r="A14" s="2880" t="s">
        <v>1789</v>
      </c>
      <c r="B14" s="2825">
        <v>30</v>
      </c>
      <c r="C14" s="2887"/>
      <c r="D14" s="2884"/>
      <c r="E14" s="56" t="s">
        <v>1790</v>
      </c>
      <c r="F14" s="2204"/>
      <c r="G14" s="2204"/>
      <c r="H14" s="2204"/>
      <c r="I14" s="2205"/>
    </row>
    <row r="15" spans="1:12" ht="12.75">
      <c r="A15" s="2880"/>
      <c r="B15" s="2825"/>
      <c r="C15" s="2888"/>
      <c r="D15" s="2884"/>
      <c r="E15" s="56" t="s">
        <v>1791</v>
      </c>
      <c r="F15" s="2204"/>
      <c r="G15" s="2204"/>
      <c r="H15" s="2204"/>
      <c r="I15" s="2205"/>
    </row>
    <row r="16" spans="1:12" ht="12.75">
      <c r="A16" s="2880"/>
      <c r="B16" s="2825"/>
      <c r="C16" s="2889"/>
      <c r="D16" s="2884"/>
      <c r="E16" s="56" t="s">
        <v>1792</v>
      </c>
      <c r="F16" s="2204"/>
      <c r="G16" s="2204"/>
      <c r="H16" s="2204"/>
      <c r="I16" s="2205"/>
    </row>
    <row r="17" spans="1:35" ht="15">
      <c r="A17" s="2206" t="s">
        <v>1793</v>
      </c>
      <c r="B17" s="2207"/>
      <c r="C17" s="57">
        <f>SUM(C5:C16)</f>
        <v>5</v>
      </c>
      <c r="D17" s="57">
        <f>SUM(D5:D16)</f>
        <v>5</v>
      </c>
      <c r="E17" s="2199"/>
      <c r="F17" s="2199"/>
      <c r="G17" s="2199"/>
      <c r="H17" s="2199"/>
      <c r="I17" s="2199"/>
    </row>
    <row r="18" spans="1:35" ht="15.75" thickBot="1">
      <c r="A18" s="2208" t="s">
        <v>1794</v>
      </c>
      <c r="B18" s="2209"/>
      <c r="C18" s="58">
        <f>ROUND(C17/SUM(C17:D17),2)</f>
        <v>0.5</v>
      </c>
      <c r="D18" s="58">
        <f>1-C18</f>
        <v>0.5</v>
      </c>
      <c r="E18" s="2199"/>
      <c r="F18" s="2199"/>
      <c r="G18" s="2199"/>
      <c r="H18" s="2199"/>
      <c r="I18" s="2199"/>
    </row>
    <row r="19" spans="1:35" ht="15">
      <c r="A19" s="2210" t="s">
        <v>1795</v>
      </c>
      <c r="B19" s="2211" t="s">
        <v>1796</v>
      </c>
      <c r="C19" s="59">
        <f ca="1">SUMIF(INDIRECT("'"&amp;C4&amp;"'"&amp;"!A:A"),结果表!B19,INDIRECT("'"&amp;C4&amp;"'"&amp;"!B:B"))</f>
        <v>14527378</v>
      </c>
      <c r="D19" s="60">
        <f ca="1">SUMIF(INDIRECT("'"&amp;D4&amp;"'"&amp;"!A:A"),结果表!B19,INDIRECT("'"&amp;D4&amp;"'"&amp;"!B:B"))</f>
        <v>16369421</v>
      </c>
      <c r="E19" s="2210" t="s">
        <v>1797</v>
      </c>
      <c r="F19" s="2211" t="s">
        <v>1796</v>
      </c>
      <c r="G19" s="61">
        <f ca="1">ROUND(C19*$C$18+D19*$D$18,0)</f>
        <v>15448400</v>
      </c>
      <c r="H19" s="2212" t="str">
        <f>'数据-取费表'!B3</f>
        <v>元</v>
      </c>
      <c r="I19" s="2199"/>
    </row>
    <row r="20" spans="1:35" ht="15">
      <c r="A20" s="2213"/>
      <c r="B20" s="2214" t="s">
        <v>1798</v>
      </c>
      <c r="C20" s="62">
        <f ca="1">SUMIF(INDIRECT("'"&amp;C4&amp;"'"&amp;"!A:A"),结果表!B20,INDIRECT("'"&amp;C4&amp;"'"&amp;"!B:B"))</f>
        <v>42847</v>
      </c>
      <c r="D20" s="63">
        <f ca="1">SUMIF(INDIRECT("'"&amp;D4&amp;"'"&amp;"!A:A"),结果表!B20,INDIRECT("'"&amp;D4&amp;"'"&amp;"!B:B"))</f>
        <v>48280</v>
      </c>
      <c r="E20" s="2213"/>
      <c r="F20" s="2214" t="s">
        <v>1798</v>
      </c>
      <c r="G20" s="64">
        <f ca="1">ROUND(C20*$C$18+D20*$D$18,0)</f>
        <v>45564</v>
      </c>
      <c r="H20" s="2215" t="s">
        <v>1799</v>
      </c>
      <c r="I20" s="2199"/>
    </row>
    <row r="21" spans="1:35" ht="15" customHeight="1" thickBot="1">
      <c r="A21" s="2216"/>
      <c r="B21" s="2217"/>
      <c r="C21" s="771"/>
      <c r="D21" s="772"/>
      <c r="E21" s="2216"/>
      <c r="F21" s="2217"/>
      <c r="G21" s="65"/>
      <c r="H21" s="2218"/>
      <c r="I21" s="2199"/>
    </row>
    <row r="22" spans="1:35" ht="15" thickBot="1">
      <c r="A22" s="2219" t="s">
        <v>1800</v>
      </c>
      <c r="B22" s="2220"/>
      <c r="C22" s="2221"/>
      <c r="D22" s="773">
        <f ca="1">IF(C19&lt;D19,D19/C19-1,C19/D19-1)</f>
        <v>0.12679803609433171</v>
      </c>
      <c r="E22" s="2199"/>
      <c r="F22" s="2199"/>
      <c r="G22" s="2199"/>
      <c r="H22" s="2199"/>
      <c r="I22" s="2199"/>
    </row>
    <row r="23" spans="1:35" ht="13.5" thickBot="1">
      <c r="A23" s="2199"/>
      <c r="B23" s="2199"/>
      <c r="C23" s="2199"/>
      <c r="D23" s="2199"/>
      <c r="E23" s="2199"/>
      <c r="F23" s="2199"/>
      <c r="G23" s="2199"/>
      <c r="H23" s="2199"/>
      <c r="I23" s="2199"/>
    </row>
    <row r="24" spans="1:35" ht="21.75" customHeight="1">
      <c r="A24" s="2893" t="s">
        <v>1801</v>
      </c>
      <c r="B24" s="2211" t="s">
        <v>1796</v>
      </c>
      <c r="C24" s="61">
        <f>D30</f>
        <v>0</v>
      </c>
      <c r="D24" s="995"/>
      <c r="E24" s="2199"/>
      <c r="F24" s="2199"/>
      <c r="G24" s="2199"/>
      <c r="H24" s="2199"/>
      <c r="I24" s="2199"/>
    </row>
    <row r="25" spans="1:35" ht="21.75" customHeight="1">
      <c r="A25" s="2894"/>
      <c r="B25" s="2214" t="s">
        <v>1798</v>
      </c>
      <c r="C25" s="66">
        <f>IF(B30=0,0,C30)</f>
        <v>0</v>
      </c>
      <c r="D25" s="2222"/>
      <c r="E25" s="2199"/>
      <c r="F25" s="2199"/>
      <c r="G25" s="2199"/>
      <c r="H25" s="2199"/>
      <c r="I25" s="2199"/>
    </row>
    <row r="26" spans="1:35" ht="13.5" customHeight="1">
      <c r="A26" s="2223" t="s">
        <v>1802</v>
      </c>
      <c r="B26" s="67" t="s">
        <v>1803</v>
      </c>
      <c r="C26" s="67" t="s">
        <v>1804</v>
      </c>
      <c r="D26" s="68" t="s">
        <v>1805</v>
      </c>
      <c r="E26" s="2199"/>
      <c r="F26" s="2199"/>
      <c r="G26" s="2199"/>
      <c r="H26" s="2199"/>
      <c r="I26" s="2199"/>
    </row>
    <row r="27" spans="1:35" ht="14.25">
      <c r="A27" s="2224"/>
      <c r="B27" s="67">
        <v>0</v>
      </c>
      <c r="C27" s="67">
        <v>0</v>
      </c>
      <c r="D27" s="68">
        <f>ROUND(C27*B27/10000,0)</f>
        <v>0</v>
      </c>
      <c r="E27" s="2199"/>
      <c r="F27" s="2199"/>
      <c r="G27" s="2199"/>
      <c r="H27" s="2199"/>
      <c r="I27" s="2199"/>
    </row>
    <row r="28" spans="1:35" ht="14.25">
      <c r="A28" s="2223"/>
      <c r="B28" s="67"/>
      <c r="C28" s="67"/>
      <c r="D28" s="68">
        <f t="shared" ref="D28:D29" si="0">ROUND(C28*B28/10000,0)</f>
        <v>0</v>
      </c>
      <c r="E28" s="2199"/>
      <c r="F28" s="2199"/>
      <c r="G28" s="2199"/>
      <c r="H28" s="2199"/>
      <c r="I28" s="2199"/>
    </row>
    <row r="29" spans="1:35" ht="14.25">
      <c r="A29" s="2223"/>
      <c r="B29" s="67"/>
      <c r="C29" s="67"/>
      <c r="D29" s="68">
        <f t="shared" si="0"/>
        <v>0</v>
      </c>
      <c r="E29" s="2199"/>
      <c r="F29" s="2199"/>
      <c r="G29" s="2199"/>
      <c r="H29" s="2199"/>
      <c r="I29" s="2199"/>
    </row>
    <row r="30" spans="1:35" ht="14.25">
      <c r="A30" s="69" t="s">
        <v>1806</v>
      </c>
      <c r="B30" s="69">
        <f>SUM(B27:B29)</f>
        <v>0</v>
      </c>
      <c r="C30" s="69" t="e">
        <f>ROUND(D30*10000/B30,0)</f>
        <v>#DIV/0!</v>
      </c>
      <c r="D30" s="69">
        <f>SUM(D27:D29)</f>
        <v>0</v>
      </c>
      <c r="E30" s="2199"/>
      <c r="F30" s="2199"/>
      <c r="G30" s="2199"/>
      <c r="H30" s="2199"/>
      <c r="I30" s="2199"/>
    </row>
    <row r="31" spans="1:35" s="2226" customFormat="1" ht="15" thickBot="1">
      <c r="A31" s="2225"/>
      <c r="B31" s="2225"/>
      <c r="C31" s="2225"/>
      <c r="D31" s="2225"/>
      <c r="E31" s="2199"/>
      <c r="F31" s="2199"/>
      <c r="G31" s="2199"/>
      <c r="H31" s="2199"/>
      <c r="I31" s="219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7" t="s">
        <v>1807</v>
      </c>
      <c r="B32" s="2228" t="str">
        <f>'数据-取费表'!B4</f>
        <v>楼面单价</v>
      </c>
      <c r="C32" s="1146">
        <f ca="1">IF(B32="总价",G19-C24,G20-C25)</f>
        <v>45564</v>
      </c>
      <c r="D32" s="2199" t="str">
        <f>IF(B32="楼面单价","元/平方米",H19)</f>
        <v>元/平方米</v>
      </c>
      <c r="E32" s="2199"/>
      <c r="F32" s="2199"/>
      <c r="G32" s="2199"/>
      <c r="H32" s="2199"/>
      <c r="I32" s="2199"/>
    </row>
    <row r="33" spans="1:16" ht="15">
      <c r="A33" s="2229" t="s">
        <v>1808</v>
      </c>
      <c r="B33" s="2230"/>
      <c r="C33" s="2231"/>
      <c r="D33" s="2232"/>
      <c r="E33" s="2233" t="s">
        <v>1809</v>
      </c>
      <c r="F33" s="2234" t="str">
        <f>IF(B32="楼面单价","取值（单价）","取值（总价）")</f>
        <v>取值（单价）</v>
      </c>
      <c r="G33" s="2199"/>
      <c r="H33" s="2199"/>
      <c r="I33" s="2199"/>
    </row>
    <row r="34" spans="1:16" ht="15">
      <c r="A34" s="2235"/>
      <c r="B34" s="2236" t="s">
        <v>1810</v>
      </c>
      <c r="C34" s="73">
        <f ca="1">IF(D33="自定义",F34,C32-C35)</f>
        <v>42329</v>
      </c>
      <c r="D34" s="1092">
        <f ca="1">IF(D33="自定义",ROUND(C34/C32,3),1-D35)</f>
        <v>0.92900000000000005</v>
      </c>
      <c r="E34" s="2237" t="s">
        <v>1811</v>
      </c>
      <c r="F34" s="1834">
        <v>2000</v>
      </c>
      <c r="G34" s="2199"/>
      <c r="H34" s="2199"/>
      <c r="I34" s="2199"/>
    </row>
    <row r="35" spans="1:16" ht="15.75" thickBot="1">
      <c r="A35" s="2238"/>
      <c r="B35" s="2239" t="s">
        <v>1812</v>
      </c>
      <c r="C35" s="74">
        <f ca="1">IF(D33="自定义",F35,ROUND(C32*D35,0))</f>
        <v>3235</v>
      </c>
      <c r="D35" s="1091">
        <f ca="1">IF(D33="自定义",ROUND(C35/C32,3),IF(D33="成本法成本比率",成本法!C56,IF(D33="收益法收益比率",收益法!J38,收益法!J41)))</f>
        <v>7.0999999999999994E-2</v>
      </c>
      <c r="E35" s="2240" t="s">
        <v>1813</v>
      </c>
      <c r="F35" s="80">
        <v>4460</v>
      </c>
      <c r="G35" s="2199"/>
      <c r="H35" s="2199"/>
      <c r="I35" s="2199"/>
    </row>
    <row r="36" spans="1:16" ht="15.75" thickBot="1">
      <c r="A36" s="2898" t="s">
        <v>1814</v>
      </c>
      <c r="B36" s="2241" t="s">
        <v>1815</v>
      </c>
      <c r="C36" s="70">
        <v>0</v>
      </c>
      <c r="D36" s="2242"/>
      <c r="E36" s="2243"/>
      <c r="F36" s="2243"/>
      <c r="G36" s="2199"/>
      <c r="H36" s="2199"/>
      <c r="I36" s="2199"/>
    </row>
    <row r="37" spans="1:16" ht="15.75" thickBot="1">
      <c r="A37" s="2899"/>
      <c r="B37" s="2244" t="s">
        <v>1816</v>
      </c>
      <c r="C37" s="72">
        <v>0</v>
      </c>
      <c r="D37" s="2209"/>
      <c r="E37" s="2209"/>
      <c r="F37" s="2243"/>
      <c r="G37" s="2209"/>
      <c r="H37" s="2209"/>
      <c r="I37" s="2209"/>
    </row>
    <row r="38" spans="1:16" ht="15.75" thickBot="1">
      <c r="A38" s="2900"/>
      <c r="B38" s="2245" t="s">
        <v>1817</v>
      </c>
      <c r="C38" s="713">
        <v>0</v>
      </c>
      <c r="D38" s="2246" t="s">
        <v>1818</v>
      </c>
      <c r="E38" s="2209"/>
      <c r="F38" s="2243"/>
      <c r="G38" s="2209"/>
      <c r="H38" s="2209"/>
      <c r="I38" s="2209"/>
    </row>
    <row r="39" spans="1:16" ht="15">
      <c r="A39" s="2213" t="s">
        <v>1819</v>
      </c>
      <c r="B39" s="2247" t="s">
        <v>1803</v>
      </c>
      <c r="C39" s="2248" t="s">
        <v>1804</v>
      </c>
      <c r="D39" s="2248" t="s">
        <v>1820</v>
      </c>
      <c r="E39" s="2249" t="s">
        <v>1805</v>
      </c>
      <c r="F39" s="2243"/>
      <c r="G39" s="2209"/>
      <c r="H39" s="2209"/>
      <c r="I39" s="2209"/>
    </row>
    <row r="40" spans="1:16" ht="14.25">
      <c r="A40" s="2250" t="s">
        <v>1821</v>
      </c>
      <c r="B40" s="75"/>
      <c r="C40" s="76"/>
      <c r="D40" s="76"/>
      <c r="E40" s="77"/>
      <c r="F40" s="2243"/>
      <c r="G40" s="2209"/>
      <c r="H40" s="2209"/>
      <c r="I40" s="2209"/>
    </row>
    <row r="41" spans="1:16" ht="14.25">
      <c r="A41" s="2250" t="s">
        <v>1822</v>
      </c>
      <c r="B41" s="75"/>
      <c r="C41" s="76"/>
      <c r="D41" s="76"/>
      <c r="E41" s="77"/>
      <c r="F41" s="2243"/>
      <c r="G41" s="2209"/>
      <c r="H41" s="2209"/>
      <c r="I41" s="2209"/>
    </row>
    <row r="42" spans="1:16" ht="15" thickBot="1">
      <c r="A42" s="2251"/>
      <c r="B42" s="78"/>
      <c r="C42" s="79"/>
      <c r="D42" s="79"/>
      <c r="E42" s="80"/>
      <c r="F42" s="2243"/>
      <c r="G42" s="2209"/>
      <c r="H42" s="2209"/>
      <c r="I42" s="2209"/>
    </row>
    <row r="43" spans="1:16" ht="12.75">
      <c r="A43" s="2252"/>
      <c r="B43" s="2252"/>
      <c r="C43" s="2252"/>
      <c r="D43" s="2252"/>
      <c r="E43" s="2252"/>
      <c r="F43" s="2253"/>
      <c r="G43" s="2253"/>
      <c r="H43" s="2253"/>
      <c r="I43" s="2254"/>
    </row>
    <row r="44" spans="1:16" ht="18.75">
      <c r="A44" s="2255" t="s">
        <v>1823</v>
      </c>
      <c r="B44" s="2256"/>
      <c r="C44" s="2256"/>
      <c r="D44" s="2257"/>
      <c r="E44" s="2257"/>
      <c r="F44" s="2258"/>
      <c r="G44" s="2258"/>
      <c r="H44" s="2258"/>
      <c r="I44" s="2258"/>
      <c r="J44" s="2259" t="s">
        <v>1824</v>
      </c>
      <c r="K44" s="2260"/>
      <c r="L44" s="2260"/>
      <c r="M44" s="2260"/>
      <c r="N44" s="2260"/>
      <c r="O44" s="2260"/>
      <c r="P44" s="1851"/>
    </row>
    <row r="45" spans="1:16" ht="14.25" customHeight="1" thickBot="1">
      <c r="A45" s="2903" t="s">
        <v>1825</v>
      </c>
      <c r="B45" s="2904"/>
      <c r="C45" s="2905"/>
      <c r="D45" s="81">
        <f ca="1">ROUND(I102*F45,0)</f>
        <v>15448474</v>
      </c>
      <c r="E45" s="82" t="s">
        <v>1826</v>
      </c>
      <c r="F45" s="83">
        <v>1</v>
      </c>
      <c r="G45" s="84" t="s">
        <v>1827</v>
      </c>
      <c r="H45" s="2199"/>
      <c r="I45" s="2199"/>
      <c r="J45" s="2815" t="s">
        <v>1828</v>
      </c>
      <c r="K45" s="2815"/>
      <c r="L45" s="2815"/>
      <c r="M45" s="2815"/>
      <c r="N45" s="2815"/>
      <c r="O45" s="2815"/>
      <c r="P45" s="1851"/>
    </row>
    <row r="46" spans="1:16" ht="14.25" customHeight="1">
      <c r="A46" s="2895" t="s">
        <v>1829</v>
      </c>
      <c r="B46" s="2896"/>
      <c r="C46" s="2896"/>
      <c r="D46" s="2896"/>
      <c r="E46" s="2896"/>
      <c r="F46" s="2896"/>
      <c r="G46" s="2897"/>
      <c r="H46" s="2261"/>
      <c r="I46" s="1145"/>
      <c r="J46" s="1889">
        <v>1</v>
      </c>
      <c r="K46" s="2815" t="s">
        <v>1830</v>
      </c>
      <c r="L46" s="2815"/>
      <c r="M46" s="2816" t="str">
        <f>项目基本情况!B1</f>
        <v>北京市房地产市场价值预评估</v>
      </c>
      <c r="N46" s="2816"/>
      <c r="O46" s="2816"/>
      <c r="P46" s="1851"/>
    </row>
    <row r="47" spans="1:16" ht="12" customHeight="1">
      <c r="A47" s="86" t="s">
        <v>1831</v>
      </c>
      <c r="B47" s="87"/>
      <c r="C47" s="88"/>
      <c r="D47" s="89" t="s">
        <v>1832</v>
      </c>
      <c r="E47" s="14" t="s">
        <v>1833</v>
      </c>
      <c r="F47" s="90" t="s">
        <v>1834</v>
      </c>
      <c r="G47" s="91" t="s">
        <v>1835</v>
      </c>
      <c r="H47" s="2261"/>
      <c r="I47" s="1145"/>
      <c r="J47" s="1889">
        <v>2</v>
      </c>
      <c r="K47" s="2815" t="s">
        <v>1836</v>
      </c>
      <c r="L47" s="2815"/>
      <c r="M47" s="2817">
        <f>'数据-取费表'!B2</f>
        <v>42990</v>
      </c>
      <c r="N47" s="2817"/>
      <c r="O47" s="2817"/>
      <c r="P47" s="1851"/>
    </row>
    <row r="48" spans="1:16" ht="25.5">
      <c r="A48" s="2901" t="s">
        <v>1837</v>
      </c>
      <c r="B48" s="2902"/>
      <c r="C48" s="2902"/>
      <c r="D48" s="56">
        <f ca="1">IF(H48="情况1",0,IF(H48="情况2",D52,IF(H48="情况3",D53,IF(H48="情况4",D54))))</f>
        <v>823919</v>
      </c>
      <c r="E48" s="1899" t="str">
        <f>IF(H48="情况4","(销售额-原购置价)×税（费）率","销售额×税（费）率")</f>
        <v>销售额×税（费）率</v>
      </c>
      <c r="F48" s="92">
        <f>IF(H48="情况1","免征",'数据-取费表'!E29)</f>
        <v>5.6000000000000001E-2</v>
      </c>
      <c r="G48" s="2262" t="s">
        <v>1838</v>
      </c>
      <c r="H48" s="2263" t="s">
        <v>1839</v>
      </c>
      <c r="I48" s="2261"/>
      <c r="J48" s="1889">
        <v>3</v>
      </c>
      <c r="K48" s="2815" t="s">
        <v>1840</v>
      </c>
      <c r="L48" s="2815"/>
      <c r="M48" s="2816">
        <f ca="1">I102</f>
        <v>15448474</v>
      </c>
      <c r="N48" s="2816"/>
      <c r="O48" s="2816"/>
      <c r="P48" s="1851"/>
    </row>
    <row r="49" spans="1:16" ht="25.5" customHeight="1">
      <c r="A49" s="93" t="s">
        <v>1841</v>
      </c>
      <c r="B49" s="2882" t="s">
        <v>1842</v>
      </c>
      <c r="C49" s="2882"/>
      <c r="D49" s="94">
        <v>0</v>
      </c>
      <c r="E49" s="13" t="s">
        <v>1843</v>
      </c>
      <c r="F49" s="18" t="s">
        <v>48</v>
      </c>
      <c r="G49" s="2806"/>
      <c r="H49" s="2199"/>
      <c r="I49" s="2264"/>
      <c r="J49" s="1889">
        <v>4</v>
      </c>
      <c r="K49" s="2815" t="str">
        <f>IF(项目基本情况!F5="房地产抵押价值","房地产抵押价值","抵押担保权已注销时的房地产抵押价值")</f>
        <v>抵押担保权已注销时的房地产抵押价值</v>
      </c>
      <c r="L49" s="2815"/>
      <c r="M49" s="2816" t="str">
        <f>IF(项目基本情况!E8="房地产抵押价值",I110,I112)</f>
        <v>——</v>
      </c>
      <c r="N49" s="2816"/>
      <c r="O49" s="2816"/>
      <c r="P49" s="1851"/>
    </row>
    <row r="50" spans="1:16" ht="25.5" customHeight="1">
      <c r="A50" s="95"/>
      <c r="B50" s="2882" t="s">
        <v>1844</v>
      </c>
      <c r="C50" s="2882"/>
      <c r="D50" s="96"/>
      <c r="E50" s="21"/>
      <c r="F50" s="97"/>
      <c r="G50" s="2807"/>
      <c r="H50" s="2199"/>
      <c r="I50" s="2264"/>
      <c r="J50" s="2815" t="s">
        <v>1845</v>
      </c>
      <c r="K50" s="2815"/>
      <c r="L50" s="2815"/>
      <c r="M50" s="2815"/>
      <c r="N50" s="2815"/>
      <c r="O50" s="2815"/>
      <c r="P50" s="1851"/>
    </row>
    <row r="51" spans="1:16" ht="12" customHeight="1">
      <c r="A51" s="98"/>
      <c r="B51" s="2882" t="s">
        <v>1846</v>
      </c>
      <c r="C51" s="2882"/>
      <c r="D51" s="99"/>
      <c r="E51" s="20"/>
      <c r="F51" s="97"/>
      <c r="G51" s="2808"/>
      <c r="H51" s="2199"/>
      <c r="I51" s="2264"/>
      <c r="J51" s="2265" t="s">
        <v>1847</v>
      </c>
      <c r="K51" s="2815" t="s">
        <v>1848</v>
      </c>
      <c r="L51" s="2815"/>
      <c r="M51" s="2265" t="s">
        <v>1849</v>
      </c>
      <c r="N51" s="2265" t="s">
        <v>1850</v>
      </c>
      <c r="O51" s="2265" t="s">
        <v>1851</v>
      </c>
      <c r="P51" s="1851"/>
    </row>
    <row r="52" spans="1:16" ht="24" customHeight="1">
      <c r="A52" s="100" t="s">
        <v>1852</v>
      </c>
      <c r="B52" s="2882" t="s">
        <v>1853</v>
      </c>
      <c r="C52" s="2882"/>
      <c r="D52" s="99">
        <f ca="1">ROUND(D45*'数据-取费表'!E29/(1+'数据-取费表'!F30),0)</f>
        <v>823919</v>
      </c>
      <c r="E52" s="10" t="s">
        <v>1854</v>
      </c>
      <c r="F52" s="101">
        <f>'数据-取费表'!E29</f>
        <v>5.6000000000000001E-2</v>
      </c>
      <c r="G52" s="2266"/>
      <c r="H52" s="2199"/>
      <c r="I52" s="2264"/>
      <c r="J52" s="1889">
        <v>1</v>
      </c>
      <c r="K52" s="2805" t="s">
        <v>1855</v>
      </c>
      <c r="L52" s="2805"/>
      <c r="M52" s="779">
        <f ca="1">D48</f>
        <v>823919</v>
      </c>
      <c r="N52" s="1889" t="str">
        <f>E48</f>
        <v>销售额×税（费）率</v>
      </c>
      <c r="O52" s="780">
        <f>F48</f>
        <v>5.6000000000000001E-2</v>
      </c>
      <c r="P52" s="1851"/>
    </row>
    <row r="53" spans="1:16" ht="12" customHeight="1">
      <c r="A53" s="100" t="s">
        <v>1856</v>
      </c>
      <c r="B53" s="2881" t="s">
        <v>1857</v>
      </c>
      <c r="C53" s="2775"/>
      <c r="D53" s="99">
        <f ca="1">ROUND(D45*'数据-取费表'!E29/(1+'数据-取费表'!F30),0)</f>
        <v>823919</v>
      </c>
      <c r="E53" s="10" t="s">
        <v>1854</v>
      </c>
      <c r="F53" s="101">
        <f>'数据-取费表'!E29</f>
        <v>5.6000000000000001E-2</v>
      </c>
      <c r="G53" s="2266"/>
      <c r="H53" s="2199"/>
      <c r="I53" s="2264"/>
      <c r="J53" s="1889">
        <v>2</v>
      </c>
      <c r="K53" s="2805" t="s">
        <v>1858</v>
      </c>
      <c r="L53" s="2805"/>
      <c r="M53" s="779">
        <f t="shared" ref="M53:O54" ca="1" si="1">D55</f>
        <v>7724</v>
      </c>
      <c r="N53" s="1889" t="str">
        <f t="shared" si="1"/>
        <v>销售额×税（费）率</v>
      </c>
      <c r="O53" s="780">
        <f t="shared" si="1"/>
        <v>5.0000000000000001E-4</v>
      </c>
      <c r="P53" s="1851"/>
    </row>
    <row r="54" spans="1:16" ht="12" customHeight="1">
      <c r="A54" s="100" t="s">
        <v>1859</v>
      </c>
      <c r="B54" s="2881" t="s">
        <v>1860</v>
      </c>
      <c r="C54" s="2775"/>
      <c r="D54" s="99">
        <f ca="1">C68</f>
        <v>823919</v>
      </c>
      <c r="E54" s="20" t="s">
        <v>1861</v>
      </c>
      <c r="F54" s="101">
        <f>'数据-取费表'!E29</f>
        <v>5.6000000000000001E-2</v>
      </c>
      <c r="G54" s="2266"/>
      <c r="H54" s="2267"/>
      <c r="I54" s="2264"/>
      <c r="J54" s="1889">
        <v>3</v>
      </c>
      <c r="K54" s="2805" t="s">
        <v>1862</v>
      </c>
      <c r="L54" s="2805"/>
      <c r="M54" s="779">
        <f t="shared" ca="1" si="1"/>
        <v>8743836</v>
      </c>
      <c r="N54" s="1889" t="str">
        <f t="shared" si="1"/>
        <v>增值额×税（费）率</v>
      </c>
      <c r="O54" s="781" t="str">
        <f t="shared" si="1"/>
        <v>——</v>
      </c>
      <c r="P54" s="1851"/>
    </row>
    <row r="55" spans="1:16" ht="24" customHeight="1">
      <c r="A55" s="2767" t="s">
        <v>1863</v>
      </c>
      <c r="B55" s="2902"/>
      <c r="C55" s="2902"/>
      <c r="D55" s="102">
        <f ca="1">IF(H55="个人住宅",0,ROUND(D45*I55,0))</f>
        <v>7724</v>
      </c>
      <c r="E55" s="10" t="s">
        <v>1864</v>
      </c>
      <c r="F55" s="101">
        <f>IF(H55="正常",I55,"免征")</f>
        <v>5.0000000000000001E-4</v>
      </c>
      <c r="G55" s="2266"/>
      <c r="H55" s="2263" t="s">
        <v>1865</v>
      </c>
      <c r="I55" s="103">
        <f>'数据-取费表'!E37</f>
        <v>5.0000000000000001E-4</v>
      </c>
      <c r="J55" s="1889">
        <f>IF(H59="非个人房产","",4)</f>
        <v>4</v>
      </c>
      <c r="K55" s="2805" t="str">
        <f>IF(H59="非个人房产","——","个人所得税")</f>
        <v>个人所得税</v>
      </c>
      <c r="L55" s="2805"/>
      <c r="M55" s="782">
        <f ca="1">D59</f>
        <v>154485</v>
      </c>
      <c r="N55" s="1892" t="str">
        <f>E59</f>
        <v>销售额×税（费）率</v>
      </c>
      <c r="O55" s="783">
        <f>F59</f>
        <v>0.01</v>
      </c>
      <c r="P55" s="1851"/>
    </row>
    <row r="56" spans="1:16" ht="24.75">
      <c r="A56" s="2767" t="s">
        <v>1866</v>
      </c>
      <c r="B56" s="2902"/>
      <c r="C56" s="2902"/>
      <c r="D56" s="102">
        <f ca="1">IF(H56="个人住宅",D57,D58)</f>
        <v>8743836</v>
      </c>
      <c r="E56" s="10" t="s">
        <v>1867</v>
      </c>
      <c r="F56" s="101" t="str">
        <f>IF(H56="正常",F58,"免征")</f>
        <v>——</v>
      </c>
      <c r="G56" s="2268" t="s">
        <v>1868</v>
      </c>
      <c r="H56" s="2269" t="s">
        <v>1865</v>
      </c>
      <c r="I56" s="1023"/>
      <c r="J56" s="1889" t="str">
        <f>IF(项目基本情况!I6="上海银行",IF(J55="",4,J55+1),"")</f>
        <v/>
      </c>
      <c r="K56" s="2822" t="str">
        <f>IF(项目基本情况!I6="上海银行","其他处置费用","")</f>
        <v/>
      </c>
      <c r="L56" s="2823"/>
      <c r="M56" s="779" t="str">
        <f>IF(项目基本情况!I6="上海银行",M69,"")</f>
        <v/>
      </c>
      <c r="N56" s="2803" t="str">
        <f>IF(项目基本情况!I6="上海银行","包含处置中涉及的律师、诉讼、拍卖、评估等费用","")</f>
        <v/>
      </c>
      <c r="O56" s="2804"/>
      <c r="P56" s="1851"/>
    </row>
    <row r="57" spans="1:16" ht="12.75">
      <c r="A57" s="100" t="s">
        <v>1841</v>
      </c>
      <c r="B57" s="2890" t="s">
        <v>1869</v>
      </c>
      <c r="C57" s="2892"/>
      <c r="D57" s="104">
        <v>0</v>
      </c>
      <c r="E57" s="13" t="s">
        <v>1843</v>
      </c>
      <c r="F57" s="71"/>
      <c r="G57" s="2266"/>
      <c r="H57" s="1023"/>
      <c r="I57" s="1023"/>
      <c r="J57" s="2805">
        <f>IF(AND(J55="",J56=""),4,IF(项目基本情况!I6="上海银行",J56+1,J55+1))</f>
        <v>5</v>
      </c>
      <c r="K57" s="2805" t="s">
        <v>1870</v>
      </c>
      <c r="L57" s="2270" t="s">
        <v>1871</v>
      </c>
      <c r="M57" s="784"/>
      <c r="N57" s="785">
        <f ca="1">SUMIF(M52:M56,"&lt;9e307")</f>
        <v>9729964</v>
      </c>
      <c r="O57" s="2271"/>
      <c r="P57" s="1847" t="e">
        <f ca="1">N57/M49</f>
        <v>#VALUE!</v>
      </c>
    </row>
    <row r="58" spans="1:16" ht="24.75">
      <c r="A58" s="100" t="s">
        <v>1852</v>
      </c>
      <c r="B58" s="2890" t="s">
        <v>1872</v>
      </c>
      <c r="C58" s="2891"/>
      <c r="D58" s="102">
        <f ca="1">IF(H58="转让取得",C81,C97)</f>
        <v>8743836</v>
      </c>
      <c r="E58" s="10" t="s">
        <v>1867</v>
      </c>
      <c r="F58" s="14" t="s">
        <v>48</v>
      </c>
      <c r="G58" s="2266"/>
      <c r="H58" s="2269" t="s">
        <v>1873</v>
      </c>
      <c r="I58" s="1023"/>
      <c r="J58" s="2805"/>
      <c r="K58" s="2805"/>
      <c r="L58" s="2270" t="s">
        <v>1874</v>
      </c>
      <c r="M58" s="786"/>
      <c r="N58" s="2272" t="str">
        <f ca="1">IF(H19="元",NUMBERSTRING(INT(N57),2)&amp;"元整",NUMBERSTRING(INT(N57*10000),2)&amp;"元整")</f>
        <v>玖佰柒拾贰万玖仟玖佰陆拾肆元整</v>
      </c>
      <c r="O58" s="2273"/>
      <c r="P58" s="1851"/>
    </row>
    <row r="59" spans="1:16" ht="26.25" thickBot="1">
      <c r="A59" s="2768" t="s">
        <v>1875</v>
      </c>
      <c r="B59" s="2771"/>
      <c r="C59" s="2771"/>
      <c r="D59" s="105">
        <f ca="1">IF(H59="非个人房产","——",IF(H59="个人住宅",0,ROUND(D45*I59,0)))</f>
        <v>154485</v>
      </c>
      <c r="E59" s="106" t="str">
        <f>IF(H59="非个人房产","——","销售额×税（费）率")</f>
        <v>销售额×税（费）率</v>
      </c>
      <c r="F59" s="107">
        <f>IF(H59="非个人房产","——",IF(H59="个人住宅","免征",I59))</f>
        <v>0.01</v>
      </c>
      <c r="G59" s="2274" t="s">
        <v>1868</v>
      </c>
      <c r="H59" s="2269" t="s">
        <v>1876</v>
      </c>
      <c r="I59" s="108">
        <v>0.01</v>
      </c>
      <c r="J59" s="2859">
        <f>J57+1</f>
        <v>6</v>
      </c>
      <c r="K59" s="2805" t="s">
        <v>1877</v>
      </c>
      <c r="L59" s="1889" t="s">
        <v>1871</v>
      </c>
      <c r="M59" s="787"/>
      <c r="N59" s="788" t="e">
        <f ca="1">M49-N57</f>
        <v>#VALUE!</v>
      </c>
      <c r="O59" s="2275"/>
      <c r="P59" s="1851"/>
    </row>
    <row r="60" spans="1:16" ht="12" customHeight="1">
      <c r="A60" s="2073"/>
      <c r="B60" s="2199"/>
      <c r="C60" s="2199"/>
      <c r="D60" s="2199"/>
      <c r="E60" s="1023"/>
      <c r="F60" s="1023"/>
      <c r="G60" s="1023"/>
      <c r="H60" s="2252"/>
      <c r="I60" s="2199"/>
      <c r="J60" s="2860"/>
      <c r="K60" s="2805"/>
      <c r="L60" s="2270" t="s">
        <v>1874</v>
      </c>
      <c r="M60" s="786"/>
      <c r="N60" s="2272" t="e">
        <f ca="1">IF(H19="元",NUMBERSTRING(INT(N59),2)&amp;"元整",NUMBERSTRING(INT(N59*10000),2)&amp;"元整")</f>
        <v>#VALUE!</v>
      </c>
      <c r="O60" s="2273"/>
      <c r="P60" s="1851"/>
    </row>
    <row r="61" spans="1:16" ht="13.5" thickBot="1">
      <c r="A61" s="2906" t="s">
        <v>1878</v>
      </c>
      <c r="B61" s="2906"/>
      <c r="C61" s="2906"/>
      <c r="D61" s="2906"/>
      <c r="E61" s="2906"/>
      <c r="F61" s="1023"/>
      <c r="G61" s="1023"/>
      <c r="H61" s="2252"/>
      <c r="I61" s="2199"/>
      <c r="J61" s="1889">
        <f>J59+1</f>
        <v>7</v>
      </c>
      <c r="K61" s="2805" t="s">
        <v>1879</v>
      </c>
      <c r="L61" s="2805"/>
      <c r="M61" s="789"/>
      <c r="N61" s="790" t="e">
        <f ca="1">IF(H19="元",ROUND(N59/项目基本情况!C12,0),ROUND(N59*10000/项目基本情况!C12,0))</f>
        <v>#VALUE!</v>
      </c>
      <c r="O61" s="2276"/>
      <c r="P61" s="1851"/>
    </row>
    <row r="62" spans="1:16" ht="12.75">
      <c r="A62" s="2843" t="s">
        <v>1880</v>
      </c>
      <c r="B62" s="2844"/>
      <c r="C62" s="1891"/>
      <c r="D62" s="1891" t="s">
        <v>1881</v>
      </c>
      <c r="E62" s="109" t="s">
        <v>1882</v>
      </c>
      <c r="F62" s="1023"/>
      <c r="G62" s="1023"/>
      <c r="H62" s="2252"/>
      <c r="I62" s="2199"/>
      <c r="J62" s="1851"/>
      <c r="K62" s="1851"/>
      <c r="L62" s="1851"/>
      <c r="M62" s="1851"/>
      <c r="N62" s="1851"/>
      <c r="O62" s="1851"/>
      <c r="P62" s="1851"/>
    </row>
    <row r="63" spans="1:16" ht="12.75">
      <c r="A63" s="110">
        <v>1</v>
      </c>
      <c r="B63" s="111" t="s">
        <v>1883</v>
      </c>
      <c r="C63" s="112">
        <f ca="1">ROUND((C64+C65)/(1+'数据-取费表'!F30),0)</f>
        <v>14712832</v>
      </c>
      <c r="D63" s="113"/>
      <c r="E63" s="114"/>
      <c r="F63" s="1023"/>
      <c r="G63" s="1023"/>
      <c r="H63" s="2252"/>
      <c r="I63" s="2199"/>
      <c r="J63" s="2824" t="s">
        <v>1884</v>
      </c>
      <c r="K63" s="2277" t="s">
        <v>1885</v>
      </c>
      <c r="L63" s="1850" t="e">
        <f>IF(M49&gt;10000,M49*0.5%,IF(AND(M49&gt;1000,M49&lt;=10000),M49*1%,IF(AND(M49&gt;100,M49&lt;=1000),M49*3%,IF(AND(M49&gt;10,M49&lt;=100),M49*5%,M49*8%))))</f>
        <v>#VALUE!</v>
      </c>
      <c r="M63" s="14" t="e">
        <f>ROUND(L63,1)</f>
        <v>#VALUE!</v>
      </c>
      <c r="N63" s="1851"/>
      <c r="O63" s="1851"/>
      <c r="P63" s="1851"/>
    </row>
    <row r="64" spans="1:16" ht="12.75">
      <c r="A64" s="115" t="s">
        <v>71</v>
      </c>
      <c r="B64" s="116" t="s">
        <v>1886</v>
      </c>
      <c r="C64" s="117">
        <f ca="1">D45</f>
        <v>15448474</v>
      </c>
      <c r="D64" s="118" t="s">
        <v>41</v>
      </c>
      <c r="E64" s="119"/>
      <c r="F64" s="1023"/>
      <c r="G64" s="1023"/>
      <c r="H64" s="2252"/>
      <c r="I64" s="2199"/>
      <c r="J64" s="2824"/>
      <c r="K64" s="2277"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c r="A65" s="115" t="s">
        <v>72</v>
      </c>
      <c r="B65" s="116" t="s">
        <v>1889</v>
      </c>
      <c r="C65" s="120"/>
      <c r="D65" s="118"/>
      <c r="E65" s="119"/>
      <c r="F65" s="1023"/>
      <c r="G65" s="1023"/>
      <c r="H65" s="2252"/>
      <c r="I65" s="2199"/>
      <c r="J65" s="2824"/>
      <c r="K65" s="2277" t="s">
        <v>1890</v>
      </c>
      <c r="L65" s="1850" t="e">
        <f>IF(M49&gt;1000,M49*0.1%,IF(AND(M49&gt;500,M49&lt;=1000),M49*0.5%,IF(AND(M49&gt;50,M49&lt;=500),M49*1%,IF(AND(M49&gt;1,M49&lt;=50),M49*1.5%))))</f>
        <v>#VALUE!</v>
      </c>
      <c r="M65" s="14" t="e">
        <f t="shared" si="2"/>
        <v>#VALUE!</v>
      </c>
      <c r="N65" s="1851" t="s">
        <v>1888</v>
      </c>
      <c r="O65" s="1851"/>
      <c r="P65" s="1851"/>
    </row>
    <row r="66" spans="1:35" ht="12.75">
      <c r="A66" s="121" t="s">
        <v>47</v>
      </c>
      <c r="B66" s="122" t="s">
        <v>1891</v>
      </c>
      <c r="C66" s="123"/>
      <c r="D66" s="124" t="s">
        <v>41</v>
      </c>
      <c r="E66" s="1867" t="s">
        <v>1892</v>
      </c>
      <c r="F66" s="1023"/>
      <c r="G66" s="1023"/>
      <c r="H66" s="2252"/>
      <c r="I66" s="2199"/>
      <c r="J66" s="2824"/>
      <c r="K66" s="2277" t="s">
        <v>1893</v>
      </c>
      <c r="L66" s="1850" t="e">
        <f>M49*0.5%</f>
        <v>#VALUE!</v>
      </c>
      <c r="M66" s="14" t="e">
        <f>IF(L66&gt;0.5,0.5,ROUND(L66,0))</f>
        <v>#VALUE!</v>
      </c>
      <c r="N66" s="1851" t="s">
        <v>1894</v>
      </c>
      <c r="O66" s="1851"/>
      <c r="P66" s="1851"/>
    </row>
    <row r="67" spans="1:35" ht="12.75">
      <c r="A67" s="121" t="s">
        <v>42</v>
      </c>
      <c r="B67" s="122" t="s">
        <v>1895</v>
      </c>
      <c r="C67" s="125">
        <f ca="1">C63-C66</f>
        <v>14712832</v>
      </c>
      <c r="D67" s="118" t="s">
        <v>41</v>
      </c>
      <c r="E67" s="119"/>
      <c r="F67" s="1023"/>
      <c r="G67" s="1023"/>
      <c r="H67" s="2252"/>
      <c r="I67" s="2199"/>
      <c r="J67" s="2824"/>
      <c r="K67" s="2277"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thickBot="1">
      <c r="A68" s="126" t="s">
        <v>46</v>
      </c>
      <c r="B68" s="127" t="s">
        <v>1897</v>
      </c>
      <c r="C68" s="128">
        <f ca="1">IF(C67&lt;=0,0,ROUND(C67*D68,0))</f>
        <v>823919</v>
      </c>
      <c r="D68" s="129">
        <f>'数据-取费表'!E29</f>
        <v>5.6000000000000001E-2</v>
      </c>
      <c r="E68" s="130"/>
      <c r="F68" s="1023"/>
      <c r="G68" s="1023"/>
      <c r="H68" s="2252"/>
      <c r="I68" s="2199"/>
      <c r="J68" s="2824"/>
      <c r="K68" s="2277" t="s">
        <v>1898</v>
      </c>
      <c r="L68" s="1850" t="e">
        <f>IF(M49&gt;10000,M49*0.5%,IF(AND(M49&gt;5000,M49&lt;=10000),M49*1%,IF(AND(M49&gt;1000,M49&lt;=5000),M49*2%,IF(AND(M49&gt;200,M49&lt;=1000),M49*3%,M49*5%))))</f>
        <v>#VALUE!</v>
      </c>
      <c r="M68" s="14" t="e">
        <f>ROUND(L68,1)</f>
        <v>#VALUE!</v>
      </c>
      <c r="N68" s="1851"/>
      <c r="O68" s="1851"/>
      <c r="P68" s="1851"/>
    </row>
    <row r="69" spans="1:35" s="2226" customFormat="1" ht="7.5" customHeight="1">
      <c r="A69" s="2278"/>
      <c r="B69" s="2279"/>
      <c r="C69" s="2280"/>
      <c r="D69" s="2281"/>
      <c r="E69" s="2282"/>
      <c r="F69" s="1023"/>
      <c r="G69" s="1023"/>
      <c r="H69" s="2252"/>
      <c r="I69" s="2199"/>
      <c r="J69" s="2824"/>
      <c r="K69" s="2277" t="s">
        <v>1899</v>
      </c>
      <c r="L69" s="2283"/>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5" customFormat="1" ht="15" thickBot="1">
      <c r="A70" s="2845" t="s">
        <v>1900</v>
      </c>
      <c r="B70" s="2846"/>
      <c r="C70" s="2846"/>
      <c r="D70" s="2846"/>
      <c r="E70" s="2846"/>
      <c r="F70" s="2846"/>
      <c r="G70" s="2846"/>
      <c r="H70" s="2846"/>
      <c r="I70" s="2284"/>
      <c r="O70" s="1288"/>
      <c r="P70" s="1288"/>
      <c r="Q70" s="1288"/>
      <c r="R70" s="1288"/>
      <c r="S70" s="1288"/>
      <c r="T70" s="1288"/>
      <c r="U70" s="1288"/>
      <c r="V70" s="1288"/>
      <c r="W70" s="1288"/>
      <c r="X70" s="1288"/>
      <c r="Y70" s="1288"/>
      <c r="Z70" s="1288"/>
      <c r="AA70" s="2286"/>
      <c r="AB70" s="2286"/>
      <c r="AC70" s="2286"/>
      <c r="AD70" s="2286"/>
      <c r="AE70" s="2286"/>
      <c r="AF70" s="2286"/>
      <c r="AG70" s="2286"/>
      <c r="AH70" s="2286"/>
      <c r="AI70" s="2286"/>
    </row>
    <row r="71" spans="1:35" s="2285" customFormat="1" ht="14.25">
      <c r="A71" s="2843" t="s">
        <v>1880</v>
      </c>
      <c r="B71" s="2844"/>
      <c r="C71" s="1891"/>
      <c r="D71" s="1891" t="s">
        <v>1881</v>
      </c>
      <c r="E71" s="131" t="s">
        <v>1882</v>
      </c>
      <c r="F71" s="132"/>
      <c r="G71" s="132"/>
      <c r="H71" s="133"/>
      <c r="I71" s="2287"/>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134">
        <v>1</v>
      </c>
      <c r="B72" s="122" t="s">
        <v>1901</v>
      </c>
      <c r="C72" s="125">
        <f ca="1">ROUND(D45/(1+'数据-取费表'!F30),0)</f>
        <v>14712832</v>
      </c>
      <c r="D72" s="118" t="s">
        <v>41</v>
      </c>
      <c r="E72" s="12" t="s">
        <v>1902</v>
      </c>
      <c r="F72" s="1895"/>
      <c r="G72" s="1895"/>
      <c r="H72" s="135"/>
      <c r="I72" s="2287"/>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6">
        <v>2</v>
      </c>
      <c r="B73" s="90" t="s">
        <v>1903</v>
      </c>
      <c r="C73" s="125">
        <f ca="1">C74+C78</f>
        <v>88277</v>
      </c>
      <c r="D73" s="118" t="s">
        <v>41</v>
      </c>
      <c r="E73" s="1894"/>
      <c r="F73" s="1895"/>
      <c r="G73" s="1895"/>
      <c r="H73" s="135"/>
      <c r="I73" s="2287"/>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24">
      <c r="A74" s="137" t="s">
        <v>73</v>
      </c>
      <c r="B74" s="116" t="s">
        <v>1904</v>
      </c>
      <c r="C74" s="118">
        <f>ROUND(IF(G77="2016年5月1日后购买",C75/(1+'数据-取费表'!F30)+C76+C77,C75+C76+C77),0)</f>
        <v>0</v>
      </c>
      <c r="D74" s="118" t="s">
        <v>41</v>
      </c>
      <c r="E74" s="1894"/>
      <c r="F74" s="1895"/>
      <c r="G74" s="1895"/>
      <c r="H74" s="135"/>
      <c r="I74" s="2287"/>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74</v>
      </c>
      <c r="B75" s="116" t="s">
        <v>1905</v>
      </c>
      <c r="C75" s="138"/>
      <c r="D75" s="118" t="s">
        <v>41</v>
      </c>
      <c r="E75" s="139" t="s">
        <v>1906</v>
      </c>
      <c r="F75" s="2288" t="s">
        <v>1907</v>
      </c>
      <c r="G75" s="139" t="s">
        <v>1908</v>
      </c>
      <c r="H75" s="140"/>
      <c r="I75" s="9"/>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24.75" customHeight="1">
      <c r="A76" s="137" t="s">
        <v>75</v>
      </c>
      <c r="B76" s="141" t="s">
        <v>1909</v>
      </c>
      <c r="C76" s="118">
        <f>IF(F75="购房发票",ROUND(C75*H75*D76,0),0)</f>
        <v>0</v>
      </c>
      <c r="D76" s="142">
        <v>0.05</v>
      </c>
      <c r="E76" s="2881" t="s">
        <v>1910</v>
      </c>
      <c r="F76" s="2882"/>
      <c r="G76" s="2882"/>
      <c r="H76" s="2883"/>
      <c r="I76" s="2287"/>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89" t="s">
        <v>1913</v>
      </c>
      <c r="H77" s="1896" t="str">
        <f>IF(G77="个人买卖住房","免征印花税"," ")</f>
        <v xml:space="preserve"> </v>
      </c>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77</v>
      </c>
      <c r="B78" s="116" t="s">
        <v>1914</v>
      </c>
      <c r="C78" s="145">
        <f ca="1">ROUND(D45*D78/(1+'数据-取费表'!F30),0)</f>
        <v>88277</v>
      </c>
      <c r="D78" s="146">
        <f>'数据-取费表'!E31</f>
        <v>6.000000000000001E-3</v>
      </c>
      <c r="E78" s="2812" t="s">
        <v>1915</v>
      </c>
      <c r="F78" s="2813"/>
      <c r="G78" s="2813"/>
      <c r="H78" s="2833"/>
      <c r="I78" s="2290"/>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14.25">
      <c r="A79" s="147" t="s">
        <v>42</v>
      </c>
      <c r="B79" s="122" t="s">
        <v>1916</v>
      </c>
      <c r="C79" s="125">
        <f ca="1">C72-C73</f>
        <v>14624555</v>
      </c>
      <c r="D79" s="118" t="s">
        <v>41</v>
      </c>
      <c r="E79" s="1894"/>
      <c r="F79" s="1895"/>
      <c r="G79" s="1895"/>
      <c r="H79" s="135"/>
      <c r="I79" s="2287"/>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24">
      <c r="A80" s="147" t="s">
        <v>43</v>
      </c>
      <c r="B80" s="122" t="s">
        <v>1917</v>
      </c>
      <c r="C80" s="148">
        <f ca="1">IF(C79&lt;=0,0,C79/C73)</f>
        <v>165.66665156269471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24.75" thickBot="1">
      <c r="A81" s="149" t="s">
        <v>44</v>
      </c>
      <c r="B81" s="127" t="s">
        <v>1918</v>
      </c>
      <c r="C81" s="150">
        <f ca="1">ROUND(IF(C79&lt;=0,0,IF(C80&gt;=200%,C79*60%-C73*35%,IF(C80&gt;=100%,C79*50%-C73*15%,IF(C80&gt;=50%,C79*40%-C73*5%,IF(C80&lt;50%,C79*30%,0))))),0)</f>
        <v>8743836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7.5" customHeight="1">
      <c r="A82" s="718"/>
      <c r="B82" s="719"/>
      <c r="C82" s="9"/>
      <c r="D82" s="9"/>
      <c r="E82" s="719"/>
      <c r="F82" s="719"/>
      <c r="G82" s="719"/>
      <c r="H82" s="720"/>
      <c r="I82" s="2290"/>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15" thickBot="1">
      <c r="A83" s="2845" t="s">
        <v>1919</v>
      </c>
      <c r="B83" s="2846"/>
      <c r="C83" s="2846"/>
      <c r="D83" s="2846"/>
      <c r="E83" s="2846"/>
      <c r="F83" s="2846"/>
      <c r="G83" s="2846"/>
      <c r="H83" s="2846"/>
      <c r="I83" s="9"/>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4.25">
      <c r="A84" s="2843" t="s">
        <v>1880</v>
      </c>
      <c r="B84" s="284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24">
      <c r="A85" s="134">
        <v>1</v>
      </c>
      <c r="B85" s="122" t="s">
        <v>1901</v>
      </c>
      <c r="C85" s="125">
        <f ca="1">ROUND(D45/(1+'数据-取费表'!F30),0)</f>
        <v>14712832</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6">
        <v>2</v>
      </c>
      <c r="B86" s="90" t="s">
        <v>1903</v>
      </c>
      <c r="C86" s="125">
        <f ca="1">IF(H88="仅含出让金",C87+C90+C91+C92+C93+C94,C87+C91+C92+C93+C94)</f>
        <v>88277</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74</v>
      </c>
      <c r="B88" s="116" t="s">
        <v>1921</v>
      </c>
      <c r="C88" s="158"/>
      <c r="D88" s="146"/>
      <c r="E88" s="159" t="s">
        <v>1922</v>
      </c>
      <c r="F88" s="1888"/>
      <c r="G88" s="160" t="s">
        <v>1923</v>
      </c>
      <c r="H88" s="2291"/>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30.75" customHeight="1">
      <c r="A91" s="137" t="s">
        <v>78</v>
      </c>
      <c r="B91" s="116" t="s">
        <v>1926</v>
      </c>
      <c r="C91" s="145">
        <f>IF(H91="——",成本法!C33,I91)</f>
        <v>0</v>
      </c>
      <c r="D91" s="146"/>
      <c r="E91" s="2812" t="s">
        <v>1927</v>
      </c>
      <c r="F91" s="2813"/>
      <c r="G91" s="2813"/>
      <c r="H91" s="2292" t="s">
        <v>1928</v>
      </c>
      <c r="I91" s="2293"/>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25.5" customHeight="1">
      <c r="A92" s="137" t="s">
        <v>79</v>
      </c>
      <c r="B92" s="116" t="s">
        <v>1929</v>
      </c>
      <c r="C92" s="145">
        <f>ROUND((C87+C90+C91)*D92,0)</f>
        <v>0</v>
      </c>
      <c r="D92" s="146">
        <v>0.1</v>
      </c>
      <c r="E92" s="2812" t="s">
        <v>1930</v>
      </c>
      <c r="F92" s="2813"/>
      <c r="G92" s="2813"/>
      <c r="H92" s="2833"/>
      <c r="I92" s="9"/>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80</v>
      </c>
      <c r="B93" s="116" t="s">
        <v>1914</v>
      </c>
      <c r="C93" s="145">
        <f ca="1">ROUND(D45*D93/(1+'数据-取费表'!F30),0)</f>
        <v>88277</v>
      </c>
      <c r="D93" s="146">
        <f>'数据-取费表'!E31</f>
        <v>6.000000000000001E-3</v>
      </c>
      <c r="E93" s="2812" t="s">
        <v>1915</v>
      </c>
      <c r="F93" s="2813"/>
      <c r="G93" s="2813"/>
      <c r="H93" s="2833"/>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81</v>
      </c>
      <c r="B94" s="116" t="s">
        <v>1931</v>
      </c>
      <c r="C94" s="145">
        <f>ROUND((C87+C90+C91)*D94,0)</f>
        <v>0</v>
      </c>
      <c r="D94" s="146">
        <v>0.2</v>
      </c>
      <c r="E94" s="2812" t="s">
        <v>1932</v>
      </c>
      <c r="F94" s="2813"/>
      <c r="G94" s="2813"/>
      <c r="H94" s="2833"/>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14.25">
      <c r="A95" s="147" t="s">
        <v>42</v>
      </c>
      <c r="B95" s="122" t="s">
        <v>1916</v>
      </c>
      <c r="C95" s="125">
        <f ca="1">ROUND(C85-C86,0)</f>
        <v>14624555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24">
      <c r="A96" s="147" t="s">
        <v>43</v>
      </c>
      <c r="B96" s="122" t="s">
        <v>1917</v>
      </c>
      <c r="C96" s="148">
        <f ca="1">IF(C95&lt;=0,0,C95/C86)</f>
        <v>165.66665156269471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24.75" thickBot="1">
      <c r="A97" s="149" t="s">
        <v>44</v>
      </c>
      <c r="B97" s="127" t="s">
        <v>1918</v>
      </c>
      <c r="C97" s="150">
        <f ca="1">ROUND(IF(C95&lt;=0,0,IF(C96&gt;=200%,C95*60%-C86*35%,IF(C96&gt;=100%,C95*50%-C86*15%,IF(C96&gt;=50%,C95*40%-C86*5%,IF(C96&lt;50%,C95*30%,0))))),0)</f>
        <v>8743836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ht="21.75" customHeight="1" thickBot="1">
      <c r="A98" s="2255" t="s">
        <v>1933</v>
      </c>
      <c r="B98" s="2199"/>
      <c r="C98" s="2199"/>
      <c r="D98" s="2199"/>
      <c r="E98" s="1023"/>
      <c r="F98" s="1023"/>
      <c r="G98" s="1023"/>
      <c r="H98" s="2252"/>
      <c r="I98" s="2199"/>
    </row>
    <row r="99" spans="1:35" ht="15.75">
      <c r="A99" s="2830" t="s">
        <v>1934</v>
      </c>
      <c r="B99" s="2831"/>
      <c r="C99" s="2831"/>
      <c r="D99" s="2832"/>
      <c r="E99" s="2199"/>
      <c r="F99" s="2840" t="s">
        <v>1935</v>
      </c>
      <c r="G99" s="2841"/>
      <c r="H99" s="2841"/>
      <c r="I99" s="2842"/>
    </row>
    <row r="100" spans="1:35" ht="15.75">
      <c r="A100" s="2847" t="s">
        <v>1936</v>
      </c>
      <c r="B100" s="2848"/>
      <c r="C100" s="721" t="str">
        <f>C4</f>
        <v>收益法</v>
      </c>
      <c r="D100" s="722" t="str">
        <f>D4</f>
        <v>成本法</v>
      </c>
      <c r="E100" s="2199"/>
      <c r="F100" s="2849" t="s">
        <v>1937</v>
      </c>
      <c r="G100" s="2851"/>
      <c r="H100" s="2849" t="s">
        <v>1938</v>
      </c>
      <c r="I100" s="2850"/>
    </row>
    <row r="101" spans="1:35" ht="15.75">
      <c r="A101" s="2869" t="s">
        <v>1939</v>
      </c>
      <c r="B101" s="2294" t="str">
        <f>IF(H19="元","总价（元）","总价（万元）")</f>
        <v>总价（元）</v>
      </c>
      <c r="C101" s="721">
        <f ca="1">C19</f>
        <v>14527378</v>
      </c>
      <c r="D101" s="722">
        <f ca="1">D19</f>
        <v>16369421</v>
      </c>
      <c r="E101" s="2199"/>
      <c r="F101" s="2849" t="str">
        <f>项目基本情况!I1</f>
        <v>北京市房地产</v>
      </c>
      <c r="G101" s="2851"/>
      <c r="H101" s="2910">
        <f>项目基本情况!C12</f>
        <v>339.05</v>
      </c>
      <c r="I101" s="2850"/>
    </row>
    <row r="102" spans="1:35" ht="15.75">
      <c r="A102" s="2869"/>
      <c r="B102" s="2294" t="s">
        <v>1940</v>
      </c>
      <c r="C102" s="723">
        <f ca="1">C20</f>
        <v>42847</v>
      </c>
      <c r="D102" s="724">
        <f ca="1">D20</f>
        <v>48280</v>
      </c>
      <c r="E102" s="2199"/>
      <c r="F102" s="2924" t="s">
        <v>1941</v>
      </c>
      <c r="G102" s="2925"/>
      <c r="H102" s="2295" t="str">
        <f>C106</f>
        <v>总价（元）</v>
      </c>
      <c r="I102" s="1868">
        <f ca="1">H121</f>
        <v>15448474</v>
      </c>
    </row>
    <row r="103" spans="1:35" ht="15">
      <c r="A103" s="2869" t="s">
        <v>1942</v>
      </c>
      <c r="B103" s="2296" t="str">
        <f>B101</f>
        <v>总价（元）</v>
      </c>
      <c r="C103" s="725">
        <f ca="1">H121</f>
        <v>15448474</v>
      </c>
      <c r="D103" s="726"/>
      <c r="E103" s="2199"/>
      <c r="F103" s="2924"/>
      <c r="G103" s="2925"/>
      <c r="H103" s="2295" t="s">
        <v>1940</v>
      </c>
      <c r="I103" s="1051">
        <f ca="1">I121</f>
        <v>45564</v>
      </c>
    </row>
    <row r="104" spans="1:35" ht="16.5" thickBot="1">
      <c r="A104" s="2870"/>
      <c r="B104" s="2297" t="s">
        <v>1940</v>
      </c>
      <c r="C104" s="727">
        <f ca="1">I121</f>
        <v>45564</v>
      </c>
      <c r="D104" s="728"/>
      <c r="E104" s="2199"/>
      <c r="F104" s="2836"/>
      <c r="G104" s="2837"/>
      <c r="H104" s="2871"/>
      <c r="I104" s="2872"/>
    </row>
    <row r="105" spans="1:35" ht="15.75">
      <c r="A105" s="2830" t="s">
        <v>1943</v>
      </c>
      <c r="B105" s="2831"/>
      <c r="C105" s="2831"/>
      <c r="D105" s="2832"/>
      <c r="E105" s="2199"/>
      <c r="F105" s="2875" t="s">
        <v>1944</v>
      </c>
      <c r="G105" s="2876"/>
      <c r="H105" s="2298" t="str">
        <f>C108</f>
        <v>总额（元）</v>
      </c>
      <c r="I105" s="1868">
        <f>SUMIF(I106:I108,"&lt;9E307")</f>
        <v>0</v>
      </c>
    </row>
    <row r="106" spans="1:35" ht="15">
      <c r="A106" s="2877" t="s">
        <v>1945</v>
      </c>
      <c r="B106" s="2878"/>
      <c r="C106" s="2295" t="str">
        <f>B101</f>
        <v>总价（元）</v>
      </c>
      <c r="D106" s="1052">
        <f ca="1">H121</f>
        <v>15448474</v>
      </c>
      <c r="E106" s="2199"/>
      <c r="F106" s="2838" t="s">
        <v>1946</v>
      </c>
      <c r="G106" s="2839"/>
      <c r="H106" s="2298" t="str">
        <f>C109</f>
        <v>总额（元）</v>
      </c>
      <c r="I106" s="1051">
        <f>IF(D36="同一抵押权人同一抵押物续贷",C36&amp;"（未扣减，详见特别提示）",C36)</f>
        <v>0</v>
      </c>
      <c r="K106" s="2209" t="str">
        <f>IF(D123=0,"本次评估不存在"&amp;A123&amp;"。","本次评估"&amp;A123&amp;"为"&amp;D123&amp;"元人民币。")</f>
        <v>本次评估不存在——。</v>
      </c>
    </row>
    <row r="107" spans="1:35" ht="15">
      <c r="A107" s="2877"/>
      <c r="B107" s="2878"/>
      <c r="C107" s="2295" t="s">
        <v>1940</v>
      </c>
      <c r="D107" s="1053">
        <f ca="1">I121</f>
        <v>45564</v>
      </c>
      <c r="E107" s="2199"/>
      <c r="F107" s="2838" t="s">
        <v>1947</v>
      </c>
      <c r="G107" s="2839"/>
      <c r="H107" s="2298" t="str">
        <f>C110</f>
        <v>总额（元）</v>
      </c>
      <c r="I107" s="1051">
        <f>C37</f>
        <v>0</v>
      </c>
      <c r="K107" s="2299"/>
    </row>
    <row r="108" spans="1:35" ht="15">
      <c r="A108" s="2920" t="s">
        <v>1948</v>
      </c>
      <c r="B108" s="2921"/>
      <c r="C108" s="2298" t="str">
        <f>IF(H19="元","总额（元）","总额（万元）")</f>
        <v>总额（元）</v>
      </c>
      <c r="D108" s="1052">
        <f>IF(D36="正常操作",I106+I107+I108,I107+I108)</f>
        <v>0</v>
      </c>
      <c r="E108" s="2199"/>
      <c r="F108" s="2838" t="s">
        <v>1949</v>
      </c>
      <c r="G108" s="2839"/>
      <c r="H108" s="2298" t="str">
        <f>C111</f>
        <v>总额（元）</v>
      </c>
      <c r="I108" s="1051">
        <f>C38</f>
        <v>0</v>
      </c>
    </row>
    <row r="109" spans="1:35" ht="15.75">
      <c r="A109" s="2838" t="s">
        <v>1946</v>
      </c>
      <c r="B109" s="2839"/>
      <c r="C109" s="2298" t="str">
        <f>C108</f>
        <v>总额（元）</v>
      </c>
      <c r="D109" s="638">
        <f>IF(D36="同一抵押权人同一抵押物续贷",C36&amp;"（未扣减，详见特别提示）",C36)</f>
        <v>0</v>
      </c>
      <c r="E109" s="2199"/>
      <c r="F109" s="2836"/>
      <c r="G109" s="2837"/>
      <c r="H109" s="2873"/>
      <c r="I109" s="2874"/>
    </row>
    <row r="110" spans="1:35" ht="28.5" customHeight="1">
      <c r="A110" s="2838" t="s">
        <v>1947</v>
      </c>
      <c r="B110" s="2839"/>
      <c r="C110" s="2298" t="str">
        <f>C108</f>
        <v>总额（元）</v>
      </c>
      <c r="D110" s="638">
        <f>C37</f>
        <v>0</v>
      </c>
      <c r="E110" s="2199"/>
      <c r="F110" s="2818" t="str">
        <f>IF(项目基本情况!F5="已注销","——","3.房地产抵押价值")</f>
        <v>3.房地产抵押价值</v>
      </c>
      <c r="G110" s="2819"/>
      <c r="H110" s="2300" t="str">
        <f>C112</f>
        <v>总价（元）</v>
      </c>
      <c r="I110" s="1869">
        <f ca="1">IF(F110="——","——",I102-I105)</f>
        <v>15448474</v>
      </c>
    </row>
    <row r="111" spans="1:35" ht="15">
      <c r="A111" s="2838" t="s">
        <v>1949</v>
      </c>
      <c r="B111" s="2839"/>
      <c r="C111" s="2298" t="str">
        <f>C108</f>
        <v>总额（元）</v>
      </c>
      <c r="D111" s="638">
        <f>C38</f>
        <v>0</v>
      </c>
      <c r="E111" s="2199"/>
      <c r="F111" s="2820"/>
      <c r="G111" s="2821"/>
      <c r="H111" s="2295" t="s">
        <v>1940</v>
      </c>
      <c r="I111" s="2301">
        <f ca="1">D113</f>
        <v>45564</v>
      </c>
    </row>
    <row r="112" spans="1:35" ht="26.25" customHeight="1">
      <c r="A112" s="2877" t="str">
        <f>IF(项目基本情况!F5="已注销","——","3.房地产抵押价值")</f>
        <v>3.房地产抵押价值</v>
      </c>
      <c r="B112" s="2878"/>
      <c r="C112" s="2295" t="str">
        <f>B101</f>
        <v>总价（元）</v>
      </c>
      <c r="D112" s="1052">
        <f ca="1">IF(A112="——","——",D106-D108)</f>
        <v>15448474</v>
      </c>
      <c r="E112" s="2199"/>
      <c r="F112" s="2818" t="str">
        <f>IF(项目基本情况!F5="已注销及未注销","4.抵押担保权已注销时的房地产抵押价值",IF(项目基本情况!F5="已注销","3.抵押担保权已注销时的房地产抵押价值","——"))</f>
        <v>——</v>
      </c>
      <c r="G112" s="2819"/>
      <c r="H112" s="2300" t="str">
        <f>C114</f>
        <v>总价（元）</v>
      </c>
      <c r="I112" s="1869" t="str">
        <f>IF(F112="——","——",I102-I107-I108)</f>
        <v>——</v>
      </c>
    </row>
    <row r="113" spans="1:15" ht="15">
      <c r="A113" s="2877"/>
      <c r="B113" s="2878"/>
      <c r="C113" s="2295" t="s">
        <v>1940</v>
      </c>
      <c r="D113" s="1053">
        <f ca="1">ROUND(IF(D112=D106,D107,IF(H19="元",D112/项目基本情况!C12,D112*10000/项目基本情况!C12)),0)</f>
        <v>45564</v>
      </c>
      <c r="E113" s="2199"/>
      <c r="F113" s="2820"/>
      <c r="G113" s="2821"/>
      <c r="H113" s="2295" t="s">
        <v>1940</v>
      </c>
      <c r="I113" s="2302" t="str">
        <f>D115</f>
        <v>——</v>
      </c>
    </row>
    <row r="114" spans="1:15" ht="15.75">
      <c r="A114" s="2877" t="str">
        <f>IF(项目基本情况!F5="已注销及未注销","4.抵押担保权已注销时的房地产抵押价值",IF(项目基本情况!F5="已注销","3.抵押担保权已注销时的房地产抵押价值","——"))</f>
        <v>——</v>
      </c>
      <c r="B114" s="2878"/>
      <c r="C114" s="2295" t="str">
        <f>B101</f>
        <v>总价（元）</v>
      </c>
      <c r="D114" s="1052" t="str">
        <f>IF(A114="——","——",D106-D110-D111)</f>
        <v>——</v>
      </c>
      <c r="E114" s="2199"/>
      <c r="F114" s="2818" t="str">
        <f>IF(项目基本情况!G5="抵押净值",IF(OR(项目基本情况!F5="已注销",项目基本情况!F5="房地产抵押价值"),"4.抵押净值","5.抵押净值"),"——")</f>
        <v>——</v>
      </c>
      <c r="G114" s="2819"/>
      <c r="H114" s="2295" t="str">
        <f>C116</f>
        <v>总价（元）</v>
      </c>
      <c r="I114" s="1868" t="str">
        <f>IF(F114="——","——",N59)</f>
        <v>——</v>
      </c>
    </row>
    <row r="115" spans="1:15" ht="15.75" thickBot="1">
      <c r="A115" s="2877"/>
      <c r="B115" s="2878"/>
      <c r="C115" s="2295" t="s">
        <v>1940</v>
      </c>
      <c r="D115" s="1053" t="str">
        <f>IF(A114="——","——",ROUND(IF(D114=D106,D107,IF(H19="元",D114/项目基本情况!C12,D114*10000/项目基本情况!C12)),0))</f>
        <v>——</v>
      </c>
      <c r="E115" s="2199"/>
      <c r="F115" s="2911"/>
      <c r="G115" s="2912"/>
      <c r="H115" s="2303" t="s">
        <v>1940</v>
      </c>
      <c r="I115" s="1870" t="str">
        <f ca="1">D117</f>
        <v>——</v>
      </c>
    </row>
    <row r="116" spans="1:15" ht="15.75">
      <c r="A116" s="2877" t="str">
        <f>IF(项目基本情况!G5="抵押净值",IF(OR(项目基本情况!F5="已注销",项目基本情况!F5="房地产抵押价值"),"4.抵押净值","5.抵押净值"),"——")</f>
        <v>——</v>
      </c>
      <c r="B116" s="2878"/>
      <c r="C116" s="2295" t="str">
        <f>B101</f>
        <v>总价（元）</v>
      </c>
      <c r="D116" s="1052" t="str">
        <f>IF(A116="——","——",N59)</f>
        <v>——</v>
      </c>
      <c r="E116" s="2199"/>
      <c r="F116" s="2814"/>
      <c r="G116" s="2814"/>
      <c r="H116" s="2856"/>
      <c r="I116" s="2856"/>
      <c r="N116" s="55"/>
      <c r="O116" s="55"/>
    </row>
    <row r="117" spans="1:15" ht="15.75" thickBot="1">
      <c r="A117" s="2918"/>
      <c r="B117" s="2919"/>
      <c r="C117" s="2303" t="s">
        <v>1940</v>
      </c>
      <c r="D117" s="1054" t="str">
        <f ca="1">IF(D116=D112,D113,IF(A116="——","——",N61))</f>
        <v>——</v>
      </c>
      <c r="E117" s="2199"/>
      <c r="F117" s="2908" t="str">
        <f>IF(B32="总价","（以上估价结果中单价为总价除以建筑面积得出）","（以上估价结果中总价为楼面单价乘以建筑面积得出）")</f>
        <v>（以上估价结果中总价为楼面单价乘以建筑面积得出）</v>
      </c>
      <c r="G117" s="2908"/>
      <c r="H117" s="2908"/>
      <c r="I117" s="2908"/>
      <c r="N117" s="55"/>
      <c r="O117" s="55"/>
    </row>
    <row r="118" spans="1:15" ht="15">
      <c r="A118" s="2857" t="s">
        <v>1950</v>
      </c>
      <c r="B118" s="2858"/>
      <c r="C118" s="2858"/>
      <c r="D118" s="2858"/>
      <c r="E118" s="2858"/>
      <c r="F118" s="2858"/>
      <c r="G118" s="2858"/>
      <c r="H118" s="2858"/>
      <c r="I118" s="2858"/>
    </row>
    <row r="119" spans="1:15" ht="14.25">
      <c r="A119" s="2829" t="s">
        <v>1951</v>
      </c>
      <c r="B119" s="2827" t="s">
        <v>1952</v>
      </c>
      <c r="C119" s="2827" t="s">
        <v>1953</v>
      </c>
      <c r="D119" s="2834" t="s">
        <v>1954</v>
      </c>
      <c r="E119" s="2835"/>
      <c r="F119" s="2825" t="s">
        <v>1812</v>
      </c>
      <c r="G119" s="2825"/>
      <c r="H119" s="2825" t="s">
        <v>1955</v>
      </c>
      <c r="I119" s="2826"/>
    </row>
    <row r="120" spans="1:15" ht="14.25">
      <c r="A120" s="2829"/>
      <c r="B120" s="2828"/>
      <c r="C120" s="2828"/>
      <c r="D120" s="1893" t="s">
        <v>1956</v>
      </c>
      <c r="E120" s="1893" t="s">
        <v>1957</v>
      </c>
      <c r="F120" s="1893" t="s">
        <v>1956</v>
      </c>
      <c r="G120" s="1893" t="s">
        <v>1958</v>
      </c>
      <c r="H120" s="1893" t="s">
        <v>1956</v>
      </c>
      <c r="I120" s="638" t="s">
        <v>1958</v>
      </c>
    </row>
    <row r="121" spans="1:15" ht="14.25">
      <c r="A121" s="2185" t="str">
        <f>项目基本情况!I1</f>
        <v>北京市房地产</v>
      </c>
      <c r="B121" s="1893">
        <f>项目基本情况!C12</f>
        <v>339.05</v>
      </c>
      <c r="C121" s="1893">
        <f>项目基本情况!C13</f>
        <v>0</v>
      </c>
      <c r="D121" s="1893">
        <f ca="1">ROUND(IF(B32="总价",C34,IF('数据-取费表'!B3="万元",E121*B121/10000,E121*B121)),0)</f>
        <v>14351647</v>
      </c>
      <c r="E121" s="1893">
        <f ca="1">ROUND(IF(B32="楼面单价",C34,IF(H19="元",D121/B121,D121*10000/B121)),0)</f>
        <v>42329</v>
      </c>
      <c r="F121" s="1893">
        <f ca="1">ROUND(IF(B32="总价",C35,IF('数据-取费表'!B3="万元",G121*B121/10000,G121*B121)),0)</f>
        <v>1096827</v>
      </c>
      <c r="G121" s="1893">
        <f ca="1">ROUND(IF(B32="楼面单价",C35,IF(H19="元",F121/B121,F121*10000/B121)),0)</f>
        <v>3235</v>
      </c>
      <c r="H121" s="1893">
        <f ca="1">ROUND(IF(B32="总价",C32,IF('数据-取费表'!B3="万元",I121*B121/10000,I121*B121)),0)</f>
        <v>15448474</v>
      </c>
      <c r="I121" s="638">
        <f ca="1">ROUND(IF(B32="楼面单价",C32,IF(H19="元",H121/B121,H121*10000/B121)),0)</f>
        <v>45564</v>
      </c>
    </row>
    <row r="122" spans="1:15" ht="14.25">
      <c r="A122" s="2829" t="s">
        <v>1959</v>
      </c>
      <c r="B122" s="2825"/>
      <c r="C122" s="2825"/>
      <c r="D122" s="2861" t="str">
        <f ca="1">IF(H19="元",NUMBERSTRING(INT(D121),2)&amp;"元整",NUMBERSTRING(INT(D121*10000),2)&amp;"元整")</f>
        <v>壹仟肆佰叁拾伍万壹仟陆佰肆拾柒元整</v>
      </c>
      <c r="E122" s="2862"/>
      <c r="F122" s="2861" t="str">
        <f ca="1">IF(H19="元",NUMBERSTRING(INT(F121),2)&amp;"元整",NUMBERSTRING(INT(F121*10000),2)&amp;"元整")</f>
        <v>壹佰零玖万陆仟捌佰贰拾柒元整</v>
      </c>
      <c r="G122" s="2862"/>
      <c r="H122" s="2861" t="str">
        <f ca="1">IF(H19="元",NUMBERSTRING(INT(H121),2)&amp;"元整",NUMBERSTRING(INT(H121*10000),2)&amp;"元整")</f>
        <v>壹仟伍佰肆拾肆万捌仟肆佰柒拾肆元整</v>
      </c>
      <c r="I122" s="2926"/>
    </row>
    <row r="123" spans="1:15" ht="15">
      <c r="A123" s="2863" t="str">
        <f>IF(项目基本情况!D5="房地产市场价值","——",MID(A108,3,LEN(A108)-2))</f>
        <v>——</v>
      </c>
      <c r="B123" s="2864"/>
      <c r="C123" s="2865"/>
      <c r="D123" s="2854">
        <f>I105</f>
        <v>0</v>
      </c>
      <c r="E123" s="2864"/>
      <c r="F123" s="2864"/>
      <c r="G123" s="2864"/>
      <c r="H123" s="2864"/>
      <c r="I123" s="2913"/>
    </row>
    <row r="124" spans="1:15" ht="14.25">
      <c r="A124" s="2866" t="s">
        <v>1959</v>
      </c>
      <c r="B124" s="2867"/>
      <c r="C124" s="2868"/>
      <c r="D124" s="2914">
        <f>H109</f>
        <v>0</v>
      </c>
      <c r="E124" s="2915"/>
      <c r="F124" s="2915"/>
      <c r="G124" s="2915"/>
      <c r="H124" s="2915"/>
      <c r="I124" s="2916"/>
    </row>
    <row r="125" spans="1:15" ht="15">
      <c r="A125" s="2852" t="str">
        <f>IF(项目基本情况!D5="房地产市场价值","——",MID(A112,3,LEN(A112)-2))</f>
        <v>——</v>
      </c>
      <c r="B125" s="2853"/>
      <c r="C125" s="2853"/>
      <c r="D125" s="2854">
        <f ca="1">I110</f>
        <v>15448474</v>
      </c>
      <c r="E125" s="2864"/>
      <c r="F125" s="2864"/>
      <c r="G125" s="2864"/>
      <c r="H125" s="2864"/>
      <c r="I125" s="2913"/>
    </row>
    <row r="126" spans="1:15" ht="14.25">
      <c r="A126" s="2829" t="s">
        <v>1959</v>
      </c>
      <c r="B126" s="2825"/>
      <c r="C126" s="2825"/>
      <c r="D126" s="2914">
        <f ca="1">I111</f>
        <v>45564</v>
      </c>
      <c r="E126" s="2915"/>
      <c r="F126" s="2915"/>
      <c r="G126" s="2915"/>
      <c r="H126" s="2915"/>
      <c r="I126" s="2916"/>
    </row>
    <row r="127" spans="1:15" ht="15.75" thickBot="1">
      <c r="A127" s="2852" t="str">
        <f>IF(项目基本情况!D5="房地产市场价值","——",MID(A114,3,LEN(A114)-2))</f>
        <v>——</v>
      </c>
      <c r="B127" s="2853"/>
      <c r="C127" s="2853"/>
      <c r="D127" s="2809" t="str">
        <f>I112</f>
        <v>——</v>
      </c>
      <c r="E127" s="2810"/>
      <c r="F127" s="2810"/>
      <c r="G127" s="2810"/>
      <c r="H127" s="2810"/>
      <c r="I127" s="2811"/>
    </row>
    <row r="128" spans="1:15" ht="15.75" thickTop="1" thickBot="1">
      <c r="A128" s="2829" t="s">
        <v>1959</v>
      </c>
      <c r="B128" s="2825"/>
      <c r="C128" s="2909"/>
      <c r="D128" s="2855" t="str">
        <f>I113</f>
        <v>——</v>
      </c>
      <c r="E128" s="2855"/>
      <c r="F128" s="2855"/>
      <c r="G128" s="2855"/>
      <c r="H128" s="2855"/>
      <c r="I128" s="2855"/>
    </row>
    <row r="129" spans="1:9" ht="16.5" thickTop="1" thickBot="1">
      <c r="A129" s="2852" t="str">
        <f>IF(项目基本情况!D5="房地产市场价值","——",MID(F114,3,LEN(F114)-2))</f>
        <v>——</v>
      </c>
      <c r="B129" s="2853"/>
      <c r="C129" s="2854"/>
      <c r="D129" s="2917" t="str">
        <f>I114</f>
        <v>——</v>
      </c>
      <c r="E129" s="2917"/>
      <c r="F129" s="2917"/>
      <c r="G129" s="2917"/>
      <c r="H129" s="2917"/>
      <c r="I129" s="2917"/>
    </row>
    <row r="130" spans="1:9" ht="15.75" thickTop="1" thickBot="1">
      <c r="A130" s="2922" t="s">
        <v>1959</v>
      </c>
      <c r="B130" s="2923"/>
      <c r="C130" s="2923"/>
      <c r="D130" s="2927">
        <f>H116</f>
        <v>0</v>
      </c>
      <c r="E130" s="2928"/>
      <c r="F130" s="2928"/>
      <c r="G130" s="2928"/>
      <c r="H130" s="2928"/>
      <c r="I130" s="2929"/>
    </row>
    <row r="131" spans="1:9" ht="12.75">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spans="1:9" ht="13.5" thickBot="1">
      <c r="A132" s="2907" t="str">
        <f>IF(B32="总价","（以上估价结果中楼面单价为总价除以建筑面积得出）","（以上估价结果中总价为楼面单价乘以建筑面积得出）")</f>
        <v>（以上估价结果中总价为楼面单价乘以建筑面积得出）</v>
      </c>
      <c r="B132" s="2907"/>
      <c r="C132" s="2907"/>
      <c r="D132" s="2907"/>
      <c r="E132" s="2907"/>
      <c r="F132" s="2907"/>
      <c r="G132" s="2907"/>
      <c r="H132" s="2907"/>
      <c r="I132" s="2907"/>
    </row>
    <row r="133" spans="1:9" ht="21.75" customHeight="1">
      <c r="A133" s="2304" t="s">
        <v>1960</v>
      </c>
      <c r="B133" s="2305"/>
      <c r="C133" s="2306" t="s">
        <v>1961</v>
      </c>
      <c r="D133" s="2307"/>
      <c r="E133" s="2307"/>
      <c r="F133" s="2307"/>
      <c r="G133" s="2307"/>
      <c r="H133" s="2308"/>
      <c r="I133" s="2309"/>
    </row>
    <row r="134" spans="1:9" ht="21.75" customHeight="1">
      <c r="A134" s="2310">
        <v>1</v>
      </c>
      <c r="B134" s="2311"/>
      <c r="C134" s="2311"/>
      <c r="D134" s="2307"/>
      <c r="E134" s="2307"/>
      <c r="F134" s="2307"/>
      <c r="G134" s="2307"/>
      <c r="H134" s="2308"/>
      <c r="I134" s="2309"/>
    </row>
    <row r="135" spans="1:9" ht="21.75" customHeight="1">
      <c r="A135" s="2310">
        <v>2</v>
      </c>
      <c r="B135" s="2311"/>
      <c r="C135" s="2311"/>
      <c r="D135" s="2307"/>
      <c r="E135" s="2307"/>
      <c r="F135" s="2307"/>
      <c r="G135" s="2307"/>
      <c r="H135" s="2308"/>
      <c r="I135" s="2309"/>
    </row>
    <row r="136" spans="1:9" ht="21.75" customHeight="1">
      <c r="A136" s="2310">
        <v>3</v>
      </c>
      <c r="B136" s="2311"/>
      <c r="C136" s="2311"/>
      <c r="D136" s="2307"/>
      <c r="E136" s="2307"/>
      <c r="F136" s="55"/>
      <c r="G136" s="55"/>
      <c r="H136" s="55"/>
      <c r="I136" s="55"/>
    </row>
    <row r="137" spans="1:9" ht="21.75" customHeight="1">
      <c r="A137" s="2312"/>
      <c r="B137" s="2313"/>
      <c r="C137" s="2313"/>
      <c r="D137" s="2314"/>
      <c r="E137" s="2314"/>
      <c r="F137" s="2314"/>
      <c r="G137" s="2314"/>
      <c r="H137" s="2315"/>
      <c r="I137" s="2316"/>
    </row>
    <row r="138" spans="1:9" ht="21.75" customHeight="1">
      <c r="A138" s="2311"/>
      <c r="B138" s="2311"/>
      <c r="C138" s="2311"/>
      <c r="D138" s="2307"/>
      <c r="E138" s="2307"/>
      <c r="F138" s="2307"/>
      <c r="G138" s="2307"/>
      <c r="H138" s="2308"/>
      <c r="I138" s="799"/>
    </row>
    <row r="139" spans="1:9" ht="21.75" customHeight="1">
      <c r="A139" s="799"/>
      <c r="B139" s="799"/>
      <c r="C139" s="799"/>
      <c r="D139" s="799"/>
      <c r="E139" s="799"/>
      <c r="F139" s="2317" t="s">
        <v>1962</v>
      </c>
      <c r="G139" s="2318"/>
      <c r="H139" s="2318"/>
      <c r="I139" s="2319" t="s">
        <v>1963</v>
      </c>
    </row>
    <row r="140" spans="1:9" ht="21.75" customHeight="1">
      <c r="A140" s="799"/>
      <c r="B140" s="2320"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8"/>
      <c r="C142" s="2318"/>
      <c r="D142" s="2318"/>
      <c r="E142" s="2318"/>
      <c r="F142" s="2318"/>
      <c r="G142" s="2318"/>
      <c r="H142" s="2318"/>
      <c r="I142" s="2319" t="s">
        <v>1965</v>
      </c>
    </row>
    <row r="143" spans="1:9" ht="21.75" customHeight="1">
      <c r="A143" s="799"/>
      <c r="B143" s="2320" t="s">
        <v>1966</v>
      </c>
      <c r="C143" s="799"/>
      <c r="D143" s="799"/>
      <c r="E143" s="799"/>
      <c r="F143" s="799"/>
      <c r="G143" s="799"/>
      <c r="H143" s="799"/>
      <c r="I143" s="799"/>
    </row>
    <row r="144" spans="1:9" ht="21.75" customHeight="1">
      <c r="A144" s="799"/>
      <c r="B144" s="2320"/>
      <c r="C144" s="799"/>
      <c r="D144" s="799"/>
      <c r="E144" s="799"/>
      <c r="F144" s="799"/>
      <c r="G144" s="799"/>
      <c r="H144" s="799"/>
      <c r="I144" s="799"/>
    </row>
    <row r="145" spans="1:35" ht="21.75" customHeight="1">
      <c r="A145" s="799"/>
      <c r="B145" s="2318"/>
      <c r="C145" s="2318"/>
      <c r="D145" s="2318"/>
      <c r="E145" s="2318"/>
      <c r="F145" s="2318"/>
      <c r="G145" s="2318"/>
      <c r="H145" s="2318"/>
      <c r="I145" s="2319" t="s">
        <v>1965</v>
      </c>
    </row>
    <row r="146" spans="1:35" ht="21.75" customHeight="1">
      <c r="A146" s="799"/>
      <c r="B146" s="2320"/>
      <c r="C146" s="2321"/>
      <c r="D146" s="2322"/>
      <c r="E146" s="2322"/>
      <c r="F146" s="2323"/>
      <c r="G146" s="799"/>
      <c r="H146" s="799"/>
      <c r="I146" s="799"/>
    </row>
    <row r="147" spans="1:35" s="55" customFormat="1" ht="21.75" customHeight="1">
      <c r="A147" s="799"/>
      <c r="B147" s="2320"/>
      <c r="C147" s="2321"/>
      <c r="D147" s="2322"/>
      <c r="E147" s="2322"/>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0"/>
      <c r="G516" s="2200"/>
      <c r="H516" s="2200"/>
      <c r="I516" s="2200"/>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25" zoomScaleNormal="100" zoomScaleSheetLayoutView="100" zoomScalePageLayoutView="80" workbookViewId="0">
      <selection activeCell="F26" sqref="F26"/>
    </sheetView>
  </sheetViews>
  <sheetFormatPr defaultColWidth="12.625" defaultRowHeight="21.75" customHeight="1"/>
  <cols>
    <col min="1" max="1" width="12.625" style="2200"/>
    <col min="2" max="2" width="17.625" style="2200" customWidth="1"/>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1967</v>
      </c>
      <c r="B1" s="2199"/>
      <c r="C1" s="2199"/>
      <c r="D1" s="2199"/>
      <c r="E1" s="2199"/>
      <c r="F1" s="2199"/>
      <c r="G1" s="2199"/>
      <c r="H1" s="2199"/>
      <c r="I1" s="2199"/>
    </row>
    <row r="2" spans="1:12" ht="21.75" customHeight="1">
      <c r="A2" s="2931" t="s">
        <v>1968</v>
      </c>
      <c r="B2" s="2931"/>
      <c r="C2" s="2931"/>
      <c r="D2" s="2931"/>
      <c r="E2" s="2931"/>
      <c r="F2" s="2931"/>
      <c r="G2" s="2931"/>
      <c r="H2" s="2931"/>
      <c r="I2" s="2931"/>
    </row>
    <row r="3" spans="1:12" ht="12.75">
      <c r="A3" s="2885" t="s">
        <v>1772</v>
      </c>
      <c r="B3" s="2886"/>
      <c r="C3" s="2886"/>
      <c r="D3" s="2886"/>
      <c r="E3" s="2886"/>
      <c r="F3" s="2886"/>
      <c r="G3" s="2886"/>
      <c r="H3" s="2886"/>
      <c r="I3" s="2886"/>
    </row>
    <row r="4" spans="1:12" ht="14.25">
      <c r="A4" s="2201" t="s">
        <v>1773</v>
      </c>
      <c r="B4" s="2202" t="s">
        <v>1774</v>
      </c>
      <c r="C4" s="2203" t="s">
        <v>2839</v>
      </c>
      <c r="D4" s="2203" t="s">
        <v>2840</v>
      </c>
      <c r="E4" s="2890" t="s">
        <v>1969</v>
      </c>
      <c r="F4" s="2891"/>
      <c r="G4" s="2891"/>
      <c r="H4" s="2891"/>
      <c r="I4" s="2892"/>
      <c r="K4" s="1851" t="str">
        <f>IF(ISNUMBER(FIND("比较法",'结果表 (1修多)'!C4)),"比较法",IF(ISNUMBER(FIND("成本法",'结果表 (1修多)'!C4)),"成本法",IF(ISNUMBER(FIND("假设开发法",'结果表 (1修多)'!C4)),"假设开发法",IF(ISNUMBER(FIND("收益法",'结果表 (1修多)'!C4)),"收益法","基准地价系数修正法"))))</f>
        <v>收益法</v>
      </c>
      <c r="L4" s="1851"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880" t="s">
        <v>1776</v>
      </c>
      <c r="B5" s="2825">
        <v>25</v>
      </c>
      <c r="C5" s="2887">
        <v>5</v>
      </c>
      <c r="D5" s="2884">
        <v>5</v>
      </c>
      <c r="E5" s="56" t="s">
        <v>1777</v>
      </c>
      <c r="F5" s="2204"/>
      <c r="G5" s="2204"/>
      <c r="H5" s="2204"/>
      <c r="I5" s="2205"/>
    </row>
    <row r="6" spans="1:12" ht="12.75">
      <c r="A6" s="2880"/>
      <c r="B6" s="2825"/>
      <c r="C6" s="2888"/>
      <c r="D6" s="2884"/>
      <c r="E6" s="56" t="s">
        <v>1778</v>
      </c>
      <c r="F6" s="2204"/>
      <c r="G6" s="2204"/>
      <c r="H6" s="2204"/>
      <c r="I6" s="2205"/>
    </row>
    <row r="7" spans="1:12" ht="12.75">
      <c r="A7" s="2880"/>
      <c r="B7" s="2825"/>
      <c r="C7" s="2889"/>
      <c r="D7" s="2884"/>
      <c r="E7" s="56" t="s">
        <v>1779</v>
      </c>
      <c r="F7" s="2204"/>
      <c r="G7" s="2204"/>
      <c r="H7" s="2204"/>
      <c r="I7" s="2205"/>
    </row>
    <row r="8" spans="1:12" ht="12.75">
      <c r="A8" s="2880" t="s">
        <v>1780</v>
      </c>
      <c r="B8" s="2825">
        <v>15</v>
      </c>
      <c r="C8" s="2887"/>
      <c r="D8" s="2884"/>
      <c r="E8" s="56" t="s">
        <v>1781</v>
      </c>
      <c r="F8" s="2204"/>
      <c r="G8" s="2204"/>
      <c r="H8" s="2204"/>
      <c r="I8" s="2205"/>
    </row>
    <row r="9" spans="1:12" ht="12.75">
      <c r="A9" s="2880"/>
      <c r="B9" s="2825"/>
      <c r="C9" s="2889"/>
      <c r="D9" s="2884"/>
      <c r="E9" s="56" t="s">
        <v>1782</v>
      </c>
      <c r="F9" s="2204"/>
      <c r="G9" s="2204"/>
      <c r="H9" s="2204"/>
      <c r="I9" s="2205"/>
    </row>
    <row r="10" spans="1:12" ht="12.75">
      <c r="A10" s="2880" t="s">
        <v>1783</v>
      </c>
      <c r="B10" s="2825">
        <v>15</v>
      </c>
      <c r="C10" s="2887"/>
      <c r="D10" s="2884"/>
      <c r="E10" s="56" t="s">
        <v>1784</v>
      </c>
      <c r="F10" s="2204"/>
      <c r="G10" s="2204"/>
      <c r="H10" s="2204"/>
      <c r="I10" s="2205"/>
    </row>
    <row r="11" spans="1:12" ht="12.75">
      <c r="A11" s="2880"/>
      <c r="B11" s="2825"/>
      <c r="C11" s="2889"/>
      <c r="D11" s="2884"/>
      <c r="E11" s="56" t="s">
        <v>1785</v>
      </c>
      <c r="F11" s="2204"/>
      <c r="G11" s="2204"/>
      <c r="H11" s="2204"/>
      <c r="I11" s="2205"/>
    </row>
    <row r="12" spans="1:12" ht="12.75">
      <c r="A12" s="2880" t="s">
        <v>1786</v>
      </c>
      <c r="B12" s="2825">
        <v>15</v>
      </c>
      <c r="C12" s="2887"/>
      <c r="D12" s="2884"/>
      <c r="E12" s="56" t="s">
        <v>1787</v>
      </c>
      <c r="F12" s="2204"/>
      <c r="G12" s="2204"/>
      <c r="H12" s="2204"/>
      <c r="I12" s="2205"/>
    </row>
    <row r="13" spans="1:12" ht="12.75">
      <c r="A13" s="2880"/>
      <c r="B13" s="2825"/>
      <c r="C13" s="2889"/>
      <c r="D13" s="2884"/>
      <c r="E13" s="56" t="s">
        <v>1788</v>
      </c>
      <c r="F13" s="2204"/>
      <c r="G13" s="2204"/>
      <c r="H13" s="2204"/>
      <c r="I13" s="2205"/>
    </row>
    <row r="14" spans="1:12" ht="12.75">
      <c r="A14" s="2880" t="s">
        <v>1789</v>
      </c>
      <c r="B14" s="2825">
        <v>30</v>
      </c>
      <c r="C14" s="2887"/>
      <c r="D14" s="2884"/>
      <c r="E14" s="56" t="s">
        <v>1790</v>
      </c>
      <c r="F14" s="2204"/>
      <c r="G14" s="2204"/>
      <c r="H14" s="2204"/>
      <c r="I14" s="2205"/>
    </row>
    <row r="15" spans="1:12" ht="12.75">
      <c r="A15" s="2880"/>
      <c r="B15" s="2825"/>
      <c r="C15" s="2888"/>
      <c r="D15" s="2884"/>
      <c r="E15" s="56" t="s">
        <v>1791</v>
      </c>
      <c r="F15" s="2204"/>
      <c r="G15" s="2204"/>
      <c r="H15" s="2204"/>
      <c r="I15" s="2205"/>
    </row>
    <row r="16" spans="1:12" ht="12.75">
      <c r="A16" s="2880"/>
      <c r="B16" s="2825"/>
      <c r="C16" s="2889"/>
      <c r="D16" s="2884"/>
      <c r="E16" s="56" t="s">
        <v>1792</v>
      </c>
      <c r="F16" s="2204"/>
      <c r="G16" s="2204"/>
      <c r="H16" s="2204"/>
      <c r="I16" s="2205"/>
    </row>
    <row r="17" spans="1:35" ht="15">
      <c r="A17" s="2206" t="s">
        <v>1793</v>
      </c>
      <c r="B17" s="2207"/>
      <c r="C17" s="57">
        <f>SUM(C5:C16)</f>
        <v>5</v>
      </c>
      <c r="D17" s="57">
        <f>SUM(D5:D16)</f>
        <v>5</v>
      </c>
      <c r="E17" s="2199"/>
      <c r="F17" s="2199"/>
      <c r="G17" s="2199"/>
      <c r="H17" s="2199"/>
      <c r="I17" s="2199"/>
    </row>
    <row r="18" spans="1:35" ht="15.75" thickBot="1">
      <c r="A18" s="2208" t="s">
        <v>1794</v>
      </c>
      <c r="B18" s="2209"/>
      <c r="C18" s="58">
        <f>ROUND(C17/SUM(C17:D17),2)</f>
        <v>0.5</v>
      </c>
      <c r="D18" s="58">
        <f>1-C18</f>
        <v>0.5</v>
      </c>
      <c r="E18" s="2199"/>
      <c r="F18" s="2199"/>
      <c r="G18" s="2199"/>
      <c r="H18" s="2199"/>
      <c r="I18" s="2199"/>
    </row>
    <row r="19" spans="1:35" ht="15">
      <c r="A19" s="2210" t="s">
        <v>1795</v>
      </c>
      <c r="B19" s="2211" t="s">
        <v>1796</v>
      </c>
      <c r="C19" s="59">
        <f ca="1">SUMIF(INDIRECT("'"&amp;C4&amp;"'"&amp;"!A:A"),'结果表 (1修多)'!B19,INDIRECT("'"&amp;C4&amp;"'"&amp;"!B:B"))</f>
        <v>14527378</v>
      </c>
      <c r="D19" s="60">
        <f ca="1">SUMIF(INDIRECT("'"&amp;D4&amp;"'"&amp;"!A:A"),'结果表 (1修多)'!B19,INDIRECT("'"&amp;D4&amp;"'"&amp;"!B:B"))</f>
        <v>16369421</v>
      </c>
      <c r="E19" s="2210" t="s">
        <v>1797</v>
      </c>
      <c r="F19" s="2211" t="s">
        <v>1796</v>
      </c>
      <c r="G19" s="61">
        <f ca="1">ROUND(C19*$C$18+D19*$D$18,0)</f>
        <v>15448400</v>
      </c>
      <c r="H19" s="2212" t="str">
        <f>'数据-取费表'!B3</f>
        <v>元</v>
      </c>
      <c r="I19" s="2199"/>
    </row>
    <row r="20" spans="1:35" ht="15">
      <c r="A20" s="2213"/>
      <c r="B20" s="2214" t="s">
        <v>1798</v>
      </c>
      <c r="C20" s="62">
        <f ca="1">SUMIF(INDIRECT("'"&amp;C4&amp;"'"&amp;"!A:A"),'结果表 (1修多)'!B20,INDIRECT("'"&amp;C4&amp;"'"&amp;"!B:B"))</f>
        <v>42847</v>
      </c>
      <c r="D20" s="63">
        <f ca="1">SUMIF(INDIRECT("'"&amp;D4&amp;"'"&amp;"!A:A"),'结果表 (1修多)'!B20,INDIRECT("'"&amp;D4&amp;"'"&amp;"!B:B"))</f>
        <v>48280</v>
      </c>
      <c r="E20" s="2213"/>
      <c r="F20" s="2214" t="s">
        <v>1798</v>
      </c>
      <c r="G20" s="64">
        <f ca="1">ROUND(C20*$C$18+D20*$D$18,0)</f>
        <v>45564</v>
      </c>
      <c r="H20" s="2215" t="s">
        <v>1799</v>
      </c>
      <c r="I20" s="2199"/>
    </row>
    <row r="21" spans="1:35" ht="15" customHeight="1" thickBot="1">
      <c r="A21" s="2216"/>
      <c r="B21" s="2217"/>
      <c r="C21" s="771"/>
      <c r="D21" s="772"/>
      <c r="E21" s="2216"/>
      <c r="F21" s="2217"/>
      <c r="G21" s="65"/>
      <c r="H21" s="2218"/>
      <c r="I21" s="2199"/>
    </row>
    <row r="22" spans="1:35" ht="15" thickBot="1">
      <c r="A22" s="2219" t="s">
        <v>1800</v>
      </c>
      <c r="B22" s="2220"/>
      <c r="C22" s="2221"/>
      <c r="D22" s="773">
        <f ca="1">IF(C19&lt;D19,D19/C19-1,C19/D19-1)</f>
        <v>0.12679803609433171</v>
      </c>
      <c r="E22" s="2199"/>
      <c r="F22" s="2199"/>
      <c r="G22" s="2199"/>
      <c r="H22" s="2199"/>
      <c r="I22" s="2199"/>
    </row>
    <row r="23" spans="1:35" ht="13.5" thickBot="1">
      <c r="A23" s="2199"/>
      <c r="B23" s="2199"/>
      <c r="C23" s="2199"/>
      <c r="D23" s="2199"/>
      <c r="E23" s="2199"/>
      <c r="F23" s="2199"/>
      <c r="G23" s="2199"/>
      <c r="H23" s="2199"/>
      <c r="I23" s="2199"/>
    </row>
    <row r="24" spans="1:35" ht="21.75" customHeight="1">
      <c r="A24" s="2893" t="s">
        <v>1801</v>
      </c>
      <c r="B24" s="2211" t="s">
        <v>1796</v>
      </c>
      <c r="C24" s="61">
        <f>D30</f>
        <v>0</v>
      </c>
      <c r="D24" s="995"/>
      <c r="E24" s="2199"/>
      <c r="F24" s="2199"/>
      <c r="G24" s="2199"/>
      <c r="H24" s="2199"/>
      <c r="I24" s="2199"/>
    </row>
    <row r="25" spans="1:35" ht="21.75" customHeight="1">
      <c r="A25" s="2894"/>
      <c r="B25" s="2214" t="s">
        <v>1798</v>
      </c>
      <c r="C25" s="66">
        <f>IF(B30=0,0,C30)</f>
        <v>0</v>
      </c>
      <c r="D25" s="2222"/>
      <c r="E25" s="2199"/>
      <c r="F25" s="2199"/>
      <c r="G25" s="2199"/>
      <c r="H25" s="2199"/>
      <c r="I25" s="2199"/>
    </row>
    <row r="26" spans="1:35" ht="13.5" customHeight="1">
      <c r="A26" s="2223" t="s">
        <v>1802</v>
      </c>
      <c r="B26" s="67" t="s">
        <v>1803</v>
      </c>
      <c r="C26" s="67" t="s">
        <v>1804</v>
      </c>
      <c r="D26" s="68" t="s">
        <v>1805</v>
      </c>
      <c r="E26" s="2199"/>
      <c r="F26" s="2199"/>
      <c r="G26" s="2199"/>
      <c r="H26" s="2199"/>
      <c r="I26" s="2199"/>
    </row>
    <row r="27" spans="1:35" ht="14.25">
      <c r="A27" s="2224" t="s">
        <v>1970</v>
      </c>
      <c r="B27" s="67">
        <v>0</v>
      </c>
      <c r="C27" s="67">
        <v>0</v>
      </c>
      <c r="D27" s="68">
        <f>ROUND(C27*B27/10000,0)</f>
        <v>0</v>
      </c>
      <c r="E27" s="2199"/>
      <c r="F27" s="2199"/>
      <c r="G27" s="2199"/>
      <c r="H27" s="2199"/>
      <c r="I27" s="2199"/>
    </row>
    <row r="28" spans="1:35" ht="14.25">
      <c r="A28" s="2223"/>
      <c r="B28" s="67"/>
      <c r="C28" s="67"/>
      <c r="D28" s="68">
        <f>ROUND(C28*B28/10000,0)</f>
        <v>0</v>
      </c>
      <c r="E28" s="2199"/>
      <c r="F28" s="2199"/>
      <c r="G28" s="2199"/>
      <c r="H28" s="2199"/>
      <c r="I28" s="2199"/>
    </row>
    <row r="29" spans="1:35" ht="14.25">
      <c r="A29" s="2223"/>
      <c r="B29" s="67"/>
      <c r="C29" s="67"/>
      <c r="D29" s="68">
        <f t="shared" ref="D29" si="0">ROUND(C29*B29/10000,0)</f>
        <v>0</v>
      </c>
      <c r="E29" s="2199"/>
      <c r="F29" s="2199"/>
      <c r="G29" s="2199"/>
      <c r="H29" s="2199"/>
      <c r="I29" s="2199"/>
    </row>
    <row r="30" spans="1:35" ht="15" thickBot="1">
      <c r="A30" s="1192" t="s">
        <v>1971</v>
      </c>
      <c r="B30" s="1192">
        <f>SUM(B27:B29)</f>
        <v>0</v>
      </c>
      <c r="C30" s="1192" t="e">
        <f>ROUND(D30*10000/B30,0)</f>
        <v>#DIV/0!</v>
      </c>
      <c r="D30" s="1192">
        <f>SUM(D27:D29)</f>
        <v>0</v>
      </c>
      <c r="E30" s="2199"/>
      <c r="F30" s="2199"/>
      <c r="G30" s="2199"/>
      <c r="H30" s="2199"/>
      <c r="I30" s="2199"/>
    </row>
    <row r="31" spans="1:35" s="2226" customFormat="1" ht="15.75" thickBot="1">
      <c r="A31" s="2941" t="s">
        <v>1972</v>
      </c>
      <c r="B31" s="2941"/>
      <c r="C31" s="2941"/>
      <c r="D31" s="2941"/>
      <c r="E31" s="2941"/>
      <c r="F31" s="2941"/>
      <c r="G31" s="2941"/>
      <c r="H31" s="2941"/>
      <c r="I31" s="294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4"/>
      <c r="B32" s="2325" t="s">
        <v>1973</v>
      </c>
      <c r="C32" s="1310">
        <f ca="1">典型户型修正!R27</f>
        <v>45564</v>
      </c>
      <c r="D32" s="2199" t="s">
        <v>1974</v>
      </c>
      <c r="E32" s="2199"/>
      <c r="F32" s="2199"/>
      <c r="G32" s="2199"/>
      <c r="H32" s="2199"/>
      <c r="I32" s="2199"/>
    </row>
    <row r="33" spans="1:16" ht="15">
      <c r="A33" s="2326" t="s">
        <v>1975</v>
      </c>
      <c r="B33" s="2327" t="s">
        <v>1976</v>
      </c>
      <c r="C33" s="1311">
        <f ca="1">典型户型修正!B2</f>
        <v>28020963</v>
      </c>
      <c r="D33" s="2328" t="str">
        <f>IF('数据-取费表'!B3="万元","万元","元")</f>
        <v>元</v>
      </c>
      <c r="E33" s="2199"/>
      <c r="F33" s="2199"/>
      <c r="G33" s="2199"/>
      <c r="H33" s="2199"/>
      <c r="I33" s="2199"/>
    </row>
    <row r="34" spans="1:16" ht="15.75" thickBot="1">
      <c r="A34" s="2329"/>
      <c r="B34" s="2330" t="s">
        <v>1977</v>
      </c>
      <c r="C34" s="772">
        <f ca="1">典型户型修正!B3</f>
        <v>32928</v>
      </c>
      <c r="D34" s="2199" t="s">
        <v>1978</v>
      </c>
      <c r="E34" s="2199"/>
      <c r="F34" s="2199"/>
      <c r="G34" s="2199"/>
      <c r="H34" s="2199"/>
      <c r="I34" s="2199"/>
    </row>
    <row r="35" spans="1:16" ht="15">
      <c r="A35" s="2331"/>
      <c r="B35" s="2332" t="s">
        <v>1979</v>
      </c>
      <c r="C35" s="1318">
        <f>IF('数据-取费表'!B3="万元",典型户型修正!V25,典型户型修正!U25)</f>
        <v>0</v>
      </c>
      <c r="D35" s="2199" t="str">
        <f>D33</f>
        <v>元</v>
      </c>
      <c r="E35" s="2199"/>
      <c r="F35" s="2199"/>
      <c r="G35" s="2199"/>
      <c r="H35" s="2199"/>
      <c r="I35" s="2199"/>
    </row>
    <row r="36" spans="1:16" ht="15.75" thickBot="1">
      <c r="A36" s="2238"/>
      <c r="B36" s="2333" t="s">
        <v>1980</v>
      </c>
      <c r="C36" s="1319">
        <f>IF('数据-取费表'!B3="万元",典型户型修正!Y25,典型户型修正!X25)</f>
        <v>0</v>
      </c>
      <c r="D36" s="2199" t="str">
        <f>D33</f>
        <v>元</v>
      </c>
      <c r="E36" s="2199"/>
      <c r="F36" s="2199"/>
      <c r="G36" s="2199"/>
      <c r="H36" s="2199"/>
      <c r="I36" s="2199"/>
    </row>
    <row r="37" spans="1:16" ht="15.75" thickBot="1">
      <c r="A37" s="2898" t="s">
        <v>1981</v>
      </c>
      <c r="B37" s="2241" t="s">
        <v>1982</v>
      </c>
      <c r="C37" s="70"/>
      <c r="D37" s="2242"/>
      <c r="E37" s="2243"/>
      <c r="F37" s="2243"/>
      <c r="G37" s="2199"/>
      <c r="H37" s="2199"/>
      <c r="I37" s="2199"/>
    </row>
    <row r="38" spans="1:16" ht="15.75" thickBot="1">
      <c r="A38" s="2899"/>
      <c r="B38" s="2244" t="s">
        <v>1983</v>
      </c>
      <c r="C38" s="72"/>
      <c r="D38" s="2209"/>
      <c r="E38" s="2209"/>
      <c r="F38" s="2243"/>
      <c r="G38" s="2209"/>
      <c r="H38" s="2209"/>
      <c r="I38" s="2209"/>
    </row>
    <row r="39" spans="1:16" ht="15.75" thickBot="1">
      <c r="A39" s="2900"/>
      <c r="B39" s="2245" t="s">
        <v>1984</v>
      </c>
      <c r="C39" s="713"/>
      <c r="D39" s="2246" t="s">
        <v>1985</v>
      </c>
      <c r="E39" s="2209"/>
      <c r="F39" s="2243"/>
      <c r="G39" s="2209"/>
      <c r="H39" s="2209"/>
      <c r="I39" s="2209"/>
    </row>
    <row r="40" spans="1:16" ht="15" hidden="1">
      <c r="A40" s="2213" t="s">
        <v>1986</v>
      </c>
      <c r="B40" s="2247" t="s">
        <v>1987</v>
      </c>
      <c r="C40" s="2248" t="s">
        <v>1988</v>
      </c>
      <c r="D40" s="2248" t="s">
        <v>1989</v>
      </c>
      <c r="E40" s="2249" t="s">
        <v>1990</v>
      </c>
      <c r="F40" s="2243"/>
      <c r="G40" s="2209"/>
      <c r="H40" s="2209"/>
      <c r="I40" s="2209"/>
    </row>
    <row r="41" spans="1:16" ht="14.25" hidden="1">
      <c r="A41" s="2250" t="s">
        <v>1991</v>
      </c>
      <c r="B41" s="75"/>
      <c r="C41" s="76"/>
      <c r="D41" s="76"/>
      <c r="E41" s="77"/>
      <c r="F41" s="2243"/>
      <c r="G41" s="2209"/>
      <c r="H41" s="2209"/>
      <c r="I41" s="2209"/>
    </row>
    <row r="42" spans="1:16" ht="14.25" hidden="1">
      <c r="A42" s="2250" t="s">
        <v>1992</v>
      </c>
      <c r="B42" s="75"/>
      <c r="C42" s="76"/>
      <c r="D42" s="76"/>
      <c r="E42" s="77"/>
      <c r="F42" s="2243"/>
      <c r="G42" s="2209"/>
      <c r="H42" s="2209"/>
      <c r="I42" s="2209"/>
    </row>
    <row r="43" spans="1:16" ht="15" hidden="1" thickBot="1">
      <c r="A43" s="2251"/>
      <c r="B43" s="78"/>
      <c r="C43" s="79"/>
      <c r="D43" s="79"/>
      <c r="E43" s="80"/>
      <c r="F43" s="2243"/>
      <c r="G43" s="2209"/>
      <c r="H43" s="2209"/>
      <c r="I43" s="2209"/>
    </row>
    <row r="44" spans="1:16" ht="13.5" hidden="1" thickBot="1">
      <c r="A44" s="2252"/>
      <c r="B44" s="2252"/>
      <c r="C44" s="2252"/>
      <c r="D44" s="2252"/>
      <c r="E44" s="2252"/>
      <c r="F44" s="2253"/>
      <c r="G44" s="2253"/>
      <c r="H44" s="2253"/>
      <c r="I44" s="2254"/>
    </row>
    <row r="45" spans="1:16" ht="18.75" hidden="1">
      <c r="A45" s="2255" t="s">
        <v>1993</v>
      </c>
      <c r="B45" s="2256"/>
      <c r="C45" s="2256"/>
      <c r="D45" s="2257"/>
      <c r="E45" s="2257"/>
      <c r="F45" s="2258"/>
      <c r="G45" s="2258"/>
      <c r="H45" s="2258"/>
      <c r="I45" s="2258"/>
      <c r="J45" s="2259" t="s">
        <v>1824</v>
      </c>
      <c r="K45" s="2260"/>
      <c r="L45" s="2260"/>
      <c r="M45" s="2260"/>
      <c r="N45" s="2260"/>
      <c r="O45" s="2260"/>
      <c r="P45" s="1851"/>
    </row>
    <row r="46" spans="1:16" ht="14.25" hidden="1" customHeight="1" thickBot="1">
      <c r="A46" s="2903" t="s">
        <v>1994</v>
      </c>
      <c r="B46" s="2904"/>
      <c r="C46" s="2905"/>
      <c r="D46" s="81">
        <f ca="1">ROUND(I103*F46,0)</f>
        <v>28020963</v>
      </c>
      <c r="E46" s="82" t="s">
        <v>1995</v>
      </c>
      <c r="F46" s="83">
        <v>1</v>
      </c>
      <c r="G46" s="84" t="s">
        <v>1996</v>
      </c>
      <c r="H46" s="2199"/>
      <c r="I46" s="2199"/>
      <c r="J46" s="2815" t="s">
        <v>1828</v>
      </c>
      <c r="K46" s="2815"/>
      <c r="L46" s="2815"/>
      <c r="M46" s="2815"/>
      <c r="N46" s="2815"/>
      <c r="O46" s="2815"/>
      <c r="P46" s="1851"/>
    </row>
    <row r="47" spans="1:16" ht="14.25" hidden="1" customHeight="1">
      <c r="A47" s="2895" t="s">
        <v>1829</v>
      </c>
      <c r="B47" s="2896"/>
      <c r="C47" s="2896"/>
      <c r="D47" s="2896"/>
      <c r="E47" s="2896"/>
      <c r="F47" s="2896"/>
      <c r="G47" s="2897"/>
      <c r="H47" s="2261"/>
      <c r="I47" s="1145"/>
      <c r="J47" s="1889">
        <v>1</v>
      </c>
      <c r="K47" s="2815" t="s">
        <v>1830</v>
      </c>
      <c r="L47" s="2815"/>
      <c r="M47" s="2930"/>
      <c r="N47" s="2930"/>
      <c r="O47" s="2930"/>
      <c r="P47" s="1851"/>
    </row>
    <row r="48" spans="1:16" ht="12" hidden="1" customHeight="1">
      <c r="A48" s="86" t="s">
        <v>1831</v>
      </c>
      <c r="B48" s="87"/>
      <c r="C48" s="88"/>
      <c r="D48" s="89" t="s">
        <v>1832</v>
      </c>
      <c r="E48" s="14" t="s">
        <v>1833</v>
      </c>
      <c r="F48" s="90" t="s">
        <v>1834</v>
      </c>
      <c r="G48" s="91" t="s">
        <v>1835</v>
      </c>
      <c r="H48" s="2261"/>
      <c r="I48" s="1145"/>
      <c r="J48" s="1889">
        <v>2</v>
      </c>
      <c r="K48" s="2815" t="s">
        <v>1836</v>
      </c>
      <c r="L48" s="2815"/>
      <c r="M48" s="2817">
        <f>'数据-取费表'!B2</f>
        <v>42990</v>
      </c>
      <c r="N48" s="2817"/>
      <c r="O48" s="2817"/>
      <c r="P48" s="1851"/>
    </row>
    <row r="49" spans="1:16" ht="25.5" hidden="1">
      <c r="A49" s="2901" t="s">
        <v>1837</v>
      </c>
      <c r="B49" s="2902"/>
      <c r="C49" s="2902"/>
      <c r="D49" s="56">
        <f ca="1">IF(H49="情况1",0,IF(H49="情况2",D53,IF(H49="情况3",D54,IF(H49="情况4",D55))))</f>
        <v>1494451</v>
      </c>
      <c r="E49" s="1899" t="str">
        <f>IF(H49="情况4","(销售额-原购置价)×税（费）率","销售额×税（费）率")</f>
        <v>销售额×税（费）率</v>
      </c>
      <c r="F49" s="92">
        <f>IF(H49="情况1","免征",'数据-取费表'!E29)</f>
        <v>5.6000000000000001E-2</v>
      </c>
      <c r="G49" s="2262" t="s">
        <v>1838</v>
      </c>
      <c r="H49" s="2263" t="s">
        <v>1839</v>
      </c>
      <c r="I49" s="2261"/>
      <c r="J49" s="1889">
        <v>3</v>
      </c>
      <c r="K49" s="2815" t="s">
        <v>1840</v>
      </c>
      <c r="L49" s="2815"/>
      <c r="M49" s="2816">
        <f ca="1">I103</f>
        <v>28020963</v>
      </c>
      <c r="N49" s="2816"/>
      <c r="O49" s="2816"/>
      <c r="P49" s="1851"/>
    </row>
    <row r="50" spans="1:16" ht="25.5" hidden="1" customHeight="1">
      <c r="A50" s="93" t="s">
        <v>1841</v>
      </c>
      <c r="B50" s="2882" t="s">
        <v>1842</v>
      </c>
      <c r="C50" s="2882"/>
      <c r="D50" s="94">
        <v>0</v>
      </c>
      <c r="E50" s="13" t="s">
        <v>1843</v>
      </c>
      <c r="F50" s="18" t="s">
        <v>48</v>
      </c>
      <c r="G50" s="2806"/>
      <c r="H50" s="2199"/>
      <c r="I50" s="2264"/>
      <c r="J50" s="1889">
        <v>4</v>
      </c>
      <c r="K50" s="2815" t="str">
        <f>IF(项目基本情况!F5="房地产抵押价值","房地产抵押价值","抵押担保权已注销时的房地产抵押价值")</f>
        <v>抵押担保权已注销时的房地产抵押价值</v>
      </c>
      <c r="L50" s="2815"/>
      <c r="M50" s="2816" t="str">
        <f>IF(项目基本情况!E8="房地产抵押价值",I111,I113)</f>
        <v>——</v>
      </c>
      <c r="N50" s="2816"/>
      <c r="O50" s="2816"/>
      <c r="P50" s="1851"/>
    </row>
    <row r="51" spans="1:16" ht="25.5" hidden="1" customHeight="1">
      <c r="A51" s="95"/>
      <c r="B51" s="2882" t="s">
        <v>1844</v>
      </c>
      <c r="C51" s="2882"/>
      <c r="D51" s="96"/>
      <c r="E51" s="21"/>
      <c r="F51" s="97"/>
      <c r="G51" s="2807"/>
      <c r="H51" s="2199"/>
      <c r="I51" s="2264"/>
      <c r="J51" s="2815" t="s">
        <v>1845</v>
      </c>
      <c r="K51" s="2815"/>
      <c r="L51" s="2815"/>
      <c r="M51" s="2815"/>
      <c r="N51" s="2815"/>
      <c r="O51" s="2815"/>
      <c r="P51" s="1851"/>
    </row>
    <row r="52" spans="1:16" ht="12" hidden="1" customHeight="1">
      <c r="A52" s="98"/>
      <c r="B52" s="2882" t="s">
        <v>1846</v>
      </c>
      <c r="C52" s="2882"/>
      <c r="D52" s="99"/>
      <c r="E52" s="20"/>
      <c r="F52" s="97"/>
      <c r="G52" s="2808"/>
      <c r="H52" s="2199"/>
      <c r="I52" s="2264"/>
      <c r="J52" s="2265" t="s">
        <v>1847</v>
      </c>
      <c r="K52" s="2815" t="s">
        <v>1848</v>
      </c>
      <c r="L52" s="2815"/>
      <c r="M52" s="2265" t="s">
        <v>1849</v>
      </c>
      <c r="N52" s="2265" t="s">
        <v>1850</v>
      </c>
      <c r="O52" s="2265" t="s">
        <v>1851</v>
      </c>
      <c r="P52" s="1851"/>
    </row>
    <row r="53" spans="1:16" ht="24" hidden="1" customHeight="1">
      <c r="A53" s="100" t="s">
        <v>1852</v>
      </c>
      <c r="B53" s="2882" t="s">
        <v>1853</v>
      </c>
      <c r="C53" s="2882"/>
      <c r="D53" s="99">
        <f ca="1">ROUND(D46*'数据-取费表'!E29/(1+'数据-取费表'!F30),0)</f>
        <v>1494451</v>
      </c>
      <c r="E53" s="10" t="s">
        <v>1854</v>
      </c>
      <c r="F53" s="101">
        <f>'数据-取费表'!E29</f>
        <v>5.6000000000000001E-2</v>
      </c>
      <c r="G53" s="2266"/>
      <c r="H53" s="2199"/>
      <c r="I53" s="2264"/>
      <c r="J53" s="1889">
        <v>1</v>
      </c>
      <c r="K53" s="2805" t="s">
        <v>1855</v>
      </c>
      <c r="L53" s="2805"/>
      <c r="M53" s="779">
        <f ca="1">D49</f>
        <v>1494451</v>
      </c>
      <c r="N53" s="1889" t="str">
        <f>E49</f>
        <v>销售额×税（费）率</v>
      </c>
      <c r="O53" s="780">
        <f>F49</f>
        <v>5.6000000000000001E-2</v>
      </c>
      <c r="P53" s="1851"/>
    </row>
    <row r="54" spans="1:16" ht="12" hidden="1" customHeight="1">
      <c r="A54" s="100" t="s">
        <v>1856</v>
      </c>
      <c r="B54" s="2881" t="s">
        <v>1857</v>
      </c>
      <c r="C54" s="2775"/>
      <c r="D54" s="99">
        <f ca="1">ROUND(D46*'数据-取费表'!E29/(1+'数据-取费表'!F30),0)</f>
        <v>1494451</v>
      </c>
      <c r="E54" s="10" t="s">
        <v>1854</v>
      </c>
      <c r="F54" s="101">
        <f>'数据-取费表'!E29</f>
        <v>5.6000000000000001E-2</v>
      </c>
      <c r="G54" s="2266"/>
      <c r="H54" s="2199"/>
      <c r="I54" s="2264"/>
      <c r="J54" s="1889">
        <v>2</v>
      </c>
      <c r="K54" s="2805" t="s">
        <v>1858</v>
      </c>
      <c r="L54" s="2805"/>
      <c r="M54" s="779">
        <f t="shared" ref="M54:O55" ca="1" si="1">D56</f>
        <v>14010</v>
      </c>
      <c r="N54" s="1889" t="str">
        <f t="shared" si="1"/>
        <v>销售额×税（费）率</v>
      </c>
      <c r="O54" s="780">
        <f t="shared" si="1"/>
        <v>5.0000000000000001E-4</v>
      </c>
      <c r="P54" s="1851"/>
    </row>
    <row r="55" spans="1:16" ht="12" hidden="1" customHeight="1">
      <c r="A55" s="100" t="s">
        <v>1859</v>
      </c>
      <c r="B55" s="2881" t="s">
        <v>1860</v>
      </c>
      <c r="C55" s="2775"/>
      <c r="D55" s="99">
        <f ca="1">C69</f>
        <v>1494451</v>
      </c>
      <c r="E55" s="20" t="s">
        <v>1861</v>
      </c>
      <c r="F55" s="101">
        <f>'数据-取费表'!E29</f>
        <v>5.6000000000000001E-2</v>
      </c>
      <c r="G55" s="2266"/>
      <c r="H55" s="2267"/>
      <c r="I55" s="2264"/>
      <c r="J55" s="1889">
        <v>3</v>
      </c>
      <c r="K55" s="2805" t="s">
        <v>1862</v>
      </c>
      <c r="L55" s="2805"/>
      <c r="M55" s="779">
        <f t="shared" ca="1" si="1"/>
        <v>15859865</v>
      </c>
      <c r="N55" s="1889" t="str">
        <f t="shared" si="1"/>
        <v>增值额×税（费）率</v>
      </c>
      <c r="O55" s="781" t="str">
        <f t="shared" si="1"/>
        <v>——</v>
      </c>
      <c r="P55" s="1851"/>
    </row>
    <row r="56" spans="1:16" ht="24" hidden="1" customHeight="1">
      <c r="A56" s="2767" t="s">
        <v>1863</v>
      </c>
      <c r="B56" s="2902"/>
      <c r="C56" s="2902"/>
      <c r="D56" s="102">
        <f ca="1">IF(H56="个人住宅",0,ROUND(D46*I56,0))</f>
        <v>14010</v>
      </c>
      <c r="E56" s="10" t="s">
        <v>1864</v>
      </c>
      <c r="F56" s="101">
        <f>IF(H56="正常",I56,"免征")</f>
        <v>5.0000000000000001E-4</v>
      </c>
      <c r="G56" s="2266"/>
      <c r="H56" s="2263" t="s">
        <v>1865</v>
      </c>
      <c r="I56" s="103">
        <f>'数据-取费表'!E37</f>
        <v>5.0000000000000001E-4</v>
      </c>
      <c r="J56" s="1889" t="str">
        <f>IF(H60="非个人房产","",4)</f>
        <v/>
      </c>
      <c r="K56" s="2805" t="str">
        <f>IF(H60="非个人房产","——","个人所得税")</f>
        <v>——</v>
      </c>
      <c r="L56" s="2805"/>
      <c r="M56" s="782" t="str">
        <f>D60</f>
        <v>——</v>
      </c>
      <c r="N56" s="1892" t="str">
        <f>E60</f>
        <v>——</v>
      </c>
      <c r="O56" s="783" t="str">
        <f>F60</f>
        <v>——</v>
      </c>
      <c r="P56" s="1851"/>
    </row>
    <row r="57" spans="1:16" ht="24.75" hidden="1">
      <c r="A57" s="2767" t="s">
        <v>1866</v>
      </c>
      <c r="B57" s="2902"/>
      <c r="C57" s="2902"/>
      <c r="D57" s="102">
        <f ca="1">IF(H57="个人住宅",D58,D59)</f>
        <v>15859865</v>
      </c>
      <c r="E57" s="10" t="s">
        <v>1867</v>
      </c>
      <c r="F57" s="101" t="str">
        <f>IF(H57="正常",F59,"免征")</f>
        <v>——</v>
      </c>
      <c r="G57" s="2268" t="s">
        <v>1868</v>
      </c>
      <c r="H57" s="2269" t="s">
        <v>1865</v>
      </c>
      <c r="I57" s="1023"/>
      <c r="J57" s="1889" t="str">
        <f>IF(项目基本情况!I6="上海银行",IF(J56="",4,J56+1),"")</f>
        <v/>
      </c>
      <c r="K57" s="2822" t="str">
        <f>IF(项目基本情况!I6="上海银行","其他处置费用","")</f>
        <v/>
      </c>
      <c r="L57" s="2823"/>
      <c r="M57" s="779" t="str">
        <f>IF(项目基本情况!I6="上海银行",M70,"")</f>
        <v/>
      </c>
      <c r="N57" s="2803" t="str">
        <f>IF(项目基本情况!I6="上海银行","包含处置中涉及的律师、诉讼、拍卖、评估等费用","")</f>
        <v/>
      </c>
      <c r="O57" s="2804"/>
      <c r="P57" s="1851"/>
    </row>
    <row r="58" spans="1:16" ht="12.75" hidden="1">
      <c r="A58" s="100" t="s">
        <v>1841</v>
      </c>
      <c r="B58" s="2890" t="s">
        <v>1869</v>
      </c>
      <c r="C58" s="2892"/>
      <c r="D58" s="104">
        <v>0</v>
      </c>
      <c r="E58" s="13" t="s">
        <v>1843</v>
      </c>
      <c r="F58" s="71"/>
      <c r="G58" s="2266"/>
      <c r="H58" s="1023"/>
      <c r="I58" s="1023"/>
      <c r="J58" s="2805">
        <f>IF(AND(J56="",J57=""),4,IF(项目基本情况!I6="上海银行",J57+1,J56+1))</f>
        <v>4</v>
      </c>
      <c r="K58" s="2805" t="s">
        <v>1870</v>
      </c>
      <c r="L58" s="2270" t="s">
        <v>1871</v>
      </c>
      <c r="M58" s="784"/>
      <c r="N58" s="785">
        <f ca="1">SUMIF(M53:M57,"&lt;9e307")</f>
        <v>17368326</v>
      </c>
      <c r="O58" s="2271"/>
      <c r="P58" s="1847" t="e">
        <f ca="1">N58/M50</f>
        <v>#VALUE!</v>
      </c>
    </row>
    <row r="59" spans="1:16" ht="24.75" hidden="1">
      <c r="A59" s="100" t="s">
        <v>1852</v>
      </c>
      <c r="B59" s="2890" t="s">
        <v>1872</v>
      </c>
      <c r="C59" s="2891"/>
      <c r="D59" s="102">
        <f ca="1">IF(H59="转让取得",C82,C98)</f>
        <v>15859865</v>
      </c>
      <c r="E59" s="10" t="s">
        <v>1867</v>
      </c>
      <c r="F59" s="14" t="s">
        <v>48</v>
      </c>
      <c r="G59" s="2266"/>
      <c r="H59" s="2269" t="s">
        <v>1873</v>
      </c>
      <c r="I59" s="1023"/>
      <c r="J59" s="2805"/>
      <c r="K59" s="2805"/>
      <c r="L59" s="2270" t="s">
        <v>1874</v>
      </c>
      <c r="M59" s="786"/>
      <c r="N59" s="2272" t="str">
        <f ca="1">IF(H19="元",NUMBERSTRING(INT(N58),2)&amp;"元整",NUMBERSTRING(INT(N58*10000),2)&amp;"元整")</f>
        <v>壹仟柒佰叁拾陆万捌仟叁佰贰拾陆元整</v>
      </c>
      <c r="O59" s="2273"/>
      <c r="P59" s="1851"/>
    </row>
    <row r="60" spans="1:16" ht="24.75" hidden="1" thickBot="1">
      <c r="A60" s="2768" t="s">
        <v>1875</v>
      </c>
      <c r="B60" s="2771"/>
      <c r="C60" s="2771"/>
      <c r="D60" s="105" t="str">
        <f>IF(H60="非个人房产","——",IF(H60="个人住宅",0,ROUND(D46*I60,0)))</f>
        <v>——</v>
      </c>
      <c r="E60" s="106" t="str">
        <f>IF(H60="非个人房产","——","销售额×税（费）率")</f>
        <v>——</v>
      </c>
      <c r="F60" s="107" t="str">
        <f>IF(H60="非个人房产","——",IF(H60="个人住宅","免征",I60))</f>
        <v>——</v>
      </c>
      <c r="G60" s="2274" t="s">
        <v>1868</v>
      </c>
      <c r="H60" s="2269" t="s">
        <v>1997</v>
      </c>
      <c r="I60" s="108">
        <v>0.01</v>
      </c>
      <c r="J60" s="2859">
        <f>J58+1</f>
        <v>5</v>
      </c>
      <c r="K60" s="2805" t="s">
        <v>1877</v>
      </c>
      <c r="L60" s="1889" t="s">
        <v>1871</v>
      </c>
      <c r="M60" s="787"/>
      <c r="N60" s="788" t="e">
        <f ca="1">M50-N58</f>
        <v>#VALUE!</v>
      </c>
      <c r="O60" s="2275"/>
      <c r="P60" s="1851"/>
    </row>
    <row r="61" spans="1:16" ht="12" hidden="1" customHeight="1">
      <c r="A61" s="2073"/>
      <c r="B61" s="2199"/>
      <c r="C61" s="2199"/>
      <c r="D61" s="2199"/>
      <c r="E61" s="1023"/>
      <c r="F61" s="1023"/>
      <c r="G61" s="1023"/>
      <c r="H61" s="2252"/>
      <c r="I61" s="2199"/>
      <c r="J61" s="2860"/>
      <c r="K61" s="2805"/>
      <c r="L61" s="2270" t="s">
        <v>1874</v>
      </c>
      <c r="M61" s="786"/>
      <c r="N61" s="2272" t="e">
        <f ca="1">IF(H19="元",NUMBERSTRING(INT(N60),2)&amp;"元整",NUMBERSTRING(INT(N60*10000),2)&amp;"元整")</f>
        <v>#VALUE!</v>
      </c>
      <c r="O61" s="2273"/>
      <c r="P61" s="1851"/>
    </row>
    <row r="62" spans="1:16" ht="13.5" hidden="1" thickBot="1">
      <c r="A62" s="2906" t="s">
        <v>1878</v>
      </c>
      <c r="B62" s="2906"/>
      <c r="C62" s="2906"/>
      <c r="D62" s="2906"/>
      <c r="E62" s="2906"/>
      <c r="F62" s="1023"/>
      <c r="G62" s="1023"/>
      <c r="H62" s="2252"/>
      <c r="I62" s="2199"/>
      <c r="J62" s="1889">
        <f>J60+1</f>
        <v>6</v>
      </c>
      <c r="K62" s="2805" t="s">
        <v>1879</v>
      </c>
      <c r="L62" s="2805"/>
      <c r="M62" s="789"/>
      <c r="N62" s="790" t="e">
        <f ca="1">IF(H19="元",ROUND(N60/项目基本情况!C12,0),ROUND(N60*10000/项目基本情况!C12,0))</f>
        <v>#VALUE!</v>
      </c>
      <c r="O62" s="2276"/>
      <c r="P62" s="1851"/>
    </row>
    <row r="63" spans="1:16" ht="12.75" hidden="1">
      <c r="A63" s="2843" t="s">
        <v>1880</v>
      </c>
      <c r="B63" s="2844"/>
      <c r="C63" s="1891"/>
      <c r="D63" s="1891" t="s">
        <v>1881</v>
      </c>
      <c r="E63" s="109" t="s">
        <v>1882</v>
      </c>
      <c r="F63" s="1023"/>
      <c r="G63" s="1023"/>
      <c r="H63" s="2252"/>
      <c r="I63" s="2199"/>
      <c r="J63" s="1851"/>
      <c r="K63" s="1851"/>
      <c r="L63" s="1851"/>
      <c r="M63" s="1851"/>
      <c r="N63" s="1851"/>
      <c r="O63" s="1851"/>
      <c r="P63" s="1851"/>
    </row>
    <row r="64" spans="1:16" ht="12.75" hidden="1">
      <c r="A64" s="110">
        <v>1</v>
      </c>
      <c r="B64" s="111" t="s">
        <v>1883</v>
      </c>
      <c r="C64" s="112">
        <f ca="1">ROUND((C65+C66)/(1+'数据-取费表'!F30),0)</f>
        <v>26686631</v>
      </c>
      <c r="D64" s="113"/>
      <c r="E64" s="114"/>
      <c r="F64" s="1023"/>
      <c r="G64" s="1023"/>
      <c r="H64" s="2252"/>
      <c r="I64" s="2199"/>
      <c r="J64" s="2824" t="s">
        <v>1884</v>
      </c>
      <c r="K64" s="2277" t="s">
        <v>1885</v>
      </c>
      <c r="L64" s="1850" t="e">
        <f>IF(M50&gt;10000,M50*0.5%,IF(AND(M50&gt;1000,M50&lt;=10000),M50*1%,IF(AND(M50&gt;100,M50&lt;=1000),M50*3%,IF(AND(M50&gt;10,M50&lt;=100),M50*5%,M50*8%))))</f>
        <v>#VALUE!</v>
      </c>
      <c r="M64" s="14" t="e">
        <f>ROUND(L64,1)</f>
        <v>#VALUE!</v>
      </c>
      <c r="N64" s="1851"/>
      <c r="O64" s="1851"/>
      <c r="P64" s="1851"/>
    </row>
    <row r="65" spans="1:35" ht="12.75" hidden="1">
      <c r="A65" s="115" t="s">
        <v>71</v>
      </c>
      <c r="B65" s="116" t="s">
        <v>1886</v>
      </c>
      <c r="C65" s="117">
        <f ca="1">D46</f>
        <v>28020963</v>
      </c>
      <c r="D65" s="118" t="s">
        <v>41</v>
      </c>
      <c r="E65" s="119"/>
      <c r="F65" s="1023"/>
      <c r="G65" s="1023"/>
      <c r="H65" s="2252"/>
      <c r="I65" s="2199"/>
      <c r="J65" s="2824"/>
      <c r="K65" s="2277"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hidden="1">
      <c r="A66" s="115" t="s">
        <v>72</v>
      </c>
      <c r="B66" s="116" t="s">
        <v>1889</v>
      </c>
      <c r="C66" s="120"/>
      <c r="D66" s="118"/>
      <c r="E66" s="119"/>
      <c r="F66" s="1023"/>
      <c r="G66" s="1023"/>
      <c r="H66" s="2252"/>
      <c r="I66" s="2199"/>
      <c r="J66" s="2824"/>
      <c r="K66" s="2277" t="s">
        <v>1890</v>
      </c>
      <c r="L66" s="1850" t="e">
        <f>IF(M50&gt;1000,M50*0.1%,IF(AND(M50&gt;500,M50&lt;=1000),M50*0.5%,IF(AND(M50&gt;50,M50&lt;=500),M50*1%,IF(AND(M50&gt;1,M50&lt;=50),M50*1.5%))))</f>
        <v>#VALUE!</v>
      </c>
      <c r="M66" s="14" t="e">
        <f t="shared" si="2"/>
        <v>#VALUE!</v>
      </c>
      <c r="N66" s="1851" t="s">
        <v>1888</v>
      </c>
      <c r="O66" s="1851"/>
      <c r="P66" s="1851"/>
    </row>
    <row r="67" spans="1:35" ht="12.75" hidden="1">
      <c r="A67" s="121" t="s">
        <v>47</v>
      </c>
      <c r="B67" s="122" t="s">
        <v>1891</v>
      </c>
      <c r="C67" s="123"/>
      <c r="D67" s="124" t="s">
        <v>41</v>
      </c>
      <c r="E67" s="1867" t="s">
        <v>1892</v>
      </c>
      <c r="F67" s="1023"/>
      <c r="G67" s="1023"/>
      <c r="H67" s="2252"/>
      <c r="I67" s="2199"/>
      <c r="J67" s="2824"/>
      <c r="K67" s="2277" t="s">
        <v>1893</v>
      </c>
      <c r="L67" s="1850" t="e">
        <f>M50*0.5%</f>
        <v>#VALUE!</v>
      </c>
      <c r="M67" s="14" t="e">
        <f>IF(L67&gt;0.5,0.5,ROUND(L67,0))</f>
        <v>#VALUE!</v>
      </c>
      <c r="N67" s="1851" t="s">
        <v>1894</v>
      </c>
      <c r="O67" s="1851"/>
      <c r="P67" s="1851"/>
    </row>
    <row r="68" spans="1:35" ht="12.75" hidden="1">
      <c r="A68" s="121" t="s">
        <v>42</v>
      </c>
      <c r="B68" s="122" t="s">
        <v>1895</v>
      </c>
      <c r="C68" s="125">
        <f ca="1">C64-C67</f>
        <v>26686631</v>
      </c>
      <c r="D68" s="118" t="s">
        <v>41</v>
      </c>
      <c r="E68" s="119"/>
      <c r="F68" s="1023"/>
      <c r="G68" s="1023"/>
      <c r="H68" s="2252"/>
      <c r="I68" s="2199"/>
      <c r="J68" s="2824"/>
      <c r="K68" s="2277"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hidden="1" thickBot="1">
      <c r="A69" s="126" t="s">
        <v>46</v>
      </c>
      <c r="B69" s="127" t="s">
        <v>1897</v>
      </c>
      <c r="C69" s="128">
        <f ca="1">IF(C68&lt;=0,0,ROUND(C68*D69,0))</f>
        <v>1494451</v>
      </c>
      <c r="D69" s="129">
        <f>'数据-取费表'!E29</f>
        <v>5.6000000000000001E-2</v>
      </c>
      <c r="E69" s="130"/>
      <c r="F69" s="1023"/>
      <c r="G69" s="1023"/>
      <c r="H69" s="2252"/>
      <c r="I69" s="2199"/>
      <c r="J69" s="2824"/>
      <c r="K69" s="2277" t="s">
        <v>1898</v>
      </c>
      <c r="L69" s="1850" t="e">
        <f>IF(M50&gt;10000,M50*0.5%,IF(AND(M50&gt;5000,M50&lt;=10000),M50*1%,IF(AND(M50&gt;1000,M50&lt;=5000),M50*2%,IF(AND(M50&gt;200,M50&lt;=1000),M50*3%,M50*5%))))</f>
        <v>#VALUE!</v>
      </c>
      <c r="M69" s="14" t="e">
        <f>ROUND(L69,1)</f>
        <v>#VALUE!</v>
      </c>
      <c r="N69" s="1851"/>
      <c r="O69" s="1851"/>
      <c r="P69" s="1851"/>
    </row>
    <row r="70" spans="1:35" s="2226" customFormat="1" ht="7.5" hidden="1" customHeight="1">
      <c r="A70" s="2278"/>
      <c r="B70" s="2279"/>
      <c r="C70" s="2280"/>
      <c r="D70" s="2281"/>
      <c r="E70" s="2282"/>
      <c r="F70" s="1023"/>
      <c r="G70" s="1023"/>
      <c r="H70" s="2252"/>
      <c r="I70" s="2199"/>
      <c r="J70" s="2824"/>
      <c r="K70" s="2277" t="s">
        <v>1899</v>
      </c>
      <c r="L70" s="2283"/>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5" customFormat="1" ht="14.25" hidden="1">
      <c r="A71" s="2845" t="s">
        <v>1900</v>
      </c>
      <c r="B71" s="2846"/>
      <c r="C71" s="2846"/>
      <c r="D71" s="2846"/>
      <c r="E71" s="2846"/>
      <c r="F71" s="2846"/>
      <c r="G71" s="2846"/>
      <c r="H71" s="2846"/>
      <c r="I71" s="2284"/>
      <c r="J71" s="1288"/>
      <c r="K71" s="1288"/>
      <c r="L71" s="1288"/>
      <c r="M71" s="1288"/>
      <c r="N71" s="1288"/>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hidden="1">
      <c r="A72" s="2843" t="s">
        <v>1880</v>
      </c>
      <c r="B72" s="2844"/>
      <c r="C72" s="1891"/>
      <c r="D72" s="1891" t="s">
        <v>1881</v>
      </c>
      <c r="E72" s="131" t="s">
        <v>1882</v>
      </c>
      <c r="F72" s="132"/>
      <c r="G72" s="132"/>
      <c r="H72" s="133"/>
      <c r="I72" s="2287"/>
      <c r="J72" s="1288"/>
      <c r="K72" s="1288"/>
      <c r="L72" s="1288"/>
      <c r="M72" s="1288"/>
      <c r="N72" s="1288"/>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hidden="1">
      <c r="A73" s="134">
        <v>1</v>
      </c>
      <c r="B73" s="122" t="s">
        <v>1901</v>
      </c>
      <c r="C73" s="125">
        <f ca="1">ROUND(D46/(1+'数据-取费表'!F30),0)</f>
        <v>26686631</v>
      </c>
      <c r="D73" s="118" t="s">
        <v>41</v>
      </c>
      <c r="E73" s="1894"/>
      <c r="F73" s="1895"/>
      <c r="G73" s="1895"/>
      <c r="H73" s="135"/>
      <c r="I73" s="2287"/>
      <c r="J73" s="1288"/>
      <c r="K73" s="1288"/>
      <c r="L73" s="1288"/>
      <c r="M73" s="1288"/>
      <c r="N73" s="1288"/>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14.25" hidden="1">
      <c r="A74" s="136">
        <v>2</v>
      </c>
      <c r="B74" s="90" t="s">
        <v>1903</v>
      </c>
      <c r="C74" s="125">
        <f ca="1">C75+C79</f>
        <v>160120</v>
      </c>
      <c r="D74" s="118" t="s">
        <v>41</v>
      </c>
      <c r="E74" s="1894"/>
      <c r="F74" s="1895"/>
      <c r="G74" s="1895"/>
      <c r="H74" s="135"/>
      <c r="I74" s="2287"/>
      <c r="J74" s="1288"/>
      <c r="K74" s="1288"/>
      <c r="L74" s="1288"/>
      <c r="M74" s="1288"/>
      <c r="N74" s="1288"/>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hidden="1">
      <c r="A75" s="137" t="s">
        <v>73</v>
      </c>
      <c r="B75" s="116" t="s">
        <v>1904</v>
      </c>
      <c r="C75" s="118">
        <f>ROUND(IF(G78="2016年5月1日后购买",C76/(1+'数据-取费表'!F30)+C77+C78,C76+C77+C78),0)</f>
        <v>0</v>
      </c>
      <c r="D75" s="118" t="s">
        <v>41</v>
      </c>
      <c r="E75" s="1894"/>
      <c r="F75" s="1895"/>
      <c r="G75" s="1895"/>
      <c r="H75" s="135"/>
      <c r="I75" s="2287"/>
      <c r="J75" s="1288"/>
      <c r="K75" s="1288"/>
      <c r="L75" s="1288"/>
      <c r="M75" s="1288"/>
      <c r="N75" s="1288"/>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14.25" hidden="1">
      <c r="A76" s="137" t="s">
        <v>74</v>
      </c>
      <c r="B76" s="116" t="s">
        <v>1905</v>
      </c>
      <c r="C76" s="138"/>
      <c r="D76" s="118" t="s">
        <v>41</v>
      </c>
      <c r="E76" s="139" t="s">
        <v>1906</v>
      </c>
      <c r="F76" s="2288"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hidden="1" customHeight="1">
      <c r="A77" s="137" t="s">
        <v>75</v>
      </c>
      <c r="B77" s="141" t="s">
        <v>1909</v>
      </c>
      <c r="C77" s="118">
        <f>IF(F76="购房发票",ROUND(C76*H76*D77,0),0)</f>
        <v>0</v>
      </c>
      <c r="D77" s="142">
        <v>0.05</v>
      </c>
      <c r="E77" s="2881" t="s">
        <v>1910</v>
      </c>
      <c r="F77" s="2882"/>
      <c r="G77" s="2882"/>
      <c r="H77" s="2883"/>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hidden="1"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89" t="s">
        <v>1913</v>
      </c>
      <c r="H78" s="1896" t="str">
        <f>IF(G78="个人买卖住房","免征印花税"," ")</f>
        <v xml:space="preserve"> </v>
      </c>
      <c r="I78" s="2287"/>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24.75" hidden="1" customHeight="1">
      <c r="A79" s="137" t="s">
        <v>77</v>
      </c>
      <c r="B79" s="116" t="s">
        <v>1914</v>
      </c>
      <c r="C79" s="145">
        <f ca="1">ROUND(D46*D79/(1+'数据-取费表'!F30),0)</f>
        <v>160120</v>
      </c>
      <c r="D79" s="146">
        <f>'数据-取费表'!E31</f>
        <v>6.000000000000001E-3</v>
      </c>
      <c r="E79" s="2812" t="s">
        <v>1915</v>
      </c>
      <c r="F79" s="2813"/>
      <c r="G79" s="2813"/>
      <c r="H79" s="2833"/>
      <c r="I79" s="2290"/>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14.25" hidden="1">
      <c r="A80" s="147" t="s">
        <v>42</v>
      </c>
      <c r="B80" s="122" t="s">
        <v>1916</v>
      </c>
      <c r="C80" s="125">
        <f ca="1">C73-C74</f>
        <v>26526511</v>
      </c>
      <c r="D80" s="118" t="s">
        <v>41</v>
      </c>
      <c r="E80" s="1894"/>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14.25" hidden="1">
      <c r="A81" s="147" t="s">
        <v>43</v>
      </c>
      <c r="B81" s="122" t="s">
        <v>1917</v>
      </c>
      <c r="C81" s="148">
        <f ca="1">IF(C80&lt;=0,0,C80/C74)</f>
        <v>165.6664439170622</v>
      </c>
      <c r="D81" s="118"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95"/>
      <c r="G81" s="1895"/>
      <c r="H81" s="135"/>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15" hidden="1" thickBot="1">
      <c r="A82" s="149" t="s">
        <v>44</v>
      </c>
      <c r="B82" s="127" t="s">
        <v>1918</v>
      </c>
      <c r="C82" s="150">
        <f ca="1">ROUND(IF(C80&lt;=0,0,IF(C81&gt;=200%,C80*60%-C74*35%,IF(C81&gt;=100%,C80*50%-C74*15%,IF(C81&gt;=50%,C80*40%-C74*5%,IF(C81&lt;50%,C80*30%,0))))),0)</f>
        <v>15859865</v>
      </c>
      <c r="D82" s="151" t="s">
        <v>41</v>
      </c>
      <c r="E82" s="152"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3"/>
      <c r="G82" s="153"/>
      <c r="H82" s="154"/>
      <c r="I82" s="2287"/>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7.5" hidden="1" customHeight="1">
      <c r="A83" s="718"/>
      <c r="B83" s="719"/>
      <c r="C83" s="9"/>
      <c r="D83" s="9"/>
      <c r="E83" s="719"/>
      <c r="F83" s="719"/>
      <c r="G83" s="719"/>
      <c r="H83" s="720"/>
      <c r="I83" s="2290"/>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5" hidden="1" thickBot="1">
      <c r="A84" s="2845" t="s">
        <v>1919</v>
      </c>
      <c r="B84" s="2846"/>
      <c r="C84" s="2846"/>
      <c r="D84" s="2846"/>
      <c r="E84" s="2846"/>
      <c r="F84" s="2846"/>
      <c r="G84" s="2846"/>
      <c r="H84" s="2846"/>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14.25" hidden="1">
      <c r="A85" s="2843" t="s">
        <v>1880</v>
      </c>
      <c r="B85" s="284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hidden="1">
      <c r="A86" s="134">
        <v>1</v>
      </c>
      <c r="B86" s="122" t="s">
        <v>1901</v>
      </c>
      <c r="C86" s="125">
        <f ca="1">ROUND(D46/(1+'数据-取费表'!F30),0)</f>
        <v>26686631</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hidden="1">
      <c r="A87" s="136">
        <v>2</v>
      </c>
      <c r="B87" s="90" t="s">
        <v>1903</v>
      </c>
      <c r="C87" s="125">
        <f ca="1">IF(H89="仅含出让金",C88+C91+C92+C93+C94+C95,C88+C92+C93+C94+C95)</f>
        <v>160120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hidden="1">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hidden="1">
      <c r="A89" s="137" t="s">
        <v>74</v>
      </c>
      <c r="B89" s="116" t="s">
        <v>1921</v>
      </c>
      <c r="C89" s="158"/>
      <c r="D89" s="146"/>
      <c r="E89" s="159" t="s">
        <v>1922</v>
      </c>
      <c r="F89" s="1888"/>
      <c r="G89" s="160" t="s">
        <v>1923</v>
      </c>
      <c r="H89" s="2291"/>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hidden="1">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14.25" hidden="1">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30.75" hidden="1" customHeight="1">
      <c r="A92" s="137" t="s">
        <v>78</v>
      </c>
      <c r="B92" s="116" t="s">
        <v>1926</v>
      </c>
      <c r="C92" s="145">
        <f>IF(H92="——",成本法!C33,I92)</f>
        <v>0</v>
      </c>
      <c r="D92" s="146"/>
      <c r="E92" s="2812" t="s">
        <v>1927</v>
      </c>
      <c r="F92" s="2813"/>
      <c r="G92" s="2813"/>
      <c r="H92" s="2292" t="s">
        <v>1928</v>
      </c>
      <c r="I92" s="2293"/>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hidden="1" customHeight="1">
      <c r="A93" s="137" t="s">
        <v>79</v>
      </c>
      <c r="B93" s="116" t="s">
        <v>1929</v>
      </c>
      <c r="C93" s="145">
        <f>ROUND((C88+C91+C92)*D93,0)</f>
        <v>0</v>
      </c>
      <c r="D93" s="146">
        <v>0.1</v>
      </c>
      <c r="E93" s="2812" t="s">
        <v>1930</v>
      </c>
      <c r="F93" s="2813"/>
      <c r="G93" s="2813"/>
      <c r="H93" s="2833"/>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hidden="1" customHeight="1">
      <c r="A94" s="137" t="s">
        <v>80</v>
      </c>
      <c r="B94" s="116" t="s">
        <v>1914</v>
      </c>
      <c r="C94" s="145">
        <f ca="1">ROUND(D46*D94/(1+'数据-取费表'!F30),0)</f>
        <v>160120</v>
      </c>
      <c r="D94" s="146">
        <f>'数据-取费表'!E31</f>
        <v>6.000000000000001E-3</v>
      </c>
      <c r="E94" s="2812" t="s">
        <v>1915</v>
      </c>
      <c r="F94" s="2813"/>
      <c r="G94" s="2813"/>
      <c r="H94" s="2833"/>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25.5" hidden="1" customHeight="1">
      <c r="A95" s="137" t="s">
        <v>81</v>
      </c>
      <c r="B95" s="116" t="s">
        <v>1931</v>
      </c>
      <c r="C95" s="145">
        <f>ROUND((C88+C91+C92)*D95,0)</f>
        <v>0</v>
      </c>
      <c r="D95" s="146">
        <v>0.2</v>
      </c>
      <c r="E95" s="2812" t="s">
        <v>1932</v>
      </c>
      <c r="F95" s="2813"/>
      <c r="G95" s="2813"/>
      <c r="H95" s="2833"/>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14.25" hidden="1">
      <c r="A96" s="147" t="s">
        <v>42</v>
      </c>
      <c r="B96" s="122" t="s">
        <v>1916</v>
      </c>
      <c r="C96" s="125">
        <f ca="1">ROUND(C86-C87,0)</f>
        <v>26526511</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14.25" hidden="1">
      <c r="A97" s="147" t="s">
        <v>43</v>
      </c>
      <c r="B97" s="122" t="s">
        <v>1917</v>
      </c>
      <c r="C97" s="148">
        <f ca="1">IF(C96&lt;=0,0,C96/C87)</f>
        <v>165.6664439170622</v>
      </c>
      <c r="D97" s="118"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s="2285" customFormat="1" ht="15" hidden="1" thickBot="1">
      <c r="A98" s="149" t="s">
        <v>44</v>
      </c>
      <c r="B98" s="127" t="s">
        <v>1918</v>
      </c>
      <c r="C98" s="150">
        <f ca="1">ROUND(IF(C96&lt;=0,0,IF(C97&gt;=200%,C96*60%-C87*35%,IF(C97&gt;=100%,C96*50%-C87*15%,IF(C97&gt;=50%,C96*40%-C87*5%,IF(C97&lt;50%,C96*30%,0))))),0)</f>
        <v>15859865</v>
      </c>
      <c r="D98" s="151" t="s">
        <v>41</v>
      </c>
      <c r="E98" s="152"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6"/>
      <c r="AB98" s="2286"/>
      <c r="AC98" s="2286"/>
      <c r="AD98" s="2286"/>
      <c r="AE98" s="2286"/>
      <c r="AF98" s="2286"/>
      <c r="AG98" s="2286"/>
      <c r="AH98" s="2286"/>
      <c r="AI98" s="2286"/>
    </row>
    <row r="99" spans="1:35" ht="21.75" customHeight="1" thickBot="1">
      <c r="A99" s="2255" t="s">
        <v>1933</v>
      </c>
      <c r="B99" s="2199"/>
      <c r="C99" s="2199"/>
      <c r="D99" s="2199"/>
      <c r="E99" s="1023"/>
      <c r="F99" s="1023"/>
      <c r="G99" s="1023"/>
      <c r="H99" s="2252"/>
      <c r="I99" s="2199"/>
    </row>
    <row r="100" spans="1:35" ht="15.75">
      <c r="A100" s="2830" t="s">
        <v>1934</v>
      </c>
      <c r="B100" s="2831"/>
      <c r="C100" s="2831"/>
      <c r="D100" s="2832"/>
      <c r="E100" s="2199"/>
      <c r="F100" s="2840" t="s">
        <v>1935</v>
      </c>
      <c r="G100" s="2841"/>
      <c r="H100" s="2841"/>
      <c r="I100" s="2842"/>
    </row>
    <row r="101" spans="1:35" ht="15.75">
      <c r="A101" s="2847" t="s">
        <v>1936</v>
      </c>
      <c r="B101" s="2848"/>
      <c r="C101" s="721" t="str">
        <f>C4</f>
        <v>收益法</v>
      </c>
      <c r="D101" s="722" t="str">
        <f>D4</f>
        <v>成本法</v>
      </c>
      <c r="E101" s="2199"/>
      <c r="F101" s="2849" t="s">
        <v>1937</v>
      </c>
      <c r="G101" s="2851"/>
      <c r="H101" s="2932" t="s">
        <v>1938</v>
      </c>
      <c r="I101" s="2850"/>
    </row>
    <row r="102" spans="1:35" ht="15.75">
      <c r="A102" s="2933" t="s">
        <v>1998</v>
      </c>
      <c r="B102" s="2294" t="str">
        <f>IF(H19="元","总价（元）","总价（万元）")</f>
        <v>总价（元）</v>
      </c>
      <c r="C102" s="721">
        <f ca="1">C19</f>
        <v>14527378</v>
      </c>
      <c r="D102" s="722">
        <f ca="1">D19</f>
        <v>16369421</v>
      </c>
      <c r="E102" s="2199"/>
      <c r="F102" s="2934"/>
      <c r="G102" s="2935"/>
      <c r="H102" s="2910">
        <f>典型户型修正!B25</f>
        <v>850.98</v>
      </c>
      <c r="I102" s="2850"/>
    </row>
    <row r="103" spans="1:35" ht="15.75">
      <c r="A103" s="2933"/>
      <c r="B103" s="2294" t="s">
        <v>1940</v>
      </c>
      <c r="C103" s="723">
        <f ca="1">C20</f>
        <v>42847</v>
      </c>
      <c r="D103" s="724">
        <f ca="1">D20</f>
        <v>48280</v>
      </c>
      <c r="E103" s="2199"/>
      <c r="F103" s="2924" t="s">
        <v>1941</v>
      </c>
      <c r="G103" s="2925"/>
      <c r="H103" s="2295" t="str">
        <f>C109</f>
        <v>总价（元）</v>
      </c>
      <c r="I103" s="1868">
        <f ca="1">H124</f>
        <v>28020963</v>
      </c>
    </row>
    <row r="104" spans="1:35" ht="15">
      <c r="A104" s="2933" t="s">
        <v>1999</v>
      </c>
      <c r="B104" s="2296" t="str">
        <f>B102</f>
        <v>总价（元）</v>
      </c>
      <c r="C104" s="1191">
        <f ca="1">ROUND(IF('数据-取费表'!B4="总价",G19,IF(H19="元",G20*'数据-取费表'!E5,G20*'数据-取费表'!E5/10000)),0)</f>
        <v>15448474</v>
      </c>
      <c r="D104" s="726"/>
      <c r="E104" s="2199"/>
      <c r="F104" s="2924"/>
      <c r="G104" s="2925"/>
      <c r="H104" s="2295" t="s">
        <v>1940</v>
      </c>
      <c r="I104" s="1051">
        <f ca="1">I124</f>
        <v>32928</v>
      </c>
    </row>
    <row r="105" spans="1:35" ht="15.75">
      <c r="A105" s="2933"/>
      <c r="B105" s="2294" t="s">
        <v>1940</v>
      </c>
      <c r="C105" s="1193">
        <f ca="1">ROUND(IF('数据-取费表'!B4="楼面单价",G20,IF(H19="元",G19/'数据-取费表'!E5,G19*10000/'数据-取费表'!E5)),0)</f>
        <v>45564</v>
      </c>
      <c r="D105" s="726"/>
      <c r="E105" s="2199"/>
      <c r="F105" s="2836"/>
      <c r="G105" s="2837"/>
      <c r="H105" s="2871"/>
      <c r="I105" s="2872"/>
    </row>
    <row r="106" spans="1:35" ht="15.75">
      <c r="A106" s="2940" t="s">
        <v>2000</v>
      </c>
      <c r="B106" s="2334" t="str">
        <f>B102</f>
        <v>总价（元）</v>
      </c>
      <c r="C106" s="725">
        <f ca="1">H124</f>
        <v>28020963</v>
      </c>
      <c r="D106" s="1190"/>
      <c r="E106" s="2199"/>
      <c r="F106" s="2875" t="s">
        <v>1944</v>
      </c>
      <c r="G106" s="2876"/>
      <c r="H106" s="2298" t="str">
        <f>C111</f>
        <v>总额（元）</v>
      </c>
      <c r="I106" s="1868">
        <f>SUMIF(I107:I109,"&lt;9E307")</f>
        <v>0</v>
      </c>
    </row>
    <row r="107" spans="1:35" ht="15.75" thickBot="1">
      <c r="A107" s="2870"/>
      <c r="B107" s="2297" t="s">
        <v>1940</v>
      </c>
      <c r="C107" s="727">
        <f ca="1">I124</f>
        <v>32928</v>
      </c>
      <c r="D107" s="728"/>
      <c r="E107" s="2199"/>
      <c r="F107" s="2838" t="s">
        <v>1946</v>
      </c>
      <c r="G107" s="2839"/>
      <c r="H107" s="2298" t="str">
        <f>C112</f>
        <v>总额（元）</v>
      </c>
      <c r="I107" s="1051">
        <f>IF(D37="同一抵押权人同一抵押物续贷",C37&amp;"（未扣减，详见特别提示）",C37)</f>
        <v>0</v>
      </c>
      <c r="K107" s="2209" t="str">
        <f>IF(D126=0,"本次评估不存在"&amp;A126,"本次评估"&amp;A126&amp;"为"&amp;D126&amp;"元人民币。")</f>
        <v>本次评估不存在——</v>
      </c>
    </row>
    <row r="108" spans="1:35" ht="15">
      <c r="A108" s="2936" t="s">
        <v>1943</v>
      </c>
      <c r="B108" s="2937"/>
      <c r="C108" s="2937"/>
      <c r="D108" s="2938"/>
      <c r="E108" s="2199"/>
      <c r="F108" s="2838" t="s">
        <v>1947</v>
      </c>
      <c r="G108" s="2839"/>
      <c r="H108" s="2298" t="str">
        <f>C113</f>
        <v>总额（元）</v>
      </c>
      <c r="I108" s="1051">
        <f>C38</f>
        <v>0</v>
      </c>
      <c r="K108" s="2299"/>
    </row>
    <row r="109" spans="1:35" ht="15">
      <c r="A109" s="2877" t="s">
        <v>2001</v>
      </c>
      <c r="B109" s="2878"/>
      <c r="C109" s="2295" t="str">
        <f>B102</f>
        <v>总价（元）</v>
      </c>
      <c r="D109" s="1052">
        <f ca="1">H124</f>
        <v>28020963</v>
      </c>
      <c r="E109" s="2199"/>
      <c r="F109" s="2838" t="s">
        <v>1949</v>
      </c>
      <c r="G109" s="2839"/>
      <c r="H109" s="2298" t="str">
        <f>C114</f>
        <v>总额（元）</v>
      </c>
      <c r="I109" s="1051">
        <f>C39</f>
        <v>0</v>
      </c>
    </row>
    <row r="110" spans="1:35" ht="15.75">
      <c r="A110" s="2877"/>
      <c r="B110" s="2878"/>
      <c r="C110" s="2295" t="s">
        <v>1940</v>
      </c>
      <c r="D110" s="1053">
        <f ca="1">I124</f>
        <v>32928</v>
      </c>
      <c r="E110" s="2199"/>
      <c r="F110" s="2836"/>
      <c r="G110" s="2837"/>
      <c r="H110" s="2873"/>
      <c r="I110" s="2874"/>
    </row>
    <row r="111" spans="1:35" ht="28.5" customHeight="1">
      <c r="A111" s="2920" t="s">
        <v>1948</v>
      </c>
      <c r="B111" s="2921"/>
      <c r="C111" s="2298" t="str">
        <f>IF(H19="元","总额（元）","总额（万元）")</f>
        <v>总额（元）</v>
      </c>
      <c r="D111" s="1052">
        <f>IF(D37="正常操作",I107+I108+I109,I108+I109)</f>
        <v>0</v>
      </c>
      <c r="E111" s="2199"/>
      <c r="F111" s="2818" t="str">
        <f>IF(项目基本情况!F5="已注销","——","3.房地产抵押价值")</f>
        <v>3.房地产抵押价值</v>
      </c>
      <c r="G111" s="2819"/>
      <c r="H111" s="2335" t="str">
        <f>C115</f>
        <v>总价（元）</v>
      </c>
      <c r="I111" s="1868">
        <f ca="1">IF(F111="——","——",I103-I106)</f>
        <v>28020963</v>
      </c>
    </row>
    <row r="112" spans="1:35" ht="15">
      <c r="A112" s="2838" t="s">
        <v>1946</v>
      </c>
      <c r="B112" s="2839"/>
      <c r="C112" s="2298" t="str">
        <f>C111</f>
        <v>总额（元）</v>
      </c>
      <c r="D112" s="638">
        <f>IF(D37="同一抵押权人同一抵押物续贷",C37&amp;"（未扣减，详见特别提示）",C37)</f>
        <v>0</v>
      </c>
      <c r="E112" s="2199"/>
      <c r="F112" s="2820"/>
      <c r="G112" s="2821"/>
      <c r="H112" s="2295" t="s">
        <v>1940</v>
      </c>
      <c r="I112" s="2301">
        <f ca="1">D116</f>
        <v>32928</v>
      </c>
    </row>
    <row r="113" spans="1:26" ht="15.75">
      <c r="A113" s="2838" t="s">
        <v>1947</v>
      </c>
      <c r="B113" s="2839"/>
      <c r="C113" s="2298" t="str">
        <f>C111</f>
        <v>总额（元）</v>
      </c>
      <c r="D113" s="638">
        <f>C38</f>
        <v>0</v>
      </c>
      <c r="E113" s="2199"/>
      <c r="F113" s="2818" t="str">
        <f>IF(项目基本情况!F5="已注销及未注销","4.抵押担保权已注销时的房地产抵押价值",IF(项目基本情况!F5="已注销","3.抵押担保权已注销时的房地产抵押价值","——"))</f>
        <v>——</v>
      </c>
      <c r="G113" s="2819"/>
      <c r="H113" s="2335" t="str">
        <f>C117</f>
        <v>总价（元）</v>
      </c>
      <c r="I113" s="1868" t="str">
        <f>IF(F113="——","——",I103-I108-I109)</f>
        <v>——</v>
      </c>
    </row>
    <row r="114" spans="1:26" ht="15">
      <c r="A114" s="2838" t="s">
        <v>1949</v>
      </c>
      <c r="B114" s="2839"/>
      <c r="C114" s="2298" t="str">
        <f>C111</f>
        <v>总额（元）</v>
      </c>
      <c r="D114" s="638">
        <f>C39</f>
        <v>0</v>
      </c>
      <c r="E114" s="2199"/>
      <c r="F114" s="2820"/>
      <c r="G114" s="2821"/>
      <c r="H114" s="2295" t="s">
        <v>1940</v>
      </c>
      <c r="I114" s="1051" t="str">
        <f>D118</f>
        <v>——</v>
      </c>
    </row>
    <row r="115" spans="1:26" ht="15.75">
      <c r="A115" s="2877" t="str">
        <f>IF(项目基本情况!F5="已注销","——","3.房地产抵押价值")</f>
        <v>3.房地产抵押价值</v>
      </c>
      <c r="B115" s="2878"/>
      <c r="C115" s="2295" t="str">
        <f>B102</f>
        <v>总价（元）</v>
      </c>
      <c r="D115" s="1052">
        <f ca="1">IF(A115="——","——",D109-D111)</f>
        <v>28020963</v>
      </c>
      <c r="E115" s="2199"/>
      <c r="F115" s="2818" t="str">
        <f>IF(项目基本情况!G5="抵押净值",IF(OR(项目基本情况!F5="已注销",项目基本情况!F5="房地产抵押价值"),"4.抵押净值","5.抵押净值"),"——")</f>
        <v>——</v>
      </c>
      <c r="G115" s="2819"/>
      <c r="H115" s="2295" t="str">
        <f>C119</f>
        <v>总价（元）</v>
      </c>
      <c r="I115" s="1868" t="str">
        <f>IF(F115="——","——",N60)</f>
        <v>——</v>
      </c>
    </row>
    <row r="116" spans="1:26" ht="15.75" thickBot="1">
      <c r="A116" s="2877"/>
      <c r="B116" s="2878"/>
      <c r="C116" s="2295" t="s">
        <v>2002</v>
      </c>
      <c r="D116" s="1053">
        <f ca="1">ROUND(IF(D115=D109,D110,IF(H19="元",D115/B124,D115*10000/B124)),0)</f>
        <v>32928</v>
      </c>
      <c r="E116" s="2199"/>
      <c r="F116" s="2911"/>
      <c r="G116" s="2912"/>
      <c r="H116" s="2303" t="s">
        <v>2002</v>
      </c>
      <c r="I116" s="1870" t="str">
        <f ca="1">D120</f>
        <v>——</v>
      </c>
    </row>
    <row r="117" spans="1:26" ht="15.75">
      <c r="A117" s="2877" t="str">
        <f>IF(项目基本情况!F5="已注销及未注销","4.抵押担保权已注销时的房地产抵押价值",IF(项目基本情况!F5="已注销","3.抵押担保权已注销时的房地产抵押价值","——"))</f>
        <v>——</v>
      </c>
      <c r="B117" s="2878"/>
      <c r="C117" s="2295" t="str">
        <f>B102</f>
        <v>总价（元）</v>
      </c>
      <c r="D117" s="1052" t="str">
        <f>IF(A117="——","——",D109-D113-D114)</f>
        <v>——</v>
      </c>
      <c r="E117" s="2199"/>
      <c r="F117" s="2814"/>
      <c r="G117" s="2814"/>
      <c r="H117" s="2856"/>
      <c r="I117" s="2856"/>
      <c r="N117" s="55"/>
      <c r="O117" s="55"/>
    </row>
    <row r="118" spans="1:26" s="1851" customFormat="1" ht="15">
      <c r="A118" s="2877"/>
      <c r="B118" s="2878"/>
      <c r="C118" s="2295" t="s">
        <v>2002</v>
      </c>
      <c r="D118" s="1053" t="str">
        <f>IF(A117="——","——",IF(H19="元",ROUND(D117/B124,0),ROUND(D117*10000/B124,0)))</f>
        <v>——</v>
      </c>
      <c r="E118" s="2199"/>
      <c r="F118" s="2939" t="str">
        <f>IF(B32="总价","（以上估价结果中楼面单价为总价除以建筑面积得出）","（以上估价结果中总价为楼面单价乘以建筑面积得出）")</f>
        <v>（以上估价结果中总价为楼面单价乘以建筑面积得出）</v>
      </c>
      <c r="G118" s="2939"/>
      <c r="H118" s="2939"/>
      <c r="I118" s="2939"/>
      <c r="J118" s="799"/>
      <c r="K118" s="799"/>
      <c r="L118" s="799"/>
      <c r="M118" s="799"/>
      <c r="N118" s="55"/>
      <c r="O118" s="55"/>
      <c r="P118" s="799"/>
      <c r="Q118" s="799"/>
      <c r="R118" s="799"/>
      <c r="S118" s="799"/>
      <c r="T118" s="799"/>
      <c r="U118" s="799"/>
      <c r="V118" s="799"/>
      <c r="W118" s="799"/>
      <c r="X118" s="799"/>
      <c r="Y118" s="799"/>
      <c r="Z118" s="799"/>
    </row>
    <row r="119" spans="1:26" s="1851" customFormat="1" ht="15">
      <c r="A119" s="2877" t="str">
        <f>IF(项目基本情况!G5="抵押净值",IF(OR(项目基本情况!F5="已注销",项目基本情况!F5="房地产抵押价值"),"4.抵押净值","5.抵押净值"),"——")</f>
        <v>——</v>
      </c>
      <c r="B119" s="2878"/>
      <c r="C119" s="2295" t="str">
        <f>B102</f>
        <v>总价（元）</v>
      </c>
      <c r="D119" s="1052" t="str">
        <f>IF(A119="——","——",N60)</f>
        <v>——</v>
      </c>
      <c r="E119" s="2199"/>
      <c r="F119" s="2336"/>
      <c r="G119" s="2336"/>
      <c r="H119" s="2336"/>
      <c r="I119" s="2336"/>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18"/>
      <c r="B120" s="2919"/>
      <c r="C120" s="2303" t="s">
        <v>2002</v>
      </c>
      <c r="D120" s="1054" t="str">
        <f ca="1">IF(D119=D109,D110,IF(A119="——","——",N62))</f>
        <v>——</v>
      </c>
      <c r="E120" s="2199"/>
      <c r="F120" s="2336"/>
      <c r="G120" s="2336"/>
      <c r="H120" s="2336"/>
      <c r="I120" s="2336"/>
      <c r="J120" s="799"/>
      <c r="K120" s="799"/>
      <c r="L120" s="799"/>
      <c r="M120" s="799"/>
      <c r="N120" s="55"/>
      <c r="O120" s="55"/>
      <c r="P120" s="799"/>
      <c r="Q120" s="799"/>
      <c r="R120" s="799"/>
      <c r="S120" s="799"/>
      <c r="T120" s="799"/>
      <c r="U120" s="799"/>
      <c r="V120" s="799"/>
      <c r="W120" s="799"/>
      <c r="X120" s="799"/>
      <c r="Y120" s="799"/>
      <c r="Z120" s="799"/>
    </row>
    <row r="121" spans="1:26" s="1851" customFormat="1" ht="15">
      <c r="A121" s="2857" t="s">
        <v>2003</v>
      </c>
      <c r="B121" s="2858"/>
      <c r="C121" s="2858"/>
      <c r="D121" s="2858"/>
      <c r="E121" s="2858"/>
      <c r="F121" s="2858"/>
      <c r="G121" s="2858"/>
      <c r="H121" s="2858"/>
      <c r="I121" s="2858"/>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29" t="s">
        <v>1951</v>
      </c>
      <c r="B122" s="2827" t="s">
        <v>2004</v>
      </c>
      <c r="C122" s="2827" t="s">
        <v>2005</v>
      </c>
      <c r="D122" s="2834" t="s">
        <v>1954</v>
      </c>
      <c r="E122" s="2835"/>
      <c r="F122" s="2825" t="s">
        <v>2006</v>
      </c>
      <c r="G122" s="2825"/>
      <c r="H122" s="2825" t="s">
        <v>1955</v>
      </c>
      <c r="I122" s="282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29"/>
      <c r="B123" s="2828"/>
      <c r="C123" s="282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5" t="str">
        <f>项目基本情况!I1</f>
        <v>北京市房地产</v>
      </c>
      <c r="B124" s="1893">
        <f>典型户型修正!B25</f>
        <v>850.98</v>
      </c>
      <c r="C124" s="401"/>
      <c r="D124" s="1893">
        <f>C35</f>
        <v>0</v>
      </c>
      <c r="E124" s="1893">
        <f>ROUND(IF(H19="元",D124/B124,D124*10000/B124),0)</f>
        <v>0</v>
      </c>
      <c r="F124" s="1893">
        <f>C36</f>
        <v>0</v>
      </c>
      <c r="G124" s="1893">
        <f>ROUND(IF(H19="元",F124/B124,F124*10000/B124),0)</f>
        <v>0</v>
      </c>
      <c r="H124" s="1893">
        <f ca="1">C33</f>
        <v>28020963</v>
      </c>
      <c r="I124" s="638">
        <f ca="1">C34</f>
        <v>32928</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29" t="s">
        <v>1959</v>
      </c>
      <c r="B125" s="2825"/>
      <c r="C125" s="2825"/>
      <c r="D125" s="2861" t="str">
        <f>IF(H19="元",NUMBERSTRING(INT(D124),2)&amp;"元整",NUMBERSTRING(INT(D124*10000),2)&amp;"元整")</f>
        <v>零元整</v>
      </c>
      <c r="E125" s="2862"/>
      <c r="F125" s="2861" t="str">
        <f>IF(H19="元",NUMBERSTRING(INT(F124),2)&amp;"元整",NUMBERSTRING(INT(F124*10000),2)&amp;"元整")</f>
        <v>零元整</v>
      </c>
      <c r="G125" s="2862"/>
      <c r="H125" s="2861" t="str">
        <f ca="1">IF(H19="元",NUMBERSTRING(INT(H124),2)&amp;"元整",NUMBERSTRING(INT(H124*10000),2)&amp;"元整")</f>
        <v>贰仟捌佰零贰万零玖佰陆拾叁元整</v>
      </c>
      <c r="I125" s="2926"/>
      <c r="J125" s="799"/>
      <c r="K125" s="799"/>
      <c r="L125" s="799"/>
      <c r="M125" s="799"/>
      <c r="N125" s="799"/>
      <c r="O125" s="799"/>
      <c r="P125" s="799"/>
      <c r="Q125" s="799"/>
      <c r="R125" s="799"/>
      <c r="S125" s="799"/>
      <c r="T125" s="799"/>
      <c r="U125" s="799"/>
      <c r="V125" s="799"/>
      <c r="W125" s="799"/>
      <c r="X125" s="799"/>
      <c r="Y125" s="799"/>
      <c r="Z125" s="799"/>
    </row>
    <row r="126" spans="1:26" s="1851" customFormat="1" ht="15">
      <c r="A126" s="2863" t="str">
        <f>IF(项目基本情况!D5="房地产市场价值","——",MID(A111,3,LEN(A111)-2))</f>
        <v>——</v>
      </c>
      <c r="B126" s="2864"/>
      <c r="C126" s="2865"/>
      <c r="D126" s="2854">
        <f>I106</f>
        <v>0</v>
      </c>
      <c r="E126" s="2864"/>
      <c r="F126" s="2864"/>
      <c r="G126" s="2864"/>
      <c r="H126" s="2864"/>
      <c r="I126" s="2913"/>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866" t="s">
        <v>1959</v>
      </c>
      <c r="B127" s="2867"/>
      <c r="C127" s="2868"/>
      <c r="D127" s="2914">
        <f>H110</f>
        <v>0</v>
      </c>
      <c r="E127" s="2915"/>
      <c r="F127" s="2915"/>
      <c r="G127" s="2915"/>
      <c r="H127" s="2915"/>
      <c r="I127" s="2916"/>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52" t="str">
        <f>IF(项目基本情况!D5="房地产市场价值","——",MID(A115,3,LEN(A115)-2))</f>
        <v>——</v>
      </c>
      <c r="B128" s="2853"/>
      <c r="C128" s="2853"/>
      <c r="D128" s="2854">
        <f ca="1">I111</f>
        <v>28020963</v>
      </c>
      <c r="E128" s="2864"/>
      <c r="F128" s="2864"/>
      <c r="G128" s="2864"/>
      <c r="H128" s="2864"/>
      <c r="I128" s="2913"/>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29" t="s">
        <v>1959</v>
      </c>
      <c r="B129" s="2825"/>
      <c r="C129" s="2825"/>
      <c r="D129" s="2914">
        <f ca="1">I112</f>
        <v>32928</v>
      </c>
      <c r="E129" s="2915"/>
      <c r="F129" s="2915"/>
      <c r="G129" s="2915"/>
      <c r="H129" s="2915"/>
      <c r="I129" s="2916"/>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52" t="str">
        <f>IF(项目基本情况!D5="房地产市场价值","——",MID(A117,3,LEN(A117)-2))</f>
        <v>——</v>
      </c>
      <c r="B130" s="2853"/>
      <c r="C130" s="2853"/>
      <c r="D130" s="2809" t="str">
        <f>I113</f>
        <v>——</v>
      </c>
      <c r="E130" s="2810"/>
      <c r="F130" s="2810"/>
      <c r="G130" s="2810"/>
      <c r="H130" s="2810"/>
      <c r="I130" s="281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29" t="s">
        <v>1959</v>
      </c>
      <c r="B131" s="2825"/>
      <c r="C131" s="2909"/>
      <c r="D131" s="2855" t="str">
        <f>I114</f>
        <v>——</v>
      </c>
      <c r="E131" s="2855"/>
      <c r="F131" s="2855"/>
      <c r="G131" s="2855"/>
      <c r="H131" s="2855"/>
      <c r="I131" s="2855"/>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52" t="str">
        <f>IF(项目基本情况!D5="房地产市场价值","——",MID(F115,3,LEN(F115)-2))</f>
        <v>——</v>
      </c>
      <c r="B132" s="2853"/>
      <c r="C132" s="2854"/>
      <c r="D132" s="2917" t="str">
        <f>I115</f>
        <v>——</v>
      </c>
      <c r="E132" s="2917"/>
      <c r="F132" s="2917"/>
      <c r="G132" s="2917"/>
      <c r="H132" s="2917"/>
      <c r="I132" s="291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22" t="s">
        <v>1959</v>
      </c>
      <c r="B133" s="2923"/>
      <c r="C133" s="2923"/>
      <c r="D133" s="2927">
        <f>H117</f>
        <v>0</v>
      </c>
      <c r="E133" s="2928"/>
      <c r="F133" s="2928"/>
      <c r="G133" s="2928"/>
      <c r="H133" s="2928"/>
      <c r="I133" s="2929"/>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07" t="str">
        <f>IF(B32="总价","（以上估价结果中楼面单价为总价除以建筑面积得出）","（以上估价结果中总价为楼面单价乘以建筑面积得出）")</f>
        <v>（以上估价结果中总价为楼面单价乘以建筑面积得出）</v>
      </c>
      <c r="B135" s="2907"/>
      <c r="C135" s="2907"/>
      <c r="D135" s="2907"/>
      <c r="E135" s="2907"/>
      <c r="F135" s="2907"/>
      <c r="G135" s="2907"/>
      <c r="H135" s="2907"/>
      <c r="I135" s="290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4" t="s">
        <v>1960</v>
      </c>
      <c r="B136" s="2305"/>
      <c r="C136" s="2306" t="s">
        <v>1961</v>
      </c>
      <c r="D136" s="2307"/>
      <c r="E136" s="2307"/>
      <c r="F136" s="2307"/>
      <c r="G136" s="2307"/>
      <c r="H136" s="2308"/>
      <c r="I136" s="2309"/>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0">
        <v>1</v>
      </c>
      <c r="B137" s="2311"/>
      <c r="C137" s="2311"/>
      <c r="D137" s="2307"/>
      <c r="E137" s="2307"/>
      <c r="F137" s="2307"/>
      <c r="G137" s="2307"/>
      <c r="H137" s="2308"/>
      <c r="I137" s="2309"/>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0">
        <v>2</v>
      </c>
      <c r="B138" s="2311"/>
      <c r="C138" s="2311"/>
      <c r="D138" s="2307"/>
      <c r="E138" s="2307"/>
      <c r="F138" s="2307"/>
      <c r="G138" s="2307"/>
      <c r="H138" s="2308"/>
      <c r="I138" s="2309"/>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0">
        <v>3</v>
      </c>
      <c r="B139" s="2311"/>
      <c r="C139" s="2311"/>
      <c r="D139" s="2307"/>
      <c r="E139" s="2307"/>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2"/>
      <c r="B140" s="2313"/>
      <c r="C140" s="2313"/>
      <c r="D140" s="2314"/>
      <c r="E140" s="2314"/>
      <c r="F140" s="2314"/>
      <c r="G140" s="2314"/>
      <c r="H140" s="2315"/>
      <c r="I140" s="2316"/>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1"/>
      <c r="B141" s="2311"/>
      <c r="C141" s="2311"/>
      <c r="D141" s="2307"/>
      <c r="E141" s="2307"/>
      <c r="F141" s="2307"/>
      <c r="G141" s="2307"/>
      <c r="H141" s="2308"/>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7" t="s">
        <v>1962</v>
      </c>
      <c r="G142" s="2318"/>
      <c r="H142" s="2318"/>
      <c r="I142" s="2319"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0"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8"/>
      <c r="C145" s="2318"/>
      <c r="D145" s="2318"/>
      <c r="E145" s="2318"/>
      <c r="F145" s="2318"/>
      <c r="G145" s="2318"/>
      <c r="H145" s="2318"/>
      <c r="I145" s="2319"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0"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0"/>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8"/>
      <c r="C148" s="2318"/>
      <c r="D148" s="2318"/>
      <c r="E148" s="2318"/>
      <c r="F148" s="2318"/>
      <c r="G148" s="2318"/>
      <c r="H148" s="2318"/>
      <c r="I148" s="2319"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0"/>
      <c r="C149" s="2321"/>
      <c r="D149" s="2322"/>
      <c r="E149" s="2322"/>
      <c r="F149" s="2323"/>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0"/>
      <c r="C150" s="2321"/>
      <c r="D150" s="2322"/>
      <c r="E150" s="2322"/>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0"/>
      <c r="G519" s="2200"/>
      <c r="H519" s="2200"/>
      <c r="I519" s="2200"/>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H27" sqref="H27"/>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2838</v>
      </c>
      <c r="C1" s="163"/>
      <c r="D1" s="163"/>
      <c r="E1" s="163"/>
      <c r="F1" s="163"/>
      <c r="G1" s="164"/>
    </row>
    <row r="2" spans="1:7" s="165" customFormat="1" ht="18" customHeight="1">
      <c r="A2" s="166" t="s">
        <v>2008</v>
      </c>
      <c r="B2" s="167">
        <f ca="1">IF(D2="——",IF(C2="元",C52,ROUND(C52/10000,0)),IF(C2="元",C52,ROUND(C52/10000,0))-E2)</f>
        <v>16369421</v>
      </c>
      <c r="C2" s="164" t="str">
        <f>'数据-取费表'!B3</f>
        <v>元</v>
      </c>
      <c r="D2" s="2337" t="s">
        <v>1258</v>
      </c>
      <c r="E2" s="1548">
        <f ca="1">SUMIF(INDIRECT("'"&amp;G2&amp;"'"&amp;"!A:A"),"承租人权益价值",INDIRECT("'"&amp;G2&amp;"'"&amp;"!c:c"))</f>
        <v>0</v>
      </c>
      <c r="F2" s="2338" t="str">
        <f>C2</f>
        <v>元</v>
      </c>
      <c r="G2" s="1912" t="s">
        <v>2851</v>
      </c>
    </row>
    <row r="3" spans="1:7" s="165" customFormat="1" ht="18" customHeight="1" thickBot="1">
      <c r="A3" s="168" t="s">
        <v>2009</v>
      </c>
      <c r="B3" s="169">
        <f ca="1">ROUND(C52/IF(B1="仅计算典型户型",'数据-取费表'!E5,'数据-取费表'!B5),0)</f>
        <v>48280</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10969830</v>
      </c>
      <c r="D5" s="196" t="s">
        <v>2014</v>
      </c>
      <c r="E5" s="1534" t="s">
        <v>2015</v>
      </c>
      <c r="F5" s="1534" t="s">
        <v>2016</v>
      </c>
      <c r="G5" s="175"/>
    </row>
    <row r="6" spans="1:7" s="176" customFormat="1" ht="13.5" customHeight="1">
      <c r="A6" s="177" t="s">
        <v>2017</v>
      </c>
      <c r="B6" s="178" t="s">
        <v>2018</v>
      </c>
      <c r="C6" s="1533">
        <f ca="1">基准地价修正!B2</f>
        <v>10645153</v>
      </c>
      <c r="D6" s="1535"/>
      <c r="E6" s="1536"/>
      <c r="F6" s="1536"/>
      <c r="G6" s="180"/>
    </row>
    <row r="7" spans="1:7" s="176" customFormat="1" ht="13.5" customHeight="1">
      <c r="A7" s="177" t="s">
        <v>2019</v>
      </c>
      <c r="B7" s="178" t="s">
        <v>2020</v>
      </c>
      <c r="C7" s="200">
        <f ca="1">ROUND(C6*F7,0)</f>
        <v>324677</v>
      </c>
      <c r="D7" s="200"/>
      <c r="E7" s="1536"/>
      <c r="F7" s="1537">
        <f>'数据-取费表'!E36+'数据-取费表'!E37</f>
        <v>3.0499999999999999E-2</v>
      </c>
      <c r="G7" s="180"/>
    </row>
    <row r="8" spans="1:7" s="181" customFormat="1">
      <c r="A8" s="177" t="s">
        <v>2021</v>
      </c>
      <c r="B8" s="178" t="s">
        <v>2022</v>
      </c>
      <c r="C8" s="200" t="str">
        <f>IF(G8="已包含在土地购买价格中","0",'数据-取费表'!E13)</f>
        <v>0</v>
      </c>
      <c r="D8" s="1538"/>
      <c r="E8" s="200"/>
      <c r="F8" s="1537"/>
      <c r="G8" s="2339" t="s">
        <v>2849</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67810</v>
      </c>
      <c r="D10" s="1540">
        <f>IF('数据-取费表'!B10&lt;&gt;"住宅",IF(B1="仅计算典型户型",'数据-取费表'!E5,'数据-取费表'!B5),0)</f>
        <v>339.05</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339.05</v>
      </c>
      <c r="E19" s="196">
        <f>'数据-取费表'!E15</f>
        <v>200</v>
      </c>
      <c r="F19" s="197"/>
      <c r="G19" s="2339" t="s">
        <v>2850</v>
      </c>
    </row>
    <row r="20" spans="1:7" s="176" customFormat="1" ht="13.5" customHeight="1">
      <c r="A20" s="205" t="s">
        <v>2036</v>
      </c>
      <c r="B20" s="174" t="s">
        <v>2037</v>
      </c>
      <c r="C20" s="184">
        <f ca="1">ROUND((C5+C19)*F20,0)</f>
        <v>109698</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479574</v>
      </c>
      <c r="D22" s="186">
        <f ca="1">C26</f>
        <v>2.0000000000000001E-4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477188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2386</v>
      </c>
      <c r="D25" s="189"/>
      <c r="E25" s="192"/>
      <c r="F25" s="190"/>
      <c r="G25" s="193" t="s">
        <v>2051</v>
      </c>
    </row>
    <row r="26" spans="1:7" s="176" customFormat="1">
      <c r="A26" s="177" t="s">
        <v>2052</v>
      </c>
      <c r="B26" s="178" t="s">
        <v>2053</v>
      </c>
      <c r="C26" s="189">
        <f ca="1">ROUND(IF('数据-取费表'!B23&lt;=1,F21*F22*'数据-取费表'!B24/2,F21*(POWER((1+F22),'数据-取费表'!B24/2)-1)),4)</f>
        <v>2.0000000000000001E-4</v>
      </c>
      <c r="D26" s="189"/>
      <c r="E26" s="192"/>
      <c r="F26" s="190"/>
      <c r="G26" s="194"/>
    </row>
    <row r="27" spans="1:7" s="176" customFormat="1" ht="25.5">
      <c r="A27" s="1307" t="s">
        <v>2054</v>
      </c>
      <c r="B27" s="195" t="s">
        <v>2055</v>
      </c>
      <c r="C27" s="196">
        <f ca="1">C28</f>
        <v>2769882</v>
      </c>
      <c r="D27" s="186">
        <f>C29</f>
        <v>2.5000000000000001E-3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2769882</v>
      </c>
      <c r="D28" s="186"/>
      <c r="E28" s="187"/>
      <c r="F28" s="197"/>
      <c r="G28" s="198"/>
    </row>
    <row r="29" spans="1:7" s="176" customFormat="1" ht="13.5" customHeight="1">
      <c r="A29" s="177" t="s">
        <v>2019</v>
      </c>
      <c r="B29" s="199" t="s">
        <v>2058</v>
      </c>
      <c r="C29" s="189">
        <f>ROUND(C21*F27*'数据-取费表'!B22/'数据-取费表'!B21,4)</f>
        <v>2.5000000000000001E-3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15341525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889803</v>
      </c>
      <c r="D33" s="184"/>
      <c r="E33" s="1534"/>
      <c r="F33" s="192"/>
      <c r="G33" s="185"/>
    </row>
    <row r="34" spans="1:7" s="207" customFormat="1" ht="13.5" customHeight="1">
      <c r="A34" s="177" t="s">
        <v>2045</v>
      </c>
      <c r="B34" s="178" t="s">
        <v>2067</v>
      </c>
      <c r="C34" s="200">
        <f>IF(B1="仅计算典型户型",'数据-取费表'!F18,'数据-取费表'!E18)</f>
        <v>786596</v>
      </c>
      <c r="D34" s="1535"/>
      <c r="E34" s="200"/>
      <c r="F34" s="1546" t="str">
        <f>IF('数据-取费表'!B25=0,"",'数据-取费表'!E20)</f>
        <v/>
      </c>
      <c r="G34" s="180"/>
    </row>
    <row r="35" spans="1:7" ht="13.5" customHeight="1">
      <c r="A35" s="177" t="s">
        <v>2019</v>
      </c>
      <c r="B35" s="178" t="s">
        <v>2068</v>
      </c>
      <c r="C35" s="200">
        <f>ROUND(C34*F35,0)</f>
        <v>23598</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0.04</v>
      </c>
      <c r="G36" s="208" t="s">
        <v>2071</v>
      </c>
    </row>
    <row r="37" spans="1:7" s="207" customFormat="1" ht="13.5" customHeight="1">
      <c r="A37" s="177" t="s">
        <v>2052</v>
      </c>
      <c r="B37" s="178" t="s">
        <v>2072</v>
      </c>
      <c r="C37" s="200">
        <f>ROUND(E37*D37,0)</f>
        <v>67810</v>
      </c>
      <c r="D37" s="1535">
        <f>IF(B1="仅计算典型户型",'数据-取费表'!E5,'数据-取费表'!B5)</f>
        <v>339.05</v>
      </c>
      <c r="E37" s="200">
        <f>'数据-取费表'!E23</f>
        <v>200</v>
      </c>
      <c r="F37" s="1547"/>
      <c r="G37" s="209" t="s">
        <v>2073</v>
      </c>
    </row>
    <row r="38" spans="1:7" ht="13.5" customHeight="1">
      <c r="A38" s="177" t="s">
        <v>2074</v>
      </c>
      <c r="B38" s="178" t="s">
        <v>2075</v>
      </c>
      <c r="C38" s="200">
        <f>ROUND(C34*F38,0)</f>
        <v>11799</v>
      </c>
      <c r="D38" s="200"/>
      <c r="E38" s="200"/>
      <c r="F38" s="1547">
        <f>'数据-取费表'!E24</f>
        <v>1.4999999999999999E-2</v>
      </c>
      <c r="G38" s="180" t="s">
        <v>2069</v>
      </c>
    </row>
    <row r="39" spans="1:7" s="176" customFormat="1" ht="13.5" customHeight="1">
      <c r="A39" s="205" t="s">
        <v>2034</v>
      </c>
      <c r="B39" s="174" t="s">
        <v>2037</v>
      </c>
      <c r="C39" s="184">
        <f>ROUND(C33*F20,0)</f>
        <v>8898</v>
      </c>
      <c r="D39" s="184"/>
      <c r="E39" s="184"/>
      <c r="F39" s="188"/>
      <c r="G39" s="185" t="s">
        <v>2076</v>
      </c>
    </row>
    <row r="40" spans="1:7" s="176" customFormat="1" ht="13.5" customHeight="1">
      <c r="A40" s="205" t="s">
        <v>2036</v>
      </c>
      <c r="B40" s="174" t="s">
        <v>2040</v>
      </c>
      <c r="C40" s="1825">
        <f>F21</f>
        <v>0.01</v>
      </c>
      <c r="D40" s="187" t="s">
        <v>2077</v>
      </c>
      <c r="E40" s="184"/>
      <c r="F40" s="188"/>
      <c r="G40" s="185" t="s">
        <v>2078</v>
      </c>
    </row>
    <row r="41" spans="1:7" s="176" customFormat="1" ht="13.5" customHeight="1">
      <c r="A41" s="205" t="s">
        <v>2039</v>
      </c>
      <c r="B41" s="174" t="s">
        <v>2044</v>
      </c>
      <c r="C41" s="184">
        <f ca="1">ROUND(SUM(C42:C43),0)</f>
        <v>19547</v>
      </c>
      <c r="D41" s="186">
        <f ca="1">C44</f>
        <v>2.0000000000000001E-4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19353</v>
      </c>
      <c r="D42" s="189"/>
      <c r="E42" s="189"/>
      <c r="F42" s="190"/>
      <c r="G42" s="2942" t="s">
        <v>2079</v>
      </c>
    </row>
    <row r="43" spans="1:7" ht="13.5" customHeight="1">
      <c r="A43" s="177" t="s">
        <v>2019</v>
      </c>
      <c r="B43" s="178" t="s">
        <v>2048</v>
      </c>
      <c r="C43" s="189">
        <f ca="1">ROUND(IF('数据-取费表'!B23&lt;=1,C39*F22*'数据-取费表'!B22/2,C39*(POWER((1+F22),'数据-取费表'!B22/2)-1)),0)</f>
        <v>194</v>
      </c>
      <c r="D43" s="189"/>
      <c r="E43" s="189"/>
      <c r="F43" s="190"/>
      <c r="G43" s="2943"/>
    </row>
    <row r="44" spans="1:7" ht="13.5" customHeight="1">
      <c r="A44" s="177" t="s">
        <v>2021</v>
      </c>
      <c r="B44" s="178" t="s">
        <v>2050</v>
      </c>
      <c r="C44" s="189">
        <f ca="1">ROUND(IF('数据-取费表'!B23&lt;=1,C40*F22*'数据-取费表'!B22/2,C40*(POWER((1+F22),'数据-取费表'!B22/2)-1)),4)</f>
        <v>2.0000000000000001E-4</v>
      </c>
      <c r="D44" s="189"/>
      <c r="E44" s="189"/>
      <c r="F44" s="190"/>
      <c r="G44" s="2944"/>
    </row>
    <row r="45" spans="1:7" s="176" customFormat="1" ht="13.5" customHeight="1">
      <c r="A45" s="205" t="s">
        <v>2043</v>
      </c>
      <c r="B45" s="195" t="s">
        <v>2055</v>
      </c>
      <c r="C45" s="196">
        <f>C46</f>
        <v>224675</v>
      </c>
      <c r="D45" s="186">
        <f>C47</f>
        <v>2.5000000000000001E-3</v>
      </c>
      <c r="E45" s="187" t="s">
        <v>2077</v>
      </c>
      <c r="F45" s="197"/>
      <c r="G45" s="198" t="s">
        <v>2080</v>
      </c>
    </row>
    <row r="46" spans="1:7" s="176" customFormat="1" ht="13.5" customHeight="1">
      <c r="A46" s="177" t="s">
        <v>2045</v>
      </c>
      <c r="B46" s="199" t="s">
        <v>2081</v>
      </c>
      <c r="C46" s="200">
        <f>ROUND((C33+C39)*F27,0)</f>
        <v>224675</v>
      </c>
      <c r="D46" s="210"/>
      <c r="E46" s="187"/>
      <c r="F46" s="197"/>
      <c r="G46" s="198"/>
    </row>
    <row r="47" spans="1:7" s="176" customFormat="1" ht="13.5" customHeight="1">
      <c r="A47" s="177" t="s">
        <v>2019</v>
      </c>
      <c r="B47" s="199" t="s">
        <v>2082</v>
      </c>
      <c r="C47" s="189">
        <f>ROUND(C40*F27,4)</f>
        <v>2.5000000000000001E-3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1223686</v>
      </c>
      <c r="D49" s="184"/>
      <c r="E49" s="184"/>
      <c r="F49" s="211"/>
      <c r="G49" s="185" t="s">
        <v>2087</v>
      </c>
    </row>
    <row r="50" spans="1:7" s="207" customFormat="1" ht="24">
      <c r="A50" s="1307" t="s">
        <v>2088</v>
      </c>
      <c r="B50" s="174" t="s">
        <v>2089</v>
      </c>
      <c r="C50" s="184"/>
      <c r="D50" s="184"/>
      <c r="E50" s="184"/>
      <c r="F50" s="211">
        <f>IF('数据-取费表'!B25=0,'数据-取费表'!E20,1)</f>
        <v>0.84</v>
      </c>
      <c r="G50" s="198" t="s">
        <v>2090</v>
      </c>
    </row>
    <row r="51" spans="1:7" ht="16.5" customHeight="1">
      <c r="A51" s="1307" t="s">
        <v>2091</v>
      </c>
      <c r="B51" s="174" t="s">
        <v>2092</v>
      </c>
      <c r="C51" s="184">
        <f ca="1">ROUND(C49*F50,0)</f>
        <v>1027896</v>
      </c>
      <c r="D51" s="184"/>
      <c r="E51" s="184"/>
      <c r="F51" s="211"/>
      <c r="G51" s="185" t="s">
        <v>2093</v>
      </c>
    </row>
    <row r="52" spans="1:7" s="173" customFormat="1" ht="16.5" thickBot="1">
      <c r="A52" s="212" t="s">
        <v>2094</v>
      </c>
      <c r="B52" s="213"/>
      <c r="C52" s="214">
        <f ca="1">C31+C51</f>
        <v>16369421</v>
      </c>
      <c r="D52" s="213"/>
      <c r="E52" s="213"/>
      <c r="F52" s="213"/>
      <c r="G52" s="215"/>
    </row>
    <row r="55" spans="1:7" ht="15">
      <c r="B55" s="217" t="s">
        <v>2095</v>
      </c>
      <c r="C55" s="218"/>
    </row>
    <row r="56" spans="1:7">
      <c r="B56" s="220" t="s">
        <v>2096</v>
      </c>
      <c r="C56" s="221">
        <f ca="1">ROUND(C51/C52,3)</f>
        <v>6.3E-2</v>
      </c>
    </row>
    <row r="57" spans="1:7">
      <c r="B57" s="220" t="s">
        <v>2097</v>
      </c>
      <c r="C57" s="222">
        <f ca="1">1-C56</f>
        <v>0.93700000000000006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1306</v>
      </c>
      <c r="B1" s="223"/>
      <c r="C1" s="1323" t="s">
        <v>1307</v>
      </c>
      <c r="D1" s="1454"/>
      <c r="E1" s="1213"/>
      <c r="F1" s="1213"/>
      <c r="G1" s="1213"/>
      <c r="H1" s="1213"/>
      <c r="I1" s="1213"/>
      <c r="J1" s="1213"/>
      <c r="K1" s="1213"/>
    </row>
    <row r="2" spans="1:33" s="224" customFormat="1" ht="18" customHeight="1">
      <c r="A2" s="166" t="s">
        <v>1308</v>
      </c>
      <c r="B2" s="169">
        <f ca="1">IF(C2="元",C32,ROUND(C32/10000,0))</f>
        <v>7831025</v>
      </c>
      <c r="C2" s="1975" t="str">
        <f>'数据-取费表'!B3</f>
        <v>元</v>
      </c>
      <c r="D2" s="1213"/>
      <c r="E2" s="1213"/>
      <c r="F2" s="1213"/>
      <c r="G2" s="1213"/>
      <c r="H2" s="1213"/>
      <c r="I2" s="1213"/>
      <c r="J2" s="1213"/>
      <c r="K2" s="1213"/>
    </row>
    <row r="3" spans="1:33" s="224" customFormat="1" ht="18" customHeight="1" thickBot="1">
      <c r="A3" s="168" t="s">
        <v>1309</v>
      </c>
      <c r="B3" s="169">
        <f ca="1">ROUND(C32/IF(C1="仅计算典型户型",'数据-取费表'!E5,'数据-取费表'!B5),0)</f>
        <v>23097</v>
      </c>
      <c r="C3" s="1975" t="s">
        <v>1310</v>
      </c>
      <c r="D3" s="1213"/>
      <c r="E3" s="1213"/>
      <c r="F3" s="1213"/>
      <c r="G3" s="1213"/>
      <c r="H3" s="1213"/>
      <c r="I3" s="1213"/>
      <c r="J3" s="1213"/>
      <c r="K3" s="1213"/>
    </row>
    <row r="4" spans="1:33" s="228" customFormat="1" ht="16.5" customHeight="1">
      <c r="A4" s="225" t="s">
        <v>1311</v>
      </c>
      <c r="B4" s="226"/>
      <c r="C4" s="1453">
        <f>SUM(C8:K8)</f>
        <v>11866750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1312</v>
      </c>
      <c r="B5" s="230" t="s">
        <v>1313</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1314</v>
      </c>
      <c r="B6" s="232" t="s">
        <v>1315</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1316</v>
      </c>
      <c r="B7" s="232" t="s">
        <v>1317</v>
      </c>
      <c r="C7" s="235">
        <f>IF(C1="仅计算典型户型",'数据-取费表'!E5,'数据-取费表'!B5)</f>
        <v>339.05</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1318</v>
      </c>
      <c r="B8" s="232" t="s">
        <v>1319</v>
      </c>
      <c r="C8" s="729">
        <f>C6*C7</f>
        <v>11866750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1320</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1312</v>
      </c>
      <c r="B10" s="241" t="s">
        <v>1313</v>
      </c>
      <c r="C10" s="242" t="s">
        <v>1321</v>
      </c>
      <c r="D10" s="243" t="s">
        <v>1322</v>
      </c>
      <c r="E10" s="243" t="s">
        <v>1323</v>
      </c>
      <c r="F10" s="243" t="s">
        <v>1324</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1325</v>
      </c>
      <c r="C11" s="248">
        <f>IF(C1="仅计算典型户型",'数据-取费表'!F18,'数据-取费表'!E18)</f>
        <v>786596</v>
      </c>
      <c r="D11" s="249"/>
      <c r="E11" s="71"/>
      <c r="F11" s="250">
        <f>1-'数据-取费表'!E20</f>
        <v>0.16000000000000003</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1326</v>
      </c>
      <c r="C12" s="14">
        <f>ROUND(C11*F12,0)</f>
        <v>23598</v>
      </c>
      <c r="D12" s="249"/>
      <c r="E12" s="71"/>
      <c r="F12" s="252">
        <f>'数据-取费表'!E21</f>
        <v>0.03</v>
      </c>
      <c r="G12" s="241" t="s">
        <v>1327</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1328</v>
      </c>
      <c r="C13" s="14">
        <f>ROUND(IF('数据-取费表'!B10="住宅",C11*F13,0),0)</f>
        <v>0</v>
      </c>
      <c r="D13" s="249"/>
      <c r="E13" s="71"/>
      <c r="F13" s="252">
        <f>'数据-取费表'!E22</f>
        <v>0.04</v>
      </c>
      <c r="G13" s="241" t="s">
        <v>1329</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1330</v>
      </c>
      <c r="C14" s="14">
        <f>ROUND(D14*E14*F11,0)</f>
        <v>10850</v>
      </c>
      <c r="D14" s="249">
        <f>IF(C1="仅计算典型户型",'数据-取费表'!E5,'数据-取费表'!B5)</f>
        <v>339.05</v>
      </c>
      <c r="E14" s="14">
        <f>'数据-取费表'!E23</f>
        <v>200</v>
      </c>
      <c r="F14" s="252"/>
      <c r="G14" s="241" t="s">
        <v>1331</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1332</v>
      </c>
      <c r="C15" s="260">
        <f>ROUND(C11*F15,0)</f>
        <v>11799</v>
      </c>
      <c r="D15" s="254"/>
      <c r="E15" s="260"/>
      <c r="F15" s="261">
        <f>'数据-取费表'!E24</f>
        <v>1.4999999999999999E-2</v>
      </c>
      <c r="G15" s="232" t="s">
        <v>1333</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1334</v>
      </c>
      <c r="B16" s="247" t="s">
        <v>1335</v>
      </c>
      <c r="C16" s="248">
        <f>SUM(C11:C15)</f>
        <v>832843</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1336</v>
      </c>
      <c r="B17" s="247" t="s">
        <v>1337</v>
      </c>
      <c r="C17" s="14">
        <f>ROUND(D17*E17,0)</f>
        <v>0</v>
      </c>
      <c r="D17" s="249">
        <f>IF(C1="仅计算典型户型",'数据-取费表'!E5,'数据-取费表'!B5)</f>
        <v>339.05</v>
      </c>
      <c r="E17" s="14">
        <f>'数据-取费表'!E16</f>
        <v>0</v>
      </c>
      <c r="F17" s="254"/>
      <c r="G17" s="232" t="s">
        <v>1338</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1339</v>
      </c>
      <c r="B18" s="247" t="s">
        <v>1340</v>
      </c>
      <c r="C18" s="14">
        <f>C19+C20-'数据-取费表'!E13</f>
        <v>67810</v>
      </c>
      <c r="D18" s="249"/>
      <c r="E18" s="14"/>
      <c r="F18" s="252"/>
      <c r="G18" s="232" t="s">
        <v>1341</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1342</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1343</v>
      </c>
      <c r="C20" s="14">
        <f>ROUND(D20*E20,0)</f>
        <v>67810</v>
      </c>
      <c r="D20" s="249">
        <f>IF('数据-取费表'!B10&lt;&gt;"住宅",IF(C1="仅计算典型户型",'数据-取费表'!E5,'数据-取费表'!B5),0)</f>
        <v>339.05</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1314</v>
      </c>
      <c r="B21" s="262" t="s">
        <v>1344</v>
      </c>
      <c r="C21" s="263">
        <f>C16+C17+C18</f>
        <v>900653</v>
      </c>
      <c r="D21" s="264"/>
      <c r="E21" s="265"/>
      <c r="F21" s="265"/>
      <c r="G21" s="232" t="s">
        <v>1345</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1316</v>
      </c>
      <c r="B22" s="262" t="s">
        <v>1346</v>
      </c>
      <c r="C22" s="263">
        <f>ROUND(C21*F22,0)</f>
        <v>9007</v>
      </c>
      <c r="D22" s="265"/>
      <c r="E22" s="265"/>
      <c r="F22" s="266">
        <f>'数据-取费表'!E25</f>
        <v>0.01</v>
      </c>
      <c r="G22" s="241" t="s">
        <v>1347</v>
      </c>
      <c r="H22" s="244"/>
      <c r="I22" s="244"/>
      <c r="J22" s="244"/>
      <c r="K22" s="245"/>
      <c r="L22" s="267"/>
      <c r="M22" s="267"/>
      <c r="N22" s="267"/>
    </row>
    <row r="23" spans="1:33" s="251" customFormat="1" ht="13.5" customHeight="1">
      <c r="A23" s="1308" t="s">
        <v>1318</v>
      </c>
      <c r="B23" s="262" t="s">
        <v>1348</v>
      </c>
      <c r="C23" s="263">
        <f>ROUND(C4*F23*F11,0)</f>
        <v>18987</v>
      </c>
      <c r="D23" s="265"/>
      <c r="E23" s="265"/>
      <c r="F23" s="266">
        <f>'数据-取费表'!E26</f>
        <v>0.01</v>
      </c>
      <c r="G23" s="241" t="s">
        <v>1349</v>
      </c>
      <c r="H23" s="244"/>
      <c r="I23" s="244"/>
      <c r="J23" s="244"/>
      <c r="K23" s="245"/>
    </row>
    <row r="24" spans="1:33" s="251" customFormat="1" ht="13.5" customHeight="1">
      <c r="A24" s="1308" t="s">
        <v>1350</v>
      </c>
      <c r="B24" s="262" t="s">
        <v>1351</v>
      </c>
      <c r="C24" s="268">
        <f>ROUND(F24/(1+'数据-取费表'!F30),4)</f>
        <v>2.9000000000000001E-2</v>
      </c>
      <c r="D24" s="269" t="s">
        <v>12</v>
      </c>
      <c r="E24" s="269"/>
      <c r="F24" s="266">
        <f>'数据-取费表'!E36+'数据-取费表'!E37</f>
        <v>3.0499999999999999E-2</v>
      </c>
      <c r="G24" s="241" t="s">
        <v>1352</v>
      </c>
      <c r="H24" s="271"/>
      <c r="I24" s="271"/>
      <c r="J24" s="271"/>
      <c r="K24" s="272"/>
    </row>
    <row r="25" spans="1:33" s="267" customFormat="1" ht="13.5" customHeight="1">
      <c r="A25" s="1308" t="s">
        <v>1353</v>
      </c>
      <c r="B25" s="264" t="s">
        <v>1354</v>
      </c>
      <c r="C25" s="273">
        <f ca="1">C27</f>
        <v>0</v>
      </c>
      <c r="D25" s="268">
        <f ca="1">C26</f>
        <v>0</v>
      </c>
      <c r="E25" s="274" t="s">
        <v>12</v>
      </c>
      <c r="F25" s="275">
        <f ca="1">'数据-取费表'!E27</f>
        <v>4.3499999999999997E-2</v>
      </c>
      <c r="G25" s="232" t="s">
        <v>1355</v>
      </c>
      <c r="H25" s="271"/>
      <c r="I25" s="271"/>
      <c r="J25" s="271"/>
      <c r="K25" s="272"/>
    </row>
    <row r="26" spans="1:33" s="281" customFormat="1" ht="13.5" customHeight="1">
      <c r="A26" s="1309" t="s">
        <v>1356</v>
      </c>
      <c r="B26" s="276" t="s">
        <v>1357</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1336</v>
      </c>
      <c r="B27" s="276" t="s">
        <v>1358</v>
      </c>
      <c r="C27" s="282">
        <f ca="1">ROUND(IF('数据-取费表'!B23&lt;=1,(C21+C22+C23)*F25*'数据-取费表'!B25/2,(C21+C22+C23)*(POWER((1+F25),'数据-取费表'!B25/2)-1)),0)</f>
        <v>0</v>
      </c>
      <c r="D27" s="278"/>
      <c r="E27" s="279"/>
      <c r="F27" s="280"/>
      <c r="G27" s="232" t="s">
        <v>1359</v>
      </c>
      <c r="H27" s="255"/>
      <c r="I27" s="255"/>
      <c r="J27" s="255"/>
      <c r="K27" s="256"/>
    </row>
    <row r="28" spans="1:33" s="286" customFormat="1" ht="13.5" customHeight="1">
      <c r="A28" s="1308" t="s">
        <v>1360</v>
      </c>
      <c r="B28" s="283" t="s">
        <v>1361</v>
      </c>
      <c r="C28" s="284">
        <f>C30</f>
        <v>232162</v>
      </c>
      <c r="D28" s="268">
        <f>C29</f>
        <v>0.25729999999999997</v>
      </c>
      <c r="E28" s="274" t="s">
        <v>12</v>
      </c>
      <c r="F28" s="285">
        <f>'数据-取费表'!E28</f>
        <v>0.25</v>
      </c>
      <c r="G28" s="270"/>
      <c r="H28" s="271"/>
      <c r="I28" s="271"/>
      <c r="J28" s="271"/>
      <c r="K28" s="272"/>
    </row>
    <row r="29" spans="1:33" s="289" customFormat="1" ht="13.5" customHeight="1">
      <c r="A29" s="1309" t="s">
        <v>1362</v>
      </c>
      <c r="B29" s="287" t="s">
        <v>1363</v>
      </c>
      <c r="C29" s="278">
        <f>ROUND((1+C24)*F28,4)</f>
        <v>0.25729999999999997</v>
      </c>
      <c r="D29" s="278"/>
      <c r="E29" s="279"/>
      <c r="F29" s="288"/>
      <c r="G29" s="232" t="s">
        <v>1364</v>
      </c>
      <c r="H29" s="255"/>
      <c r="I29" s="255"/>
      <c r="J29" s="255"/>
      <c r="K29" s="256"/>
    </row>
    <row r="30" spans="1:33" s="289" customFormat="1" ht="13.5" customHeight="1">
      <c r="A30" s="1309" t="s">
        <v>1365</v>
      </c>
      <c r="B30" s="287" t="s">
        <v>1366</v>
      </c>
      <c r="C30" s="290">
        <f>ROUND((C21+C22+C23)*F28,0)</f>
        <v>232162</v>
      </c>
      <c r="D30" s="278"/>
      <c r="E30" s="291"/>
      <c r="F30" s="288"/>
      <c r="G30" s="232"/>
      <c r="H30" s="255"/>
      <c r="I30" s="255"/>
      <c r="J30" s="255"/>
      <c r="K30" s="256"/>
    </row>
    <row r="31" spans="1:33" s="267" customFormat="1" ht="13.5" customHeight="1" thickBot="1">
      <c r="A31" s="1977" t="s">
        <v>1367</v>
      </c>
      <c r="B31" s="262" t="s">
        <v>1368</v>
      </c>
      <c r="C31" s="292">
        <f>ROUND(C4*F31/(1+'数据-取费表'!F30),0)</f>
        <v>632893</v>
      </c>
      <c r="D31" s="237"/>
      <c r="E31" s="293"/>
      <c r="F31" s="294">
        <f>'数据-取费表'!E29</f>
        <v>5.6000000000000001E-2</v>
      </c>
      <c r="G31" s="295" t="s">
        <v>1369</v>
      </c>
      <c r="H31" s="296"/>
      <c r="I31" s="296"/>
      <c r="J31" s="296"/>
      <c r="K31" s="297"/>
    </row>
    <row r="32" spans="1:33" s="246" customFormat="1" ht="13.5" customHeight="1" thickBot="1">
      <c r="A32" s="298" t="s">
        <v>1370</v>
      </c>
      <c r="B32" s="299"/>
      <c r="C32" s="300">
        <f ca="1">ROUND((C4-C21-C22-C23-C25-C28-C31)/(1+C24+D25+D28),0)</f>
        <v>7831025</v>
      </c>
      <c r="D32" s="299"/>
      <c r="E32" s="299"/>
      <c r="F32" s="299"/>
      <c r="G32" s="301" t="s">
        <v>1371</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31" sqref="D31"/>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1" t="s">
        <v>2838</v>
      </c>
      <c r="E1" s="2712" t="s">
        <v>1258</v>
      </c>
      <c r="F1" s="2713"/>
      <c r="G1" s="2714"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14527378</v>
      </c>
      <c r="C2" s="2340"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42847</v>
      </c>
      <c r="C3" s="2340"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757050</v>
      </c>
      <c r="D5" s="2341" t="s">
        <v>2107</v>
      </c>
      <c r="E5" s="1216"/>
      <c r="F5" s="1385"/>
      <c r="G5" s="1240"/>
      <c r="H5" s="317">
        <v>1</v>
      </c>
      <c r="I5" s="318" t="s">
        <v>2106</v>
      </c>
      <c r="J5" s="319">
        <f ca="1">J6+J10+J12</f>
        <v>0</v>
      </c>
      <c r="K5" s="2341" t="s">
        <v>2107</v>
      </c>
      <c r="L5" s="1216"/>
      <c r="M5" s="1385"/>
    </row>
    <row r="6" spans="1:37" ht="18" customHeight="1">
      <c r="A6" s="1386" t="s">
        <v>2108</v>
      </c>
      <c r="B6" s="2031" t="s">
        <v>2109</v>
      </c>
      <c r="C6" s="319">
        <f>ROUND(F6*F8*F7*(1-F9),0)</f>
        <v>756000</v>
      </c>
      <c r="D6" s="81" t="s">
        <v>2803</v>
      </c>
      <c r="E6" s="320" t="s">
        <v>2110</v>
      </c>
      <c r="F6" s="321">
        <f>'数据-取费表'!B29</f>
        <v>70000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2" t="s">
        <v>2116</v>
      </c>
      <c r="C10" s="1387">
        <f ca="1">ROUND(IF(F10="押一",F6*F7*F8/12*F11,IF(F10="押二",F6*F7*F8/12*2*F11,IF(F10="押三",F6*F7*F8/12*3*F11,C11*F11))),0)</f>
        <v>1050</v>
      </c>
      <c r="D10" s="2343" t="s">
        <v>2804</v>
      </c>
      <c r="E10" s="331" t="s">
        <v>2117</v>
      </c>
      <c r="F10" s="2344" t="s">
        <v>2118</v>
      </c>
      <c r="G10" s="1240"/>
      <c r="H10" s="1386" t="s">
        <v>2115</v>
      </c>
      <c r="I10" s="2342" t="s">
        <v>2116</v>
      </c>
      <c r="J10" s="1387">
        <f ca="1">ROUND(IF(M10="押一",M6*M8*M7/12*M11,IF(M10="押二",M6*M8*M7/12*2*M11,IF(M10="押三",M6*M8*M7/12*3*M11,J11*M11))),0)</f>
        <v>0</v>
      </c>
      <c r="K10" s="81" t="s">
        <v>2805</v>
      </c>
      <c r="L10" s="331" t="s">
        <v>2117</v>
      </c>
      <c r="M10" s="2344"/>
    </row>
    <row r="11" spans="1:37" s="342" customFormat="1" ht="18" customHeight="1">
      <c r="A11" s="349"/>
      <c r="B11" s="2345" t="s">
        <v>2119</v>
      </c>
      <c r="C11" s="1420"/>
      <c r="D11" s="325"/>
      <c r="E11" s="331" t="s">
        <v>2120</v>
      </c>
      <c r="F11" s="332">
        <f ca="1">'数据-取费表'!B30</f>
        <v>1.4999999999999999E-2</v>
      </c>
      <c r="G11" s="1241"/>
      <c r="H11" s="326"/>
      <c r="I11" s="2345"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6" t="s">
        <v>2123</v>
      </c>
      <c r="C12" s="1427"/>
      <c r="D12" s="2347"/>
      <c r="E12" s="1433"/>
      <c r="F12" s="1428"/>
      <c r="G12" s="1240"/>
      <c r="H12" s="1426" t="s">
        <v>2122</v>
      </c>
      <c r="I12" s="2346" t="s">
        <v>2123</v>
      </c>
      <c r="J12" s="1427"/>
      <c r="K12" s="1443"/>
      <c r="L12" s="1433"/>
      <c r="M12" s="1444"/>
    </row>
    <row r="13" spans="1:37" s="342" customFormat="1" ht="18" customHeight="1" thickTop="1">
      <c r="A13" s="1422">
        <v>2</v>
      </c>
      <c r="B13" s="1423" t="s">
        <v>2124</v>
      </c>
      <c r="C13" s="328">
        <f ca="1">ROUND(C29*F13,0)</f>
        <v>1027896</v>
      </c>
      <c r="D13" s="1424" t="s">
        <v>2125</v>
      </c>
      <c r="E13" s="1424" t="s">
        <v>2126</v>
      </c>
      <c r="F13" s="1425">
        <f>'数据-取费表'!E20</f>
        <v>0.84</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786596</v>
      </c>
      <c r="D14" s="1894" t="s">
        <v>2129</v>
      </c>
      <c r="E14" s="1895"/>
      <c r="F14" s="980"/>
      <c r="G14" s="1241"/>
      <c r="H14" s="338" t="s">
        <v>2108</v>
      </c>
      <c r="I14" s="320" t="s">
        <v>2130</v>
      </c>
      <c r="J14" s="14">
        <f ca="1">C29</f>
        <v>1223686</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23598</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0</v>
      </c>
      <c r="D16" s="320" t="s">
        <v>2133</v>
      </c>
      <c r="E16" s="320" t="s">
        <v>2134</v>
      </c>
      <c r="F16" s="343">
        <f>IF('数据-取费表'!B10="住宅",'数据-取费表'!E22,0)</f>
        <v>0</v>
      </c>
      <c r="G16" s="1241"/>
      <c r="H16" s="1422" t="s">
        <v>14</v>
      </c>
      <c r="I16" s="1423" t="s">
        <v>2139</v>
      </c>
      <c r="J16" s="328">
        <f ca="1">ROUND(J17+J22+J23+J24,0)</f>
        <v>18355</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67810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11799</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889803</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8898</v>
      </c>
      <c r="D20" s="345" t="s">
        <v>2159</v>
      </c>
      <c r="E20" s="320" t="s">
        <v>2160</v>
      </c>
      <c r="F20" s="343">
        <f>'数据-取费表'!E25</f>
        <v>0.01</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0.01</v>
      </c>
      <c r="D21" s="345" t="s">
        <v>2166</v>
      </c>
      <c r="E21" s="320" t="s">
        <v>2167</v>
      </c>
      <c r="F21" s="343">
        <f>'数据-取费表'!E26</f>
        <v>0.01</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18355</v>
      </c>
      <c r="K22" s="1899"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19547</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1.5E-3</v>
      </c>
    </row>
    <row r="24" spans="1:37" s="342" customFormat="1" ht="18" customHeight="1" thickBot="1">
      <c r="A24" s="338" t="s">
        <v>2178</v>
      </c>
      <c r="B24" s="320" t="s">
        <v>2179</v>
      </c>
      <c r="C24" s="14">
        <f ca="1">ROUND(IF('数据-取费表'!B23&lt;=1,F21*F24*F23/2,F21*(POWER((1+F24),F23/2)-1)),4)</f>
        <v>2.0000000000000001E-4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-18355</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224675</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0.05</v>
      </c>
    </row>
    <row r="27" spans="1:37" ht="18" customHeight="1">
      <c r="A27" s="338" t="s">
        <v>2193</v>
      </c>
      <c r="B27" s="320" t="s">
        <v>2194</v>
      </c>
      <c r="C27" s="14">
        <f>ROUND(F21*F26,4)</f>
        <v>2.5000000000000001E-3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1223686</v>
      </c>
      <c r="D29" s="1435"/>
      <c r="E29" s="1433"/>
      <c r="F29" s="1436"/>
      <c r="G29" s="792"/>
      <c r="H29" s="357" t="s">
        <v>24</v>
      </c>
      <c r="I29" s="358" t="s">
        <v>2204</v>
      </c>
      <c r="J29" s="359">
        <f ca="1">ROUND(J26/(1+F40)^F41,0)</f>
        <v>0</v>
      </c>
      <c r="K29" s="360" t="s">
        <v>2205</v>
      </c>
      <c r="L29" s="361"/>
      <c r="M29" s="362">
        <f>IF(D1="仅计算典型户型",'数据-取费表'!E5,'数据-取费表'!B5)</f>
        <v>339.05</v>
      </c>
    </row>
    <row r="30" spans="1:37" ht="18" customHeight="1" thickTop="1">
      <c r="A30" s="1422" t="s">
        <v>14</v>
      </c>
      <c r="B30" s="1423" t="s">
        <v>2206</v>
      </c>
      <c r="C30" s="328">
        <f ca="1">ROUND(C31+C36+C37+C38,0)</f>
        <v>118314</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90846</v>
      </c>
      <c r="D31" s="1894" t="s">
        <v>2208</v>
      </c>
      <c r="E31" s="1899" t="s">
        <v>2209</v>
      </c>
      <c r="F31" s="344">
        <f>IF(项目基本情况!B7="企业","",IF('数据-取费表'!B10="住宅",5%,IF(F6*F7*F8/12/(1+'数据-取费表'!F30)&gt;20000,12%,7%)))</f>
        <v>0.12</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82232</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18355</v>
      </c>
      <c r="D36" s="1899" t="s">
        <v>2216</v>
      </c>
      <c r="E36" s="320" t="s">
        <v>2160</v>
      </c>
      <c r="F36" s="351">
        <f>'数据-取费表'!B44</f>
        <v>1.4999999999999999E-2</v>
      </c>
      <c r="G36" s="792"/>
      <c r="H36" s="1232"/>
      <c r="I36" s="370" t="s">
        <v>2217</v>
      </c>
      <c r="J36" s="371"/>
      <c r="K36" s="1236"/>
      <c r="L36" s="1232"/>
      <c r="M36" s="1232"/>
    </row>
    <row r="37" spans="1:18" ht="18" customHeight="1">
      <c r="A37" s="338" t="s">
        <v>2164</v>
      </c>
      <c r="B37" s="320" t="s">
        <v>2175</v>
      </c>
      <c r="C37" s="14">
        <f ca="1">ROUND(C13*F37,0)</f>
        <v>1542</v>
      </c>
      <c r="D37" s="1899" t="s">
        <v>2176</v>
      </c>
      <c r="E37" s="320" t="s">
        <v>2177</v>
      </c>
      <c r="F37" s="352">
        <f>'数据-取费表'!B45</f>
        <v>1.5E-3</v>
      </c>
      <c r="G37" s="792"/>
      <c r="H37" s="1232"/>
      <c r="I37" s="217" t="s">
        <v>2218</v>
      </c>
      <c r="J37" s="372"/>
      <c r="K37" s="1236"/>
      <c r="L37" s="1232"/>
      <c r="M37" s="1232"/>
    </row>
    <row r="38" spans="1:18" ht="18" customHeight="1" thickBot="1">
      <c r="A38" s="1432" t="s">
        <v>2169</v>
      </c>
      <c r="B38" s="1433" t="s">
        <v>2158</v>
      </c>
      <c r="C38" s="1434">
        <f ca="1">ROUND(C5*F38,0)</f>
        <v>7571</v>
      </c>
      <c r="D38" s="1435" t="s">
        <v>2181</v>
      </c>
      <c r="E38" s="1433" t="s">
        <v>2177</v>
      </c>
      <c r="F38" s="1428">
        <f>'数据-取费表'!B46</f>
        <v>0.01</v>
      </c>
      <c r="G38" s="792"/>
      <c r="H38" s="1232"/>
      <c r="I38" s="366" t="s">
        <v>2219</v>
      </c>
      <c r="J38" s="221">
        <f ca="1">ROUND(J34/C39,3)</f>
        <v>0.129</v>
      </c>
      <c r="K38" s="1237"/>
      <c r="L38" s="1232"/>
      <c r="M38" s="1232"/>
    </row>
    <row r="39" spans="1:18" ht="18" customHeight="1" thickTop="1">
      <c r="A39" s="1422" t="s">
        <v>22</v>
      </c>
      <c r="B39" s="1437" t="s">
        <v>2220</v>
      </c>
      <c r="C39" s="328">
        <f ca="1">C5-C30</f>
        <v>638736</v>
      </c>
      <c r="D39" s="1438" t="s">
        <v>2221</v>
      </c>
      <c r="E39" s="1439"/>
      <c r="F39" s="1440"/>
      <c r="G39" s="792"/>
      <c r="H39" s="1232"/>
      <c r="I39" s="366" t="s">
        <v>2222</v>
      </c>
      <c r="J39" s="221">
        <f ca="1">1-J38</f>
        <v>0.871</v>
      </c>
      <c r="K39" s="1237"/>
      <c r="L39" s="1232"/>
      <c r="M39" s="1232"/>
    </row>
    <row r="40" spans="1:18" s="792" customFormat="1" ht="18" customHeight="1">
      <c r="A40" s="317" t="s">
        <v>23</v>
      </c>
      <c r="B40" s="318" t="s">
        <v>2223</v>
      </c>
      <c r="C40" s="319">
        <f ca="1">ROUND(C39*(1-((1+F42)/(1+F40))^F41)/(F40-F42),0)</f>
        <v>14527378</v>
      </c>
      <c r="D40" s="347" t="s">
        <v>2191</v>
      </c>
      <c r="E40" s="320" t="s">
        <v>2192</v>
      </c>
      <c r="F40" s="330">
        <f>'数据-取费表'!B16</f>
        <v>0.05</v>
      </c>
      <c r="H40" s="1238"/>
      <c r="I40" s="217" t="s">
        <v>2224</v>
      </c>
      <c r="J40" s="218"/>
      <c r="K40" s="1237"/>
      <c r="L40" s="1238"/>
      <c r="M40" s="1238"/>
      <c r="Q40" s="796"/>
    </row>
    <row r="41" spans="1:18" s="792" customFormat="1" ht="18" customHeight="1">
      <c r="A41" s="322"/>
      <c r="B41" s="323"/>
      <c r="C41" s="324"/>
      <c r="D41" s="355" t="s">
        <v>2225</v>
      </c>
      <c r="E41" s="1831" t="s">
        <v>2837</v>
      </c>
      <c r="F41" s="356">
        <f>IF('数据-取费表'!B28="租赁期内按合同租金",'数据-取费表'!B34,IF(E41="收益年期(n)",'数据-取费表'!B33,'数据-取费表'!B13))</f>
        <v>29</v>
      </c>
      <c r="H41" s="1239"/>
      <c r="I41" s="220" t="s">
        <v>2096</v>
      </c>
      <c r="J41" s="221">
        <f ca="1">ROUND(C13/C40,3)</f>
        <v>7.0999999999999994E-2</v>
      </c>
      <c r="K41" s="1236"/>
      <c r="L41" s="1239"/>
      <c r="M41" s="1239"/>
      <c r="Q41" s="796"/>
    </row>
    <row r="42" spans="1:18" s="792" customFormat="1" ht="18" customHeight="1">
      <c r="A42" s="326"/>
      <c r="B42" s="327"/>
      <c r="C42" s="328"/>
      <c r="D42" s="350"/>
      <c r="E42" s="320" t="s">
        <v>2201</v>
      </c>
      <c r="F42" s="330">
        <f>'数据-取费表'!B31</f>
        <v>3.5000000000000003E-2</v>
      </c>
      <c r="H42" s="1239"/>
      <c r="I42" s="220" t="s">
        <v>2097</v>
      </c>
      <c r="J42" s="222">
        <f ca="1">1-J41</f>
        <v>0.92900000000000005</v>
      </c>
      <c r="K42" s="1236"/>
      <c r="L42" s="1239"/>
      <c r="M42" s="1239"/>
      <c r="Q42" s="796"/>
    </row>
    <row r="43" spans="1:18" s="792" customFormat="1" ht="18" customHeight="1" thickBot="1">
      <c r="A43" s="357" t="s">
        <v>24</v>
      </c>
      <c r="B43" s="358" t="s">
        <v>2226</v>
      </c>
      <c r="C43" s="359">
        <f ca="1">ROUND(C40/F43,0)</f>
        <v>42847</v>
      </c>
      <c r="D43" s="360" t="s">
        <v>2227</v>
      </c>
      <c r="E43" s="361" t="s">
        <v>2228</v>
      </c>
      <c r="F43" s="362">
        <f>IF(D1="仅计算典型户型",'数据-取费表'!E5,'数据-取费表'!B5)</f>
        <v>339.05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14527378</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48" t="s">
        <v>2238</v>
      </c>
      <c r="C47" s="1305">
        <f ca="1">IF(C2="元",C69-C40,ROUND((C69-C40)/10000,0))</f>
        <v>-14828640</v>
      </c>
      <c r="D47" s="2349" t="str">
        <f>C2</f>
        <v>元</v>
      </c>
      <c r="E47" s="777"/>
      <c r="F47" s="777"/>
      <c r="I47" s="2350" t="s">
        <v>2239</v>
      </c>
      <c r="J47" s="1345"/>
      <c r="K47" s="1346"/>
      <c r="L47" s="1359" t="str">
        <f>IF(M48="住宅",0,IF(L49&gt;J52,L61,J61))</f>
        <v>0</v>
      </c>
      <c r="O47" s="1373" t="s">
        <v>960</v>
      </c>
      <c r="P47" s="1370" t="s">
        <v>2240</v>
      </c>
      <c r="Q47" s="1371">
        <f ca="1">C29</f>
        <v>1223686</v>
      </c>
      <c r="R47" s="1372" t="s">
        <v>2235</v>
      </c>
    </row>
    <row r="48" spans="1:18" s="792" customFormat="1" ht="15.75" thickBot="1">
      <c r="A48" s="313" t="s">
        <v>2241</v>
      </c>
      <c r="B48" s="314" t="s">
        <v>2242</v>
      </c>
      <c r="C48" s="314" t="s">
        <v>2243</v>
      </c>
      <c r="D48" s="314" t="s">
        <v>2244</v>
      </c>
      <c r="E48" s="1299" t="s">
        <v>2245</v>
      </c>
      <c r="F48" s="1300"/>
      <c r="I48" s="2351" t="s">
        <v>2246</v>
      </c>
      <c r="J48" s="2352" t="s">
        <v>2852</v>
      </c>
      <c r="K48" s="2353" t="s">
        <v>2247</v>
      </c>
      <c r="L48" s="1347">
        <f>'数据-取费表'!B11</f>
        <v>40</v>
      </c>
      <c r="M48" s="1360" t="str">
        <f>IF('数据-取费表'!B10="住宅","住宅","非住宅")</f>
        <v>非住宅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4" t="s">
        <v>2250</v>
      </c>
      <c r="J49" s="2355" t="s">
        <v>2853</v>
      </c>
      <c r="K49" s="2356" t="s">
        <v>2251</v>
      </c>
      <c r="L49" s="1129">
        <f>'数据-取费表'!B13</f>
        <v>29</v>
      </c>
      <c r="O49" s="1373" t="s">
        <v>962</v>
      </c>
      <c r="P49" s="1370" t="s">
        <v>2252</v>
      </c>
      <c r="Q49" s="1374">
        <f>J53</f>
        <v>0.08</v>
      </c>
      <c r="R49" s="1372"/>
    </row>
    <row r="50" spans="1:18" s="792" customFormat="1" ht="15.75" thickBot="1">
      <c r="A50" s="346" t="s">
        <v>2108</v>
      </c>
      <c r="B50" s="2031" t="s">
        <v>2253</v>
      </c>
      <c r="C50" s="319">
        <f>ROUND(F50*F52*F51*(1-F53),0)</f>
        <v>0</v>
      </c>
      <c r="D50" s="94" t="s">
        <v>2806</v>
      </c>
      <c r="E50" s="2357" t="s">
        <v>2254</v>
      </c>
      <c r="F50" s="1301"/>
      <c r="I50" s="2354" t="s">
        <v>2255</v>
      </c>
      <c r="J50" s="1129">
        <f>'数据-取费表'!B26</f>
        <v>2007</v>
      </c>
      <c r="K50" s="2358" t="s">
        <v>2256</v>
      </c>
      <c r="L50" s="1348"/>
      <c r="O50" s="1373" t="s">
        <v>963</v>
      </c>
      <c r="P50" s="1370" t="s">
        <v>2257</v>
      </c>
      <c r="Q50" s="1371">
        <f>J54</f>
        <v>29</v>
      </c>
      <c r="R50" s="1372" t="s">
        <v>2258</v>
      </c>
    </row>
    <row r="51" spans="1:18" s="792" customFormat="1" ht="15.75" thickBot="1">
      <c r="A51" s="322"/>
      <c r="B51" s="323"/>
      <c r="C51" s="324"/>
      <c r="D51" s="325"/>
      <c r="E51" s="340" t="s">
        <v>2111</v>
      </c>
      <c r="F51" s="1298">
        <f>F7</f>
        <v>1</v>
      </c>
      <c r="I51" s="2354" t="s">
        <v>2259</v>
      </c>
      <c r="J51" s="1349">
        <f>SUMPRODUCT((I64:I66=J48)*(J63:L63=J49)*(J64:L66))</f>
        <v>60</v>
      </c>
      <c r="K51" s="2358" t="s">
        <v>2260</v>
      </c>
      <c r="L51" s="1348"/>
      <c r="O51" s="1369" t="s">
        <v>964</v>
      </c>
      <c r="P51" s="1370" t="str">
        <f>IF(C2="元","收益价值(元)","收益价值(万元)")</f>
        <v>收益价值(元)</v>
      </c>
      <c r="Q51" s="1371">
        <f ca="1">ROUND(IF(C2="元",Q45+Q46,(Q45+Q46)/10000),0)</f>
        <v>14527378</v>
      </c>
      <c r="R51" s="1372" t="s">
        <v>965</v>
      </c>
    </row>
    <row r="52" spans="1:18" s="792" customFormat="1" ht="16.5" thickBot="1">
      <c r="A52" s="322"/>
      <c r="B52" s="323"/>
      <c r="C52" s="324"/>
      <c r="D52" s="325"/>
      <c r="E52" s="320" t="s">
        <v>2113</v>
      </c>
      <c r="F52" s="321">
        <f>F8</f>
        <v>12</v>
      </c>
      <c r="I52" s="2359" t="s">
        <v>2261</v>
      </c>
      <c r="J52" s="1350">
        <f>IF(J50="",J51,J50+J51-YEAR('数据-取费表'!B2))</f>
        <v>50</v>
      </c>
      <c r="K52" s="2360" t="s">
        <v>2262</v>
      </c>
      <c r="L52" s="1351">
        <f ca="1">ROUND(-PV('数据-取费表'!B15,L49,(C40-C13*J35)),0)</f>
        <v>245332243</v>
      </c>
      <c r="O52" s="1363" t="s">
        <v>2263</v>
      </c>
      <c r="P52" s="1364"/>
      <c r="Q52" s="1360"/>
      <c r="R52" s="1364"/>
    </row>
    <row r="53" spans="1:18" s="792" customFormat="1" ht="15.75" thickBot="1">
      <c r="A53" s="326"/>
      <c r="B53" s="327"/>
      <c r="C53" s="328"/>
      <c r="D53" s="329"/>
      <c r="E53" s="320" t="s">
        <v>2114</v>
      </c>
      <c r="F53" s="1358"/>
      <c r="I53" s="2361" t="s">
        <v>2264</v>
      </c>
      <c r="J53" s="1352">
        <v>0.08</v>
      </c>
      <c r="K53" s="2361" t="s">
        <v>2265</v>
      </c>
      <c r="L53" s="1352"/>
      <c r="O53" s="1365" t="s">
        <v>2230</v>
      </c>
      <c r="P53" s="1366" t="s">
        <v>2231</v>
      </c>
      <c r="Q53" s="1367" t="s">
        <v>2232</v>
      </c>
      <c r="R53" s="1368" t="s">
        <v>2233</v>
      </c>
    </row>
    <row r="54" spans="1:18" s="792" customFormat="1" ht="29.25" customHeight="1" thickBot="1">
      <c r="A54" s="1386" t="s">
        <v>2115</v>
      </c>
      <c r="B54" s="2342" t="s">
        <v>2116</v>
      </c>
      <c r="C54" s="1387">
        <f ca="1">ROUND(IF(F54="押一",F50*F51*F52/12*F11,IF(F54="押二",F50*F51*F52/12*2*F11,IF(F54="押三",F50*F51*F52/12*3*F11,C55*F11))),0)</f>
        <v>0</v>
      </c>
      <c r="D54" s="2343" t="s">
        <v>2804</v>
      </c>
      <c r="E54" s="331" t="s">
        <v>2117</v>
      </c>
      <c r="F54" s="2344"/>
      <c r="I54" s="2362" t="s">
        <v>2266</v>
      </c>
      <c r="J54" s="1353">
        <f>IF(M48="住宅",J52,IF(E1="——",MIN(J52,L49),IF(E1="在建（套用方法）",MIN(J52,L49-'数据-取费表'!B25),IF(E1="土地（套用方法）",MIN(J52,L49-'数据-取费表'!B21)))))</f>
        <v>29</v>
      </c>
      <c r="K54" s="2945" t="s">
        <v>2802</v>
      </c>
      <c r="L54" s="2946"/>
      <c r="O54" s="1369" t="s">
        <v>958</v>
      </c>
      <c r="P54" s="1370" t="s">
        <v>2234</v>
      </c>
      <c r="Q54" s="1371">
        <f ca="1">C40+J29</f>
        <v>14527378</v>
      </c>
      <c r="R54" s="1372" t="s">
        <v>2235</v>
      </c>
    </row>
    <row r="55" spans="1:18" s="792" customFormat="1" ht="20.25" thickBot="1">
      <c r="A55" s="1386"/>
      <c r="B55" s="2363" t="s">
        <v>2121</v>
      </c>
      <c r="C55" s="1420"/>
      <c r="D55" s="94"/>
      <c r="E55" s="2364"/>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5"/>
      <c r="K55" s="2365"/>
      <c r="L55" s="2365"/>
      <c r="O55" s="1369" t="s">
        <v>959</v>
      </c>
      <c r="P55" s="1370" t="s">
        <v>2267</v>
      </c>
      <c r="Q55" s="1371">
        <f>L61</f>
        <v>0</v>
      </c>
      <c r="R55" s="1372" t="s">
        <v>2268</v>
      </c>
    </row>
    <row r="56" spans="1:18" s="792" customFormat="1" ht="20.25" thickBot="1">
      <c r="A56" s="1426" t="s">
        <v>2122</v>
      </c>
      <c r="B56" s="2346" t="s">
        <v>2123</v>
      </c>
      <c r="C56" s="1427"/>
      <c r="D56" s="1443"/>
      <c r="E56" s="2366"/>
      <c r="F56" s="1503"/>
      <c r="I56" s="2367" t="s">
        <v>2269</v>
      </c>
      <c r="J56" s="1877" t="e">
        <f>ROUND(IF(J48="钢混",J58/J51,1-(1-2%)*(J51-J58)/J51),3)</f>
        <v>#VALUE!</v>
      </c>
      <c r="K56" s="2368"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1027896</v>
      </c>
      <c r="D57" s="1296"/>
      <c r="E57" s="1297"/>
      <c r="F57" s="1304"/>
      <c r="I57" s="2369" t="s">
        <v>2272</v>
      </c>
      <c r="J57" s="1357" t="s">
        <v>2854</v>
      </c>
      <c r="K57" s="2354" t="s">
        <v>2273</v>
      </c>
      <c r="L57" s="1129" t="str">
        <f>IF(L49&lt;J52,"——",L49-J52)</f>
        <v>——</v>
      </c>
      <c r="O57" s="1373" t="s">
        <v>961</v>
      </c>
      <c r="P57" s="1370" t="s">
        <v>2274</v>
      </c>
      <c r="Q57" s="1374">
        <f>L53</f>
        <v>0</v>
      </c>
      <c r="R57" s="1372"/>
    </row>
    <row r="58" spans="1:18" s="792" customFormat="1" ht="29.25" thickBot="1">
      <c r="A58" s="1303"/>
      <c r="B58" s="320" t="s">
        <v>2203</v>
      </c>
      <c r="C58" s="189">
        <f ca="1">C29</f>
        <v>1223686</v>
      </c>
      <c r="D58" s="1296"/>
      <c r="E58" s="1297"/>
      <c r="F58" s="1304"/>
      <c r="I58" s="2370" t="s">
        <v>2275</v>
      </c>
      <c r="J58" s="1356" t="str">
        <f>IF(OR(M48="住宅",J52&lt;L49,J57="是"),"——",J52-L49)</f>
        <v>——</v>
      </c>
      <c r="K58" s="2354" t="s">
        <v>2276</v>
      </c>
      <c r="L58" s="1129" t="str">
        <f>IF(L49&lt;J52,"——",IF(L56="比较法",L50,IF(L56="基准地价",L51,L52)))</f>
        <v>——</v>
      </c>
      <c r="O58" s="1373" t="s">
        <v>962</v>
      </c>
      <c r="P58" s="1370" t="s">
        <v>2277</v>
      </c>
      <c r="Q58" s="1371" t="e">
        <f>L59</f>
        <v>#DIV/0!</v>
      </c>
      <c r="R58" s="1372" t="s">
        <v>2278</v>
      </c>
    </row>
    <row r="59" spans="1:18" s="792" customFormat="1" ht="29.25" thickBot="1">
      <c r="A59" s="333" t="s">
        <v>14</v>
      </c>
      <c r="B59" s="334" t="s">
        <v>2206</v>
      </c>
      <c r="C59" s="335">
        <f ca="1">ROUND(C60+C65+C66+C67,0)</f>
        <v>19897</v>
      </c>
      <c r="D59" s="12" t="s">
        <v>2207</v>
      </c>
      <c r="E59" s="1904"/>
      <c r="F59" s="16"/>
      <c r="I59" s="2370" t="s">
        <v>2279</v>
      </c>
      <c r="J59" s="1876" t="e">
        <f>IF(J56&lt;0.4,0.4,J56)</f>
        <v>#VALUE!</v>
      </c>
      <c r="K59" s="2360"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7.0000000000000007E-2</v>
      </c>
      <c r="I60" s="2370" t="s">
        <v>2282</v>
      </c>
      <c r="J60" s="1356" t="str">
        <f>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14527378</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1" t="s">
        <v>2283</v>
      </c>
      <c r="J61" s="1355" t="str">
        <f>IF(OR(M48="住宅",J52&lt;L49,J57="是"),"0",ROUND(J60/(1+J53)^J54,0))</f>
        <v>0</v>
      </c>
      <c r="K61" s="2372"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3" t="s">
        <v>2290</v>
      </c>
      <c r="J63" s="1880" t="s">
        <v>2291</v>
      </c>
      <c r="K63" s="1880" t="s">
        <v>2292</v>
      </c>
      <c r="L63" s="1880" t="s">
        <v>2293</v>
      </c>
      <c r="M63" s="1879" t="s">
        <v>2294</v>
      </c>
      <c r="O63" s="1369" t="s">
        <v>958</v>
      </c>
      <c r="P63" s="1370" t="s">
        <v>2234</v>
      </c>
      <c r="Q63" s="1371">
        <f ca="1">C40+J29</f>
        <v>14527378</v>
      </c>
      <c r="R63" s="1372" t="s">
        <v>2235</v>
      </c>
    </row>
    <row r="64" spans="1:18" s="792" customFormat="1" ht="20.25" thickBot="1">
      <c r="A64" s="349"/>
      <c r="B64" s="329"/>
      <c r="C64" s="19"/>
      <c r="D64" s="350"/>
      <c r="E64" s="320" t="s">
        <v>2295</v>
      </c>
      <c r="F64" s="321">
        <f t="shared" si="0"/>
        <v>0</v>
      </c>
      <c r="I64" s="2373"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18355</v>
      </c>
      <c r="D65" s="1899" t="s">
        <v>2216</v>
      </c>
      <c r="E65" s="320" t="s">
        <v>2160</v>
      </c>
      <c r="F65" s="351">
        <f t="shared" si="0"/>
        <v>1.4999999999999999E-2</v>
      </c>
      <c r="I65" s="2373" t="s">
        <v>2297</v>
      </c>
      <c r="J65" s="1880">
        <v>50</v>
      </c>
      <c r="K65" s="1880">
        <v>35</v>
      </c>
      <c r="L65" s="1880">
        <v>60</v>
      </c>
      <c r="M65" s="1879">
        <v>0</v>
      </c>
      <c r="O65" s="1373" t="s">
        <v>960</v>
      </c>
      <c r="P65" s="1370" t="s">
        <v>2271</v>
      </c>
      <c r="Q65" s="1375">
        <f ca="1">L52</f>
        <v>245332243</v>
      </c>
      <c r="R65" s="1376" t="s">
        <v>2298</v>
      </c>
    </row>
    <row r="66" spans="1:18" s="792" customFormat="1" ht="20.25" thickBot="1">
      <c r="A66" s="338" t="s">
        <v>20</v>
      </c>
      <c r="B66" s="320" t="s">
        <v>2175</v>
      </c>
      <c r="C66" s="14">
        <f ca="1">ROUND(C57*F66,0)</f>
        <v>1542</v>
      </c>
      <c r="D66" s="1899" t="s">
        <v>2176</v>
      </c>
      <c r="E66" s="320" t="s">
        <v>2177</v>
      </c>
      <c r="F66" s="352">
        <f t="shared" si="0"/>
        <v>1.5E-3</v>
      </c>
      <c r="I66" s="2373" t="s">
        <v>2299</v>
      </c>
      <c r="J66" s="1880">
        <v>40</v>
      </c>
      <c r="K66" s="1880">
        <v>30</v>
      </c>
      <c r="L66" s="1880">
        <v>50</v>
      </c>
      <c r="M66" s="1878">
        <v>0.02</v>
      </c>
      <c r="O66" s="1373" t="s">
        <v>961</v>
      </c>
      <c r="P66" s="1377" t="s">
        <v>2300</v>
      </c>
      <c r="Q66" s="1371">
        <f ca="1">ROUND(Q67-Q68*Q69,0)</f>
        <v>556504</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638736</v>
      </c>
      <c r="R67" s="1372" t="s">
        <v>2235</v>
      </c>
    </row>
    <row r="68" spans="1:18" ht="15.75" thickBot="1">
      <c r="A68" s="333" t="s">
        <v>22</v>
      </c>
      <c r="B68" s="90" t="s">
        <v>2185</v>
      </c>
      <c r="C68" s="335">
        <f ca="1">C49-C59</f>
        <v>-19897</v>
      </c>
      <c r="D68" s="1894" t="s">
        <v>2186</v>
      </c>
      <c r="E68" s="1898"/>
      <c r="F68" s="354"/>
      <c r="H68" s="792"/>
      <c r="I68" s="792"/>
      <c r="J68" s="792"/>
      <c r="K68" s="792"/>
      <c r="L68" s="792"/>
      <c r="M68" s="792"/>
      <c r="O68" s="1373" t="s">
        <v>967</v>
      </c>
      <c r="P68" s="1377" t="s">
        <v>2302</v>
      </c>
      <c r="Q68" s="1371">
        <f ca="1">C13</f>
        <v>1027896</v>
      </c>
      <c r="R68" s="1372" t="s">
        <v>2235</v>
      </c>
    </row>
    <row r="69" spans="1:18" ht="15.75" thickBot="1">
      <c r="A69" s="317" t="s">
        <v>23</v>
      </c>
      <c r="B69" s="318" t="s">
        <v>2223</v>
      </c>
      <c r="C69" s="319">
        <f ca="1">ROUND(C68*(1-((1+F71)/(1+F69))^F70)/(F69-F71),0)</f>
        <v>-301262</v>
      </c>
      <c r="D69" s="347" t="s">
        <v>2191</v>
      </c>
      <c r="E69" s="320" t="s">
        <v>2192</v>
      </c>
      <c r="F69" s="330">
        <f>F40</f>
        <v>0.05</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29</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-889</v>
      </c>
      <c r="D72" s="360" t="s">
        <v>2227</v>
      </c>
      <c r="E72" s="361" t="s">
        <v>2228</v>
      </c>
      <c r="F72" s="362">
        <f>F43</f>
        <v>339.05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14527378</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北京市房地产市场价值预评估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叶凌（注册号:1119970111）、杨红英（注册号:1120070085)</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47" t="s">
        <v>1025</v>
      </c>
      <c r="B1" s="2948"/>
      <c r="C1" s="2949"/>
      <c r="D1" s="2950">
        <f>SUM(I10,I15,I20,I21,I23)</f>
        <v>0</v>
      </c>
      <c r="E1" s="2950"/>
      <c r="F1" s="2950"/>
      <c r="G1" s="2950"/>
      <c r="H1" s="2950"/>
      <c r="I1" s="2951"/>
    </row>
    <row r="2" spans="1:9">
      <c r="A2" s="2952" t="s">
        <v>1026</v>
      </c>
      <c r="B2" s="2953" t="s">
        <v>975</v>
      </c>
      <c r="C2" s="2953"/>
      <c r="D2" s="1391" t="s">
        <v>976</v>
      </c>
      <c r="E2" s="1391" t="s">
        <v>977</v>
      </c>
      <c r="F2" s="1391" t="s">
        <v>978</v>
      </c>
      <c r="G2" s="1391" t="s">
        <v>979</v>
      </c>
      <c r="H2" s="1391" t="s">
        <v>980</v>
      </c>
      <c r="I2" s="1392" t="s">
        <v>981</v>
      </c>
    </row>
    <row r="3" spans="1:9">
      <c r="A3" s="2952"/>
      <c r="B3" s="2953" t="s">
        <v>982</v>
      </c>
      <c r="C3" s="2953"/>
      <c r="D3" s="1393"/>
      <c r="E3" s="1391"/>
      <c r="F3" s="1394"/>
      <c r="G3" s="1394"/>
      <c r="H3" s="1395"/>
      <c r="I3" s="1396">
        <f>ROUND(D3*E3*F3*G3*H3/10000,0)</f>
        <v>0</v>
      </c>
    </row>
    <row r="4" spans="1:9">
      <c r="A4" s="2952"/>
      <c r="B4" s="2953" t="s">
        <v>983</v>
      </c>
      <c r="C4" s="2953"/>
      <c r="D4" s="1393"/>
      <c r="E4" s="1391"/>
      <c r="F4" s="1394"/>
      <c r="G4" s="1394"/>
      <c r="H4" s="1395"/>
      <c r="I4" s="1396">
        <f t="shared" ref="I4:I9" si="0">ROUND(D4*E4*F4*G4*H4/10000,0)</f>
        <v>0</v>
      </c>
    </row>
    <row r="5" spans="1:9">
      <c r="A5" s="2952"/>
      <c r="B5" s="2953" t="s">
        <v>984</v>
      </c>
      <c r="C5" s="2953"/>
      <c r="D5" s="1393"/>
      <c r="E5" s="1391"/>
      <c r="F5" s="1394"/>
      <c r="G5" s="1394"/>
      <c r="H5" s="1395"/>
      <c r="I5" s="1396">
        <f t="shared" si="0"/>
        <v>0</v>
      </c>
    </row>
    <row r="6" spans="1:9">
      <c r="A6" s="2952"/>
      <c r="B6" s="2953" t="s">
        <v>985</v>
      </c>
      <c r="C6" s="2953"/>
      <c r="D6" s="1393"/>
      <c r="E6" s="1391"/>
      <c r="F6" s="1394"/>
      <c r="G6" s="1394"/>
      <c r="H6" s="1395"/>
      <c r="I6" s="1396">
        <f t="shared" si="0"/>
        <v>0</v>
      </c>
    </row>
    <row r="7" spans="1:9">
      <c r="A7" s="2952"/>
      <c r="B7" s="2953" t="s">
        <v>986</v>
      </c>
      <c r="C7" s="2953"/>
      <c r="D7" s="1393"/>
      <c r="E7" s="1391"/>
      <c r="F7" s="1394"/>
      <c r="G7" s="1394"/>
      <c r="H7" s="1395"/>
      <c r="I7" s="1396">
        <f t="shared" si="0"/>
        <v>0</v>
      </c>
    </row>
    <row r="8" spans="1:9">
      <c r="A8" s="2952"/>
      <c r="B8" s="2953" t="s">
        <v>987</v>
      </c>
      <c r="C8" s="2953"/>
      <c r="D8" s="1393"/>
      <c r="E8" s="1391"/>
      <c r="F8" s="1394"/>
      <c r="G8" s="1394"/>
      <c r="H8" s="1395"/>
      <c r="I8" s="1396">
        <f t="shared" si="0"/>
        <v>0</v>
      </c>
    </row>
    <row r="9" spans="1:9">
      <c r="A9" s="2952"/>
      <c r="B9" s="2953" t="s">
        <v>988</v>
      </c>
      <c r="C9" s="2953"/>
      <c r="D9" s="1393"/>
      <c r="E9" s="1391"/>
      <c r="F9" s="1394"/>
      <c r="G9" s="1394"/>
      <c r="H9" s="1395"/>
      <c r="I9" s="1396">
        <f t="shared" si="0"/>
        <v>0</v>
      </c>
    </row>
    <row r="10" spans="1:9">
      <c r="A10" s="2952"/>
      <c r="B10" s="2954" t="s">
        <v>989</v>
      </c>
      <c r="C10" s="2954"/>
      <c r="D10" s="1397">
        <v>527</v>
      </c>
      <c r="E10" s="1397" t="e">
        <f>ROUND(D1*10000/D10/H9,0)</f>
        <v>#DIV/0!</v>
      </c>
      <c r="F10" s="1398"/>
      <c r="G10" s="1398"/>
      <c r="H10" s="1399"/>
      <c r="I10" s="1400">
        <f>SUM(I3:I9)</f>
        <v>0</v>
      </c>
    </row>
    <row r="11" spans="1:9" ht="14.25">
      <c r="A11" s="2952" t="s">
        <v>1027</v>
      </c>
      <c r="B11" s="2953" t="s">
        <v>990</v>
      </c>
      <c r="C11" s="2953"/>
      <c r="D11" s="1393" t="s">
        <v>991</v>
      </c>
      <c r="E11" s="1393" t="s">
        <v>992</v>
      </c>
      <c r="F11" s="1394" t="s">
        <v>993</v>
      </c>
      <c r="G11" s="1394" t="s">
        <v>980</v>
      </c>
      <c r="H11" s="1401" t="s">
        <v>994</v>
      </c>
      <c r="I11" s="1392" t="s">
        <v>981</v>
      </c>
    </row>
    <row r="12" spans="1:9">
      <c r="A12" s="2952"/>
      <c r="B12" s="2953" t="s">
        <v>995</v>
      </c>
      <c r="C12" s="2953"/>
      <c r="D12" s="1393"/>
      <c r="E12" s="1393"/>
      <c r="F12" s="1394"/>
      <c r="G12" s="1395"/>
      <c r="H12" s="1402"/>
      <c r="I12" s="1392">
        <f>ROUND(D12*E12*F12*G12/10000,0)</f>
        <v>0</v>
      </c>
    </row>
    <row r="13" spans="1:9">
      <c r="A13" s="2952"/>
      <c r="B13" s="2953" t="s">
        <v>996</v>
      </c>
      <c r="C13" s="2953"/>
      <c r="D13" s="1393"/>
      <c r="E13" s="1393"/>
      <c r="F13" s="1394"/>
      <c r="G13" s="1395"/>
      <c r="H13" s="1402"/>
      <c r="I13" s="1392">
        <f>ROUND(D13*E13*F13*G13/10000,0)</f>
        <v>0</v>
      </c>
    </row>
    <row r="14" spans="1:9">
      <c r="A14" s="2952"/>
      <c r="B14" s="2953" t="s">
        <v>997</v>
      </c>
      <c r="C14" s="2953"/>
      <c r="D14" s="1393"/>
      <c r="E14" s="1393"/>
      <c r="F14" s="1394"/>
      <c r="G14" s="1395"/>
      <c r="H14" s="1402"/>
      <c r="I14" s="1392">
        <f>ROUND(D14*E14*F14*G14/10000,0)</f>
        <v>0</v>
      </c>
    </row>
    <row r="15" spans="1:9">
      <c r="A15" s="2952"/>
      <c r="B15" s="2954" t="s">
        <v>989</v>
      </c>
      <c r="C15" s="2954"/>
      <c r="D15" s="1397"/>
      <c r="E15" s="1397">
        <f>SUM(E12:E14)</f>
        <v>0</v>
      </c>
      <c r="F15" s="1398"/>
      <c r="G15" s="1395"/>
      <c r="H15" s="1402"/>
      <c r="I15" s="1403">
        <f>SUM(I12:I14)</f>
        <v>0</v>
      </c>
    </row>
    <row r="16" spans="1:9" ht="24">
      <c r="A16" s="2952" t="s">
        <v>1028</v>
      </c>
      <c r="B16" s="2953" t="s">
        <v>998</v>
      </c>
      <c r="C16" s="2953"/>
      <c r="D16" s="1393" t="s">
        <v>976</v>
      </c>
      <c r="E16" s="1404" t="s">
        <v>999</v>
      </c>
      <c r="F16" s="1394" t="s">
        <v>1000</v>
      </c>
      <c r="G16" s="1395" t="s">
        <v>980</v>
      </c>
      <c r="H16" s="1401" t="s">
        <v>994</v>
      </c>
      <c r="I16" s="1392" t="s">
        <v>981</v>
      </c>
    </row>
    <row r="17" spans="1:9" ht="14.25">
      <c r="A17" s="2952"/>
      <c r="B17" s="2953" t="s">
        <v>1001</v>
      </c>
      <c r="C17" s="2953"/>
      <c r="D17" s="1393"/>
      <c r="E17" s="1393"/>
      <c r="F17" s="1394"/>
      <c r="G17" s="1395"/>
      <c r="H17" s="1405"/>
      <c r="I17" s="1406">
        <f>ROUND(D17*E17*F17*G17/10000,0)</f>
        <v>0</v>
      </c>
    </row>
    <row r="18" spans="1:9" ht="14.25">
      <c r="A18" s="2952"/>
      <c r="B18" s="2953" t="s">
        <v>1002</v>
      </c>
      <c r="C18" s="2953"/>
      <c r="D18" s="1393"/>
      <c r="E18" s="1393"/>
      <c r="F18" s="1394"/>
      <c r="G18" s="1395"/>
      <c r="H18" s="1405"/>
      <c r="I18" s="1406">
        <f>ROUND(D18*E18*F18*G18/10000,0)</f>
        <v>0</v>
      </c>
    </row>
    <row r="19" spans="1:9" ht="14.25">
      <c r="A19" s="2952"/>
      <c r="B19" s="2953" t="s">
        <v>1003</v>
      </c>
      <c r="C19" s="2953"/>
      <c r="D19" s="1393"/>
      <c r="E19" s="1393"/>
      <c r="F19" s="1394"/>
      <c r="G19" s="1395"/>
      <c r="H19" s="1405"/>
      <c r="I19" s="1406">
        <f>ROUND(D19*E19*F19*G19/10000,0)</f>
        <v>0</v>
      </c>
    </row>
    <row r="20" spans="1:9">
      <c r="A20" s="2952"/>
      <c r="B20" s="2954" t="s">
        <v>989</v>
      </c>
      <c r="C20" s="2954"/>
      <c r="D20" s="1397">
        <f>SUM(D17:D19)</f>
        <v>0</v>
      </c>
      <c r="E20" s="1397"/>
      <c r="F20" s="1398"/>
      <c r="G20" s="1395"/>
      <c r="H20" s="1402"/>
      <c r="I20" s="1403">
        <f>SUM(I17:I19)</f>
        <v>0</v>
      </c>
    </row>
    <row r="21" spans="1:9">
      <c r="A21" s="2952" t="s">
        <v>1029</v>
      </c>
      <c r="B21" s="2956"/>
      <c r="C21" s="2956"/>
      <c r="D21" s="2956"/>
      <c r="E21" s="2956"/>
      <c r="F21" s="2956"/>
      <c r="G21" s="2956"/>
      <c r="H21" s="1407">
        <v>0.1</v>
      </c>
      <c r="I21" s="1400">
        <f>ROUND(I10*H21,0)</f>
        <v>0</v>
      </c>
    </row>
    <row r="22" spans="1:9" ht="14.25">
      <c r="A22" s="2957" t="s">
        <v>1030</v>
      </c>
      <c r="B22" s="2958"/>
      <c r="C22" s="2959"/>
      <c r="D22" s="1408" t="s">
        <v>1004</v>
      </c>
      <c r="E22" s="1408" t="s">
        <v>1005</v>
      </c>
      <c r="F22" s="1409" t="s">
        <v>980</v>
      </c>
      <c r="G22" s="1409" t="s">
        <v>1006</v>
      </c>
      <c r="H22" s="1401" t="s">
        <v>994</v>
      </c>
      <c r="I22" s="1392" t="s">
        <v>981</v>
      </c>
    </row>
    <row r="23" spans="1:9" ht="14.25" thickBot="1">
      <c r="A23" s="2960"/>
      <c r="B23" s="2961"/>
      <c r="C23" s="2962"/>
      <c r="D23" s="1410"/>
      <c r="E23" s="1410"/>
      <c r="F23" s="1410"/>
      <c r="G23" s="1411"/>
      <c r="H23" s="1412"/>
      <c r="I23" s="1413">
        <f>ROUND(E23*D23*F23*(1-G23)/10000,0)</f>
        <v>0</v>
      </c>
    </row>
    <row r="26" spans="1:9">
      <c r="A26" s="1414" t="s">
        <v>1007</v>
      </c>
      <c r="B26" s="1414"/>
      <c r="C26" s="1414"/>
      <c r="D26" s="1414"/>
      <c r="E26" s="2963">
        <f>C27-C30-C31-C32</f>
        <v>0</v>
      </c>
      <c r="F26" s="2963"/>
      <c r="G26" s="2963"/>
      <c r="H26" s="1835" t="s">
        <v>1223</v>
      </c>
    </row>
    <row r="27" spans="1:9">
      <c r="A27" s="1415">
        <v>1</v>
      </c>
      <c r="B27" s="1416" t="s">
        <v>1008</v>
      </c>
      <c r="C27" s="1416">
        <f>C28+C29</f>
        <v>0</v>
      </c>
      <c r="D27" s="1416"/>
      <c r="E27" s="2964"/>
      <c r="F27" s="2964"/>
      <c r="G27" s="2964"/>
    </row>
    <row r="28" spans="1:9">
      <c r="A28" s="1417" t="s">
        <v>1009</v>
      </c>
      <c r="B28" s="1416" t="s">
        <v>1010</v>
      </c>
      <c r="C28" s="1416"/>
      <c r="D28" s="1416"/>
      <c r="E28" s="2964"/>
      <c r="F28" s="2964"/>
      <c r="G28" s="2964"/>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55"/>
      <c r="F32" s="2955"/>
      <c r="G32" s="2955"/>
    </row>
    <row r="33" spans="1:7" hidden="1">
      <c r="A33" s="2965" t="s">
        <v>1019</v>
      </c>
      <c r="B33" s="2966"/>
      <c r="C33" s="2966"/>
      <c r="D33" s="2967"/>
      <c r="E33" s="2963"/>
      <c r="F33" s="2963"/>
      <c r="G33" s="2963"/>
    </row>
    <row r="34" spans="1:7" hidden="1">
      <c r="A34" s="1419">
        <v>1</v>
      </c>
      <c r="B34" s="1416" t="s">
        <v>1020</v>
      </c>
      <c r="C34" s="1416"/>
      <c r="D34" s="1416"/>
      <c r="E34" s="2964"/>
      <c r="F34" s="2964"/>
      <c r="G34" s="2964"/>
    </row>
    <row r="35" spans="1:7" hidden="1">
      <c r="A35" s="1419">
        <v>2</v>
      </c>
      <c r="B35" s="1416" t="s">
        <v>1021</v>
      </c>
      <c r="C35" s="1416"/>
      <c r="D35" s="1416"/>
      <c r="E35" s="2964"/>
      <c r="F35" s="2964"/>
      <c r="G35" s="2964"/>
    </row>
    <row r="36" spans="1:7" hidden="1">
      <c r="A36" s="1419">
        <v>3</v>
      </c>
      <c r="B36" s="1416" t="s">
        <v>1022</v>
      </c>
      <c r="C36" s="1416"/>
      <c r="D36" s="1416"/>
      <c r="E36" s="2964"/>
      <c r="F36" s="2964"/>
      <c r="G36" s="2964"/>
    </row>
    <row r="37" spans="1:7" hidden="1">
      <c r="A37" s="1419">
        <v>4</v>
      </c>
      <c r="B37" s="1416" t="s">
        <v>1023</v>
      </c>
      <c r="C37" s="1416"/>
      <c r="D37" s="1416"/>
      <c r="E37" s="2964"/>
      <c r="F37" s="2964"/>
      <c r="G37" s="2964"/>
    </row>
    <row r="38" spans="1:7" hidden="1">
      <c r="A38" s="2965" t="s">
        <v>1024</v>
      </c>
      <c r="B38" s="2966"/>
      <c r="C38" s="2966"/>
      <c r="D38" s="2967"/>
      <c r="E38" s="2963"/>
      <c r="F38" s="2963"/>
      <c r="G38" s="296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F31" sqref="F3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 ca="1">B23</f>
        <v>28020963</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f ca="1">B24</f>
        <v>32928</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71" t="s">
        <v>2309</v>
      </c>
      <c r="D4" s="2972"/>
      <c r="E4" s="2972"/>
      <c r="F4" s="2972"/>
      <c r="G4" s="2972"/>
      <c r="H4" s="2972"/>
      <c r="I4" s="2972"/>
      <c r="J4" s="2972"/>
      <c r="K4" s="2972"/>
      <c r="L4" s="2972"/>
      <c r="M4" s="2972"/>
      <c r="N4" s="2972"/>
      <c r="O4" s="2972"/>
      <c r="P4" s="2972"/>
      <c r="Q4" s="2972"/>
      <c r="R4" s="2972"/>
      <c r="S4" s="2973"/>
      <c r="T4" s="679" t="s">
        <v>2310</v>
      </c>
      <c r="U4" s="1314"/>
      <c r="V4" s="1314"/>
      <c r="X4" s="1314"/>
      <c r="Y4" s="1314"/>
    </row>
    <row r="5" spans="1:44" s="693" customFormat="1">
      <c r="A5" s="1324"/>
      <c r="B5" s="688" t="s">
        <v>2311</v>
      </c>
      <c r="C5" s="689" t="str">
        <f t="shared" ref="C5:L5" si="0">C6&amp;"(含)"&amp;"-"&amp;D6</f>
        <v>0(含)-100</v>
      </c>
      <c r="D5" s="690" t="str">
        <f t="shared" si="0"/>
        <v>100(含)-300</v>
      </c>
      <c r="E5" s="690" t="str">
        <f t="shared" si="0"/>
        <v>300(含)-500</v>
      </c>
      <c r="F5" s="690" t="str">
        <f t="shared" si="0"/>
        <v>500(含)-800</v>
      </c>
      <c r="G5" s="690" t="str">
        <f t="shared" si="0"/>
        <v>800(含)-1000</v>
      </c>
      <c r="H5" s="690" t="str">
        <f t="shared" si="0"/>
        <v>1000(含)-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v>0</v>
      </c>
      <c r="D6" s="696">
        <v>100</v>
      </c>
      <c r="E6" s="696">
        <v>300</v>
      </c>
      <c r="F6" s="696">
        <v>500</v>
      </c>
      <c r="G6" s="696">
        <v>800</v>
      </c>
      <c r="H6" s="696">
        <v>1000</v>
      </c>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v>100</v>
      </c>
      <c r="D7" s="1166">
        <v>102</v>
      </c>
      <c r="E7" s="1166">
        <v>104</v>
      </c>
      <c r="F7" s="1166">
        <v>102</v>
      </c>
      <c r="G7" s="1166">
        <v>100</v>
      </c>
      <c r="H7" s="1166">
        <v>100</v>
      </c>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4" t="s">
        <v>2318</v>
      </c>
      <c r="B20" s="2375" t="s">
        <v>2319</v>
      </c>
      <c r="C20" s="1328">
        <v>-1</v>
      </c>
      <c r="D20" s="1329">
        <v>1</v>
      </c>
      <c r="E20" s="1329">
        <v>2</v>
      </c>
      <c r="F20" s="1329">
        <v>3</v>
      </c>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v>55</v>
      </c>
      <c r="D21" s="1341">
        <v>100</v>
      </c>
      <c r="E21" s="1341">
        <v>80</v>
      </c>
      <c r="F21" s="1341">
        <v>70</v>
      </c>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6"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 ca="1">IF(F23="——",IF(C23="万元",T25,S25),IF(C23="万元",T25-H23,S25-H23))</f>
        <v>28020963</v>
      </c>
      <c r="C23" s="2377" t="str">
        <f>'数据-取费表'!B3</f>
        <v>元</v>
      </c>
      <c r="D23" s="85"/>
      <c r="E23" s="85"/>
      <c r="F23" s="2378" t="s">
        <v>1258</v>
      </c>
      <c r="G23" s="1886"/>
      <c r="H23" s="679" t="e">
        <f ca="1">SUMIF(INDIRECT("'"&amp;J23&amp;"'"&amp;"!A:A"),"承租人权益价值",INDIRECT("'"&amp;J23&amp;"'"&amp;"!c:c"))</f>
        <v>#REF!</v>
      </c>
      <c r="I23" s="679" t="str">
        <f>C2</f>
        <v>元</v>
      </c>
      <c r="J23" s="2379"/>
      <c r="K23" s="85"/>
      <c r="L23" s="85"/>
      <c r="M23" s="85"/>
      <c r="N23" s="85"/>
      <c r="O23" s="85"/>
      <c r="P23" s="85"/>
      <c r="Q23" s="85"/>
      <c r="R23" s="770"/>
      <c r="S23" s="54"/>
      <c r="T23" s="54"/>
      <c r="V23" s="1315"/>
      <c r="W23" s="802"/>
      <c r="X23" s="36"/>
      <c r="Y23" s="36"/>
      <c r="Z23" s="802"/>
    </row>
    <row r="24" spans="1:45" ht="15.75">
      <c r="A24" s="2377" t="s">
        <v>2322</v>
      </c>
      <c r="B24" s="309">
        <f ca="1">R25</f>
        <v>32928</v>
      </c>
      <c r="C24" s="1145"/>
      <c r="D24" s="85"/>
      <c r="E24" s="85"/>
      <c r="F24" s="85"/>
      <c r="G24" s="85"/>
      <c r="H24" s="85"/>
      <c r="I24" s="85"/>
      <c r="J24" s="85"/>
      <c r="K24" s="85"/>
      <c r="L24" s="85"/>
      <c r="M24" s="85"/>
      <c r="N24" s="85"/>
      <c r="O24" s="85"/>
      <c r="P24" s="85"/>
      <c r="Q24" s="85"/>
      <c r="R24" s="770"/>
      <c r="S24" s="14" t="s">
        <v>2323</v>
      </c>
      <c r="T24" s="1903" t="s">
        <v>2324</v>
      </c>
      <c r="U24" s="2380" t="s">
        <v>2325</v>
      </c>
      <c r="V24" s="1344"/>
      <c r="W24" s="2381" t="s">
        <v>2326</v>
      </c>
      <c r="X24" s="2380" t="s">
        <v>2327</v>
      </c>
      <c r="Y24" s="1344"/>
      <c r="Z24" s="2382" t="s">
        <v>2326</v>
      </c>
    </row>
    <row r="25" spans="1:45">
      <c r="A25" s="335" t="s">
        <v>2328</v>
      </c>
      <c r="B25" s="14">
        <f>SUM(B27:B10000)</f>
        <v>850.98</v>
      </c>
      <c r="C25" s="2968" t="s">
        <v>45</v>
      </c>
      <c r="D25" s="2969"/>
      <c r="E25" s="2969"/>
      <c r="F25" s="2969"/>
      <c r="G25" s="2969"/>
      <c r="H25" s="2969"/>
      <c r="I25" s="2969"/>
      <c r="J25" s="2969"/>
      <c r="K25" s="2969"/>
      <c r="L25" s="2969"/>
      <c r="M25" s="2969"/>
      <c r="N25" s="2969"/>
      <c r="O25" s="2969"/>
      <c r="P25" s="2969"/>
      <c r="Q25" s="2970"/>
      <c r="R25" s="704">
        <f ca="1">IF(C23="万元",ROUND(T25*10000/B25,0),ROUND(S25/B25,0))</f>
        <v>32928</v>
      </c>
      <c r="S25" s="14">
        <f ca="1">SUM(S27:S10000)</f>
        <v>28020963</v>
      </c>
      <c r="T25" s="14">
        <f ca="1">SUM(T27:T10000)</f>
        <v>2802</v>
      </c>
      <c r="U25" s="19">
        <f>SUM(U27:U10000)</f>
        <v>0</v>
      </c>
      <c r="V25" s="19">
        <f>SUM(V27:V10000)</f>
        <v>0</v>
      </c>
      <c r="W25" s="14"/>
      <c r="X25" s="19">
        <f>SUM(X27:X10000)</f>
        <v>0</v>
      </c>
      <c r="Y25" s="19">
        <f>SUM(Y27:Y10000)</f>
        <v>0</v>
      </c>
      <c r="Z25" s="2383"/>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4" t="s">
        <v>2335</v>
      </c>
      <c r="W26" s="2385" t="s">
        <v>2336</v>
      </c>
      <c r="X26" s="1889" t="s">
        <v>2334</v>
      </c>
      <c r="Y26" s="2384" t="s">
        <v>2335</v>
      </c>
      <c r="Z26" s="2385"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339.05</v>
      </c>
      <c r="C27" s="707">
        <v>1</v>
      </c>
      <c r="D27" s="708"/>
      <c r="E27" s="707">
        <v>1</v>
      </c>
      <c r="F27" s="708"/>
      <c r="G27" s="707">
        <v>1</v>
      </c>
      <c r="H27" s="708"/>
      <c r="I27" s="707">
        <v>1</v>
      </c>
      <c r="J27" s="708"/>
      <c r="K27" s="707">
        <v>1</v>
      </c>
      <c r="L27" s="708"/>
      <c r="M27" s="707">
        <v>1</v>
      </c>
      <c r="N27" s="708"/>
      <c r="O27" s="707">
        <v>1</v>
      </c>
      <c r="P27" s="708">
        <v>1</v>
      </c>
      <c r="Q27" s="707">
        <v>1</v>
      </c>
      <c r="R27" s="1194">
        <f ca="1">结果表!G20</f>
        <v>45564</v>
      </c>
      <c r="S27" s="707">
        <f ca="1">ROUND(R27*B27,0)</f>
        <v>15448474</v>
      </c>
      <c r="T27" s="707">
        <f ca="1">ROUND(R27*B27/10000,0)</f>
        <v>1545</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v>511.93</v>
      </c>
      <c r="C28" s="14">
        <f t="shared" ref="C28:C91" si="14">IF(B28="",1,(LOOKUP(B28,$6:$6,$7:$7)-LOOKUP($B$27,$6:$6,$7:$7)+100)/100)</f>
        <v>0.98</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v>-1</v>
      </c>
      <c r="Q28" s="14">
        <f t="shared" ref="Q28:Q91" si="21">(SUMIF($20:$20,P28,$21:$21)-SUMIF($20:$20,$P$27,$21:$21)+100)/100</f>
        <v>0.55000000000000004</v>
      </c>
      <c r="R28" s="704">
        <f ca="1">IF(B28="",0,ROUND($R$27*C28*E28*G28*I28*K28*M28*O28*Q28,0))</f>
        <v>24559</v>
      </c>
      <c r="S28" s="335">
        <f ca="1">ROUND(R28*B28,0)</f>
        <v>12572489</v>
      </c>
      <c r="T28" s="1183">
        <f ca="1">ROUND(R28*B28/10000,0)</f>
        <v>1257</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0</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0</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0</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0</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0</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0</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0</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0</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0</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0</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0</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0</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0</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0</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0</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0</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0</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0</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0</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0</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0</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0</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0</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0</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0</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0</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0</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0</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0</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0</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0</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0</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0</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0</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0</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0</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0</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0</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0</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0</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0</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0</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0</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0</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0</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0</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0</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0</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0</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0</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0</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0</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0</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0</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0</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0</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0</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0</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0</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0</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0</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0</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0</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0</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0</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0</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0</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0</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0</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0</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0</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0</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0</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0</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0</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0</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0</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0</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0</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0</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0</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0</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0</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0</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0</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0</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0</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0</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0</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0</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0</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0</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0</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0</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0</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0</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0</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0</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0</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0</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0</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0</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0</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0</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0</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0</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0</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0</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0</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0</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0</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0</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0</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0</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0</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0</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0</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0</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0</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0</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0</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0</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0</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0</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0</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0</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0</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0</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0</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0</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0</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0</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0</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0</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0</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0</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0</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0</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0</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0</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0</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0</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0</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0</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0</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0</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0</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0</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0</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0</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0</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0</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0</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0</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0</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0</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0</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0</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0</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0</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0</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0</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0</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0</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0</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0</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0</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0</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0</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0</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0</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0</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0</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0</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0</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0</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0</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0</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0</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0</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0</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0</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0</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0</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0</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0</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0</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0</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0</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0</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0</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0</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0</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0</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0</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0</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0</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0</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0</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0</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0</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0</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0</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0</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0</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0</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0</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0</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0</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0</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0</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0</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0</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0</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0</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0</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0</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0</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0</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0</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0</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0</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0</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0</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0</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0</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0</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0</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0</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0</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0</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0</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0</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0</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0</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0</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0</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0</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0</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0</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0</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0</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0</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0</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0</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0</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0</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0</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0</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0</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0</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0</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0</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0</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0</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0</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0</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0</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0</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0</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0</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0</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0</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0</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0</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0</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0</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0</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0</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0</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0</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0</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0</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0</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0</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0</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0</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0</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0</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0</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0</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0</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0</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0</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0</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0</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0</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0</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0</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0</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0</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0</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0</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0</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0</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0</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0</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0</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0</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0</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0</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0</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0</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0</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0</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0</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0</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0</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0</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0</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0</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0</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0</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0</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0</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0</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0</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0</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0</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0</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0</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0</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0</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0</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0</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0</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0</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0</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0</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0</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0</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0</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0</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0</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0</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0</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0</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0</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0</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0</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0</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0</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0</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0</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0</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0</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0</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0</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0</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0</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0</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0</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0</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0</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0</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0</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0</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0</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0</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0</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0</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0</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0</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0</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0</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0</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0</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0</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0</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0</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0</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0</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0</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0</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0</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0</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0</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0</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0</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0</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0</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0</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0</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0</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0</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0</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0</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0</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0</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0</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0</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0</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0</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0</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0</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0</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0</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0</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0</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0</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0</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0</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0</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0</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0</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0</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0</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0</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0</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0</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0</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0</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0</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0</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0</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0</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0</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0</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0</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0</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0</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0</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0</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0</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0</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0</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0</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0</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0</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0</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0</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0</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0</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0</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0</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0</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0</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0</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0</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0</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0</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0</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0</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0</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0</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0</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0</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0</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0</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0</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0</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0</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0</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0</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0</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0</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0</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0</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0</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0</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0</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0</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0</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0</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0</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0</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0</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0</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0</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0</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0</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0</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0</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0</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0</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0</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0</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0</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0</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0</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0</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0</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0</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0</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0</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0</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0</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0</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0</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0</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0</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0</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0</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0</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0</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0</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0</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0</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0</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c r="D1" s="2386"/>
      <c r="E1" s="2387"/>
      <c r="F1" s="1746" t="s">
        <v>2340</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3" customFormat="1" ht="28.5" customHeight="1" thickTop="1">
      <c r="A2" s="1733" t="s">
        <v>2008</v>
      </c>
      <c r="B2" s="1731" t="e">
        <f ca="1">IF(D2="——",IF(C2="元",ROUND(C49*D3,0),ROUND(C49*D3/10000,0)),IF(C2="元",ROUND(C49*D3,0),ROUND(C49*D3/10000,0))-E2)</f>
        <v>#DIV/0!</v>
      </c>
      <c r="C2" s="164" t="str">
        <f>'数据-取费表'!B3</f>
        <v>元</v>
      </c>
      <c r="D2" s="2389"/>
      <c r="E2" s="1849" t="e">
        <f ca="1">SUMIF(INDIRECT("'"&amp;G2&amp;"'"&amp;"!A:A"),"承租人权益价值",INDIRECT("'"&amp;G2&amp;"'"&amp;"!c:c"))</f>
        <v>#REF!</v>
      </c>
      <c r="F2" s="2390" t="str">
        <f>C2</f>
        <v>元</v>
      </c>
      <c r="G2" s="2391"/>
      <c r="H2" s="981"/>
      <c r="I2" s="981"/>
      <c r="J2" s="981"/>
      <c r="K2" s="2392"/>
      <c r="L2" s="2393"/>
      <c r="M2" s="2394"/>
      <c r="N2" s="2394"/>
      <c r="O2" s="2394"/>
      <c r="P2" s="2395"/>
      <c r="Q2" s="2396"/>
      <c r="R2" s="2396"/>
      <c r="S2" s="2396"/>
      <c r="T2" s="2396"/>
      <c r="U2" s="2396"/>
      <c r="V2" s="2396"/>
      <c r="W2" s="2396"/>
      <c r="X2" s="2396"/>
      <c r="Y2" s="2396"/>
      <c r="Z2" s="2396"/>
      <c r="AA2" s="2396"/>
      <c r="AB2" s="2396"/>
      <c r="AC2" s="2397"/>
    </row>
    <row r="3" spans="1:29" s="373" customFormat="1" ht="28.5" customHeight="1" thickBot="1">
      <c r="A3" s="168" t="s">
        <v>2009</v>
      </c>
      <c r="B3" s="379" t="e">
        <f ca="1">ROUND(IF(D2="——",C49,IF(C2="万元",B2*10000/D3,B2/D3)),0)</f>
        <v>#DIV/0!</v>
      </c>
      <c r="C3" s="380" t="s">
        <v>2341</v>
      </c>
      <c r="D3" s="379">
        <f>IF(C1="仅计算典型户型",'数据-取费表'!E5,'数据-取费表'!B5)</f>
        <v>339.05</v>
      </c>
      <c r="E3" s="981"/>
      <c r="F3" s="2398"/>
      <c r="G3" s="981"/>
      <c r="H3" s="981"/>
      <c r="I3" s="981"/>
      <c r="J3" s="981"/>
      <c r="K3" s="2392"/>
      <c r="L3" s="2393"/>
      <c r="M3" s="2394"/>
      <c r="N3" s="2394"/>
      <c r="O3" s="2394"/>
      <c r="P3" s="2399"/>
      <c r="Q3" s="2396"/>
      <c r="R3" s="2396"/>
      <c r="S3" s="2396"/>
      <c r="T3" s="2396"/>
      <c r="U3" s="2396"/>
      <c r="V3" s="2396"/>
      <c r="W3" s="2396"/>
      <c r="X3" s="2396"/>
      <c r="Y3" s="2396"/>
      <c r="Z3" s="2396"/>
      <c r="AA3" s="2396"/>
      <c r="AB3" s="2396"/>
      <c r="AC3" s="1360"/>
    </row>
    <row r="4" spans="1:29" ht="15">
      <c r="A4" s="381" t="s">
        <v>2342</v>
      </c>
      <c r="B4" s="382"/>
      <c r="C4" s="2977" t="s">
        <v>2343</v>
      </c>
      <c r="D4" s="2978"/>
      <c r="E4" s="2979" t="s">
        <v>2344</v>
      </c>
      <c r="F4" s="2980"/>
      <c r="G4" s="2977" t="s">
        <v>2345</v>
      </c>
      <c r="H4" s="2978"/>
      <c r="I4" s="2977" t="s">
        <v>2346</v>
      </c>
      <c r="J4" s="2978"/>
      <c r="K4" s="2400" t="s">
        <v>2347</v>
      </c>
      <c r="L4" s="1245"/>
      <c r="M4" s="1246"/>
      <c r="N4" s="1246"/>
      <c r="O4" s="1246"/>
      <c r="P4" s="2981" t="s">
        <v>2348</v>
      </c>
      <c r="Q4" s="2982"/>
      <c r="R4" s="2987" t="s">
        <v>2344</v>
      </c>
      <c r="S4" s="2988"/>
      <c r="T4" s="2987" t="s">
        <v>2345</v>
      </c>
      <c r="U4" s="2988"/>
      <c r="V4" s="2993" t="s">
        <v>2346</v>
      </c>
      <c r="W4" s="2993"/>
      <c r="X4" s="1906"/>
      <c r="Y4" s="2987" t="s">
        <v>2348</v>
      </c>
      <c r="Z4" s="2988"/>
      <c r="AA4" s="2974" t="s">
        <v>2344</v>
      </c>
      <c r="AB4" s="2974" t="s">
        <v>2345</v>
      </c>
      <c r="AC4" s="2974" t="s">
        <v>2346</v>
      </c>
    </row>
    <row r="5" spans="1:29" ht="15">
      <c r="A5" s="384"/>
      <c r="B5" s="385"/>
      <c r="C5" s="2996" t="s">
        <v>2349</v>
      </c>
      <c r="D5" s="2997"/>
      <c r="E5" s="2994" t="s">
        <v>2350</v>
      </c>
      <c r="F5" s="2995"/>
      <c r="G5" s="2996" t="s">
        <v>2351</v>
      </c>
      <c r="H5" s="2997"/>
      <c r="I5" s="2996" t="s">
        <v>2352</v>
      </c>
      <c r="J5" s="2997"/>
      <c r="K5" s="2401"/>
      <c r="L5" s="1245"/>
      <c r="M5" s="1246"/>
      <c r="N5" s="1246"/>
      <c r="O5" s="1246"/>
      <c r="P5" s="2983"/>
      <c r="Q5" s="2984"/>
      <c r="R5" s="2989"/>
      <c r="S5" s="2990"/>
      <c r="T5" s="2989"/>
      <c r="U5" s="2990"/>
      <c r="V5" s="2993"/>
      <c r="W5" s="2993"/>
      <c r="X5" s="1906"/>
      <c r="Y5" s="2989"/>
      <c r="Z5" s="2990"/>
      <c r="AA5" s="2975"/>
      <c r="AB5" s="2975"/>
      <c r="AC5" s="2975"/>
    </row>
    <row r="6" spans="1:29" ht="15.75" thickBot="1">
      <c r="A6" s="386"/>
      <c r="B6" s="387"/>
      <c r="C6" s="2998" t="s">
        <v>2353</v>
      </c>
      <c r="D6" s="2999"/>
      <c r="E6" s="3000" t="s">
        <v>2353</v>
      </c>
      <c r="F6" s="3001"/>
      <c r="G6" s="2998" t="s">
        <v>2353</v>
      </c>
      <c r="H6" s="2999"/>
      <c r="I6" s="2998" t="s">
        <v>2353</v>
      </c>
      <c r="J6" s="2999"/>
      <c r="K6" s="2401" t="s">
        <v>2354</v>
      </c>
      <c r="L6" s="1245"/>
      <c r="M6" s="1246"/>
      <c r="N6" s="1246"/>
      <c r="O6" s="1246"/>
      <c r="P6" s="2985"/>
      <c r="Q6" s="2986"/>
      <c r="R6" s="2989"/>
      <c r="S6" s="2990"/>
      <c r="T6" s="2991"/>
      <c r="U6" s="2992"/>
      <c r="V6" s="2993"/>
      <c r="W6" s="2993"/>
      <c r="X6" s="1906"/>
      <c r="Y6" s="2991"/>
      <c r="Z6" s="2992"/>
      <c r="AA6" s="2976"/>
      <c r="AB6" s="2976"/>
      <c r="AC6" s="2976"/>
    </row>
    <row r="7" spans="1:29" s="35" customFormat="1" ht="15.75" thickBot="1">
      <c r="A7" s="388" t="s">
        <v>2355</v>
      </c>
      <c r="B7" s="389"/>
      <c r="C7" s="390">
        <f>'数据-取费表'!B2</f>
        <v>42990</v>
      </c>
      <c r="D7" s="391">
        <v>100</v>
      </c>
      <c r="E7" s="392"/>
      <c r="F7" s="393">
        <f>SUMIF(58:58,YEAR(E7)&amp;"-"&amp;MONTH(E7),59:59)</f>
        <v>0</v>
      </c>
      <c r="G7" s="392"/>
      <c r="H7" s="391">
        <f>SUMIF(58:58,YEAR(G7)&amp;"-"&amp;MONTH(G7),59:59)</f>
        <v>0</v>
      </c>
      <c r="I7" s="392"/>
      <c r="J7" s="391">
        <f>SUMIF(58:58,YEAR(I7)&amp;"-"&amp;MONTH(I7),59:59)</f>
        <v>0</v>
      </c>
      <c r="K7" s="2402"/>
      <c r="L7" s="1247"/>
      <c r="M7" s="1248"/>
      <c r="N7" s="1248"/>
      <c r="O7" s="1248"/>
      <c r="P7" s="3009" t="s">
        <v>2356</v>
      </c>
      <c r="Q7" s="3011"/>
      <c r="R7" s="750" t="s">
        <v>34</v>
      </c>
      <c r="S7" s="751">
        <f t="shared" ref="S7:S15" si="0">F7</f>
        <v>0</v>
      </c>
      <c r="T7" s="750" t="s">
        <v>34</v>
      </c>
      <c r="U7" s="751">
        <f t="shared" ref="U7:U15" si="1">H7</f>
        <v>0</v>
      </c>
      <c r="V7" s="750" t="s">
        <v>34</v>
      </c>
      <c r="W7" s="751">
        <f t="shared" ref="W7:W15" si="2">J7</f>
        <v>0</v>
      </c>
      <c r="X7" s="752"/>
      <c r="Y7" s="3009" t="s">
        <v>2356</v>
      </c>
      <c r="Z7" s="3010"/>
      <c r="AA7" s="753" t="e">
        <f>D7/F7</f>
        <v>#DIV/0!</v>
      </c>
      <c r="AB7" s="753" t="e">
        <f>D7/H7</f>
        <v>#DIV/0!</v>
      </c>
      <c r="AC7" s="753" t="e">
        <f>D7/J7</f>
        <v>#DIV/0!</v>
      </c>
    </row>
    <row r="8" spans="1:29" s="35" customFormat="1" ht="15.75" thickBot="1">
      <c r="A8" s="388" t="s">
        <v>2357</v>
      </c>
      <c r="B8" s="389"/>
      <c r="C8" s="395" t="s">
        <v>2358</v>
      </c>
      <c r="D8" s="391">
        <v>100</v>
      </c>
      <c r="E8" s="2403"/>
      <c r="F8" s="393">
        <f>SUMIF(61:61,E8,62:62)-SUMIF(61:61,C8,62:62)+100</f>
        <v>0</v>
      </c>
      <c r="G8" s="395"/>
      <c r="H8" s="391">
        <f>SUMIF(61:61,G8,62:62)-SUMIF(61:61,C8,62:62)+100</f>
        <v>0</v>
      </c>
      <c r="I8" s="2403"/>
      <c r="J8" s="391">
        <f>SUMIF(61:61,I8,62:62)-SUMIF(61:61,C8,62:62)+100</f>
        <v>0</v>
      </c>
      <c r="K8" s="2402"/>
      <c r="L8" s="1247"/>
      <c r="M8" s="1248"/>
      <c r="N8" s="1248"/>
      <c r="O8" s="1248"/>
      <c r="P8" s="3009" t="s">
        <v>2359</v>
      </c>
      <c r="Q8" s="3010"/>
      <c r="R8" s="750" t="s">
        <v>34</v>
      </c>
      <c r="S8" s="751">
        <f t="shared" si="0"/>
        <v>0</v>
      </c>
      <c r="T8" s="750" t="s">
        <v>34</v>
      </c>
      <c r="U8" s="751">
        <f t="shared" si="1"/>
        <v>0</v>
      </c>
      <c r="V8" s="750" t="s">
        <v>34</v>
      </c>
      <c r="W8" s="751">
        <f t="shared" si="2"/>
        <v>0</v>
      </c>
      <c r="X8" s="752"/>
      <c r="Y8" s="3009" t="s">
        <v>2359</v>
      </c>
      <c r="Z8" s="3010"/>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400"/>
      <c r="H9" s="51">
        <f>SUMIF(63:63,G9,64:64)-SUMIF(63:63,C9,64:64)+100</f>
        <v>100</v>
      </c>
      <c r="I9" s="400"/>
      <c r="J9" s="51">
        <f>SUMIF(63:63,I9,64:64)-SUMIF(63:63,C9,64:64)+100</f>
        <v>100</v>
      </c>
      <c r="K9" s="2402"/>
      <c r="L9" s="1247"/>
      <c r="M9" s="1248"/>
      <c r="N9" s="1248"/>
      <c r="O9" s="1248"/>
      <c r="P9" s="3012" t="s">
        <v>2362</v>
      </c>
      <c r="Q9" s="1893" t="str">
        <f t="shared" ref="Q9:Q15" si="6">B9</f>
        <v>用途</v>
      </c>
      <c r="R9" s="750" t="s">
        <v>25</v>
      </c>
      <c r="S9" s="751">
        <f t="shared" si="0"/>
        <v>100</v>
      </c>
      <c r="T9" s="750" t="s">
        <v>25</v>
      </c>
      <c r="U9" s="751">
        <f t="shared" si="1"/>
        <v>100</v>
      </c>
      <c r="V9" s="750" t="s">
        <v>25</v>
      </c>
      <c r="W9" s="751">
        <f t="shared" si="2"/>
        <v>100</v>
      </c>
      <c r="X9" s="752"/>
      <c r="Y9" s="282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407"/>
      <c r="L10" s="1250"/>
      <c r="M10" s="1251"/>
      <c r="N10" s="1251"/>
      <c r="O10" s="1251"/>
      <c r="P10" s="3012"/>
      <c r="Q10" s="1893" t="str">
        <f t="shared" si="6"/>
        <v>土地使用年限（年）</v>
      </c>
      <c r="R10" s="750" t="s">
        <v>25</v>
      </c>
      <c r="S10" s="751">
        <f t="shared" si="0"/>
        <v>100</v>
      </c>
      <c r="T10" s="750" t="s">
        <v>25</v>
      </c>
      <c r="U10" s="751">
        <f t="shared" si="1"/>
        <v>100</v>
      </c>
      <c r="V10" s="750" t="s">
        <v>25</v>
      </c>
      <c r="W10" s="751">
        <f t="shared" si="2"/>
        <v>100</v>
      </c>
      <c r="X10" s="752"/>
      <c r="Y10" s="282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407"/>
      <c r="L11" s="1253"/>
      <c r="M11" s="1246"/>
      <c r="N11" s="1246"/>
      <c r="O11" s="1246"/>
      <c r="P11" s="3012"/>
      <c r="Q11" s="1893" t="str">
        <f t="shared" si="6"/>
        <v>容积率</v>
      </c>
      <c r="R11" s="750" t="s">
        <v>28</v>
      </c>
      <c r="S11" s="751" t="e">
        <f t="shared" si="0"/>
        <v>#N/A</v>
      </c>
      <c r="T11" s="750" t="s">
        <v>28</v>
      </c>
      <c r="U11" s="751" t="e">
        <f t="shared" si="1"/>
        <v>#N/A</v>
      </c>
      <c r="V11" s="750" t="s">
        <v>28</v>
      </c>
      <c r="W11" s="751" t="e">
        <f t="shared" si="2"/>
        <v>#N/A</v>
      </c>
      <c r="X11" s="752"/>
      <c r="Y11" s="2825"/>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406">
        <f>SUMIF(70:70,E12,71:71)-SUMIF(70:70,C12,71:71)+100</f>
        <v>100</v>
      </c>
      <c r="G12" s="413"/>
      <c r="H12" s="52">
        <f>SUMIF(70:70,G12,71:71)-SUMIF(70:70,C12,71:71)+100</f>
        <v>100</v>
      </c>
      <c r="I12" s="413"/>
      <c r="J12" s="52">
        <f>SUMIF(70:70,I12,71:71)-SUMIF(70:70,C12,71:71)+100</f>
        <v>100</v>
      </c>
      <c r="K12" s="2405"/>
      <c r="L12" s="1247"/>
      <c r="M12" s="1248"/>
      <c r="N12" s="1248"/>
      <c r="O12" s="1248"/>
      <c r="P12" s="3012"/>
      <c r="Q12" s="1893">
        <f t="shared" si="6"/>
        <v>111</v>
      </c>
      <c r="R12" s="750" t="s">
        <v>28</v>
      </c>
      <c r="S12" s="751">
        <f t="shared" si="0"/>
        <v>100</v>
      </c>
      <c r="T12" s="750" t="s">
        <v>28</v>
      </c>
      <c r="U12" s="751">
        <f t="shared" si="1"/>
        <v>100</v>
      </c>
      <c r="V12" s="750" t="s">
        <v>28</v>
      </c>
      <c r="W12" s="751">
        <f t="shared" si="2"/>
        <v>100</v>
      </c>
      <c r="X12" s="752"/>
      <c r="Y12" s="2825"/>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2405"/>
      <c r="L13" s="1255"/>
      <c r="M13" s="1246"/>
      <c r="N13" s="1246"/>
      <c r="O13" s="1246"/>
      <c r="P13" s="3012"/>
      <c r="Q13" s="1893">
        <f t="shared" si="6"/>
        <v>111</v>
      </c>
      <c r="R13" s="750" t="s">
        <v>28</v>
      </c>
      <c r="S13" s="751">
        <f t="shared" si="0"/>
        <v>100</v>
      </c>
      <c r="T13" s="750" t="s">
        <v>28</v>
      </c>
      <c r="U13" s="751">
        <f t="shared" si="1"/>
        <v>100</v>
      </c>
      <c r="V13" s="750" t="s">
        <v>28</v>
      </c>
      <c r="W13" s="751">
        <f t="shared" si="2"/>
        <v>100</v>
      </c>
      <c r="X13" s="752"/>
      <c r="Y13" s="2825"/>
      <c r="Z13" s="23">
        <f t="shared" si="7"/>
        <v>111</v>
      </c>
      <c r="AA13" s="753">
        <f t="shared" si="3"/>
        <v>1</v>
      </c>
      <c r="AB13" s="753">
        <f t="shared" si="4"/>
        <v>1</v>
      </c>
      <c r="AC13" s="753">
        <f t="shared" si="5"/>
        <v>1</v>
      </c>
    </row>
    <row r="14" spans="1:29" ht="15.75" thickBot="1">
      <c r="A14" s="417"/>
      <c r="B14" s="2406">
        <v>111</v>
      </c>
      <c r="C14" s="2407"/>
      <c r="D14" s="418">
        <v>100</v>
      </c>
      <c r="E14" s="2407"/>
      <c r="F14" s="419">
        <f>SUMIF(74:74,E14,75:75)-SUMIF(74:74,C14,75:75)+100</f>
        <v>100</v>
      </c>
      <c r="G14" s="2407"/>
      <c r="H14" s="418">
        <f>SUMIF(74:74,G14,75:75)-SUMIF(74:74,C14,75:75)+100</f>
        <v>100</v>
      </c>
      <c r="I14" s="2407"/>
      <c r="J14" s="418">
        <f>SUMIF(74:74,I14,75:75)-SUMIF(74:74,C14,75:75)+100</f>
        <v>100</v>
      </c>
      <c r="K14" s="2405"/>
      <c r="L14" s="1255"/>
      <c r="M14" s="1246"/>
      <c r="N14" s="1246"/>
      <c r="O14" s="1246"/>
      <c r="P14" s="3012"/>
      <c r="Q14" s="1893">
        <f t="shared" si="6"/>
        <v>111</v>
      </c>
      <c r="R14" s="750" t="s">
        <v>28</v>
      </c>
      <c r="S14" s="751">
        <f t="shared" si="0"/>
        <v>100</v>
      </c>
      <c r="T14" s="750" t="s">
        <v>28</v>
      </c>
      <c r="U14" s="751">
        <f t="shared" si="1"/>
        <v>100</v>
      </c>
      <c r="V14" s="750" t="s">
        <v>28</v>
      </c>
      <c r="W14" s="751">
        <f t="shared" si="2"/>
        <v>100</v>
      </c>
      <c r="X14" s="752"/>
      <c r="Y14" s="2825"/>
      <c r="Z14" s="23">
        <f t="shared" si="7"/>
        <v>111</v>
      </c>
      <c r="AA14" s="753">
        <f t="shared" si="3"/>
        <v>1</v>
      </c>
      <c r="AB14" s="753">
        <f t="shared" si="4"/>
        <v>1</v>
      </c>
      <c r="AC14" s="753">
        <f t="shared" si="5"/>
        <v>1</v>
      </c>
    </row>
    <row r="15" spans="1:29" ht="99.75">
      <c r="A15" s="420" t="s">
        <v>2366</v>
      </c>
      <c r="B15" s="26" t="s">
        <v>1742</v>
      </c>
      <c r="C15" s="2408" t="str">
        <f>估价对象房地状况!C3</f>
        <v>周边有新街口西里、玉桃园、如意里、冠英园西区等居住社区，综合评价居住社区成熟度好。</v>
      </c>
      <c r="D15" s="421">
        <v>100</v>
      </c>
      <c r="E15" s="422"/>
      <c r="F15" s="423">
        <f>SUMIF(76:76,E16,77:77)-SUMIF(76:76,C16,77:77)+100</f>
        <v>100</v>
      </c>
      <c r="G15" s="424"/>
      <c r="H15" s="421">
        <f>SUMIF(76:76,G16,77:77)-SUMIF(76:76,C16,77:77)+100</f>
        <v>100</v>
      </c>
      <c r="I15" s="422"/>
      <c r="J15" s="421">
        <f>SUMIF(76:76,I16,77:77)-SUMIF(76:76,C16,77:77)+100</f>
        <v>100</v>
      </c>
      <c r="K15" s="425"/>
      <c r="L15" s="1255"/>
      <c r="M15" s="1246"/>
      <c r="N15" s="1246"/>
      <c r="O15" s="1246"/>
      <c r="P15" s="3015" t="s">
        <v>2367</v>
      </c>
      <c r="Q15" s="1905" t="str">
        <f t="shared" si="6"/>
        <v>居住社区成熟度</v>
      </c>
      <c r="R15" s="754" t="s">
        <v>28</v>
      </c>
      <c r="S15" s="755">
        <f t="shared" si="0"/>
        <v>100</v>
      </c>
      <c r="T15" s="754" t="s">
        <v>28</v>
      </c>
      <c r="U15" s="755">
        <f t="shared" si="1"/>
        <v>100</v>
      </c>
      <c r="V15" s="754" t="s">
        <v>28</v>
      </c>
      <c r="W15" s="755">
        <f t="shared" si="2"/>
        <v>100</v>
      </c>
      <c r="X15" s="1906"/>
      <c r="Y15" s="3002" t="s">
        <v>2367</v>
      </c>
      <c r="Z15" s="1908" t="str">
        <f t="shared" si="7"/>
        <v>居住社区成熟度</v>
      </c>
      <c r="AA15" s="1909">
        <f t="shared" si="3"/>
        <v>1</v>
      </c>
      <c r="AB15" s="1909">
        <f t="shared" si="4"/>
        <v>1</v>
      </c>
      <c r="AC15" s="1909">
        <f t="shared" si="5"/>
        <v>1</v>
      </c>
    </row>
    <row r="16" spans="1:29" ht="15">
      <c r="A16" s="409"/>
      <c r="B16" s="426"/>
      <c r="C16" s="427"/>
      <c r="D16" s="428"/>
      <c r="E16" s="429"/>
      <c r="F16" s="430"/>
      <c r="G16" s="2409"/>
      <c r="H16" s="431"/>
      <c r="I16" s="429"/>
      <c r="J16" s="428"/>
      <c r="K16" s="2410"/>
      <c r="L16" s="1255"/>
      <c r="M16" s="1246"/>
      <c r="N16" s="1246"/>
      <c r="O16" s="1246"/>
      <c r="P16" s="3016"/>
      <c r="Q16" s="1905"/>
      <c r="R16" s="754"/>
      <c r="S16" s="755"/>
      <c r="T16" s="754"/>
      <c r="U16" s="755"/>
      <c r="V16" s="754"/>
      <c r="W16" s="755"/>
      <c r="X16" s="1906"/>
      <c r="Y16" s="3003"/>
      <c r="Z16" s="1908"/>
      <c r="AA16" s="1909">
        <v>1</v>
      </c>
      <c r="AB16" s="1909">
        <v>1</v>
      </c>
      <c r="AC16" s="1909">
        <v>1</v>
      </c>
    </row>
    <row r="17" spans="1:29" ht="85.5">
      <c r="A17" s="409"/>
      <c r="B17" s="432" t="s">
        <v>1751</v>
      </c>
      <c r="C17" s="2411" t="str">
        <f>估价对象房地状况!C6</f>
        <v>估价对象紧邻城市支道路——新街口四条，有22路、47路、86路、409路等多条公交线路及地铁2号线（积水潭站）、地铁6号线（新街口站)通过，交通便捷度较好。</v>
      </c>
      <c r="D17" s="431">
        <v>100</v>
      </c>
      <c r="E17" s="433"/>
      <c r="F17" s="434">
        <f>SUMIF(78:78,E18,79:79)-SUMIF(78:78,C18,79:79)+100</f>
        <v>100</v>
      </c>
      <c r="G17" s="435"/>
      <c r="H17" s="436">
        <f>SUMIF(78:78,G18,79:79)-SUMIF(78:78,C18,79:79)+100</f>
        <v>100</v>
      </c>
      <c r="I17" s="433"/>
      <c r="J17" s="436">
        <f>SUMIF(78:78,I18,79:79)-SUMIF(78:78,C18,79:79)+100</f>
        <v>100</v>
      </c>
      <c r="K17" s="425"/>
      <c r="L17" s="1255"/>
      <c r="M17" s="1246"/>
      <c r="N17" s="1246"/>
      <c r="O17" s="1246"/>
      <c r="P17" s="3016"/>
      <c r="Q17" s="1905" t="str">
        <f>B17</f>
        <v>交通便捷度</v>
      </c>
      <c r="R17" s="754" t="s">
        <v>28</v>
      </c>
      <c r="S17" s="755">
        <f>F17</f>
        <v>100</v>
      </c>
      <c r="T17" s="754" t="s">
        <v>28</v>
      </c>
      <c r="U17" s="755">
        <f>H17</f>
        <v>100</v>
      </c>
      <c r="V17" s="754" t="s">
        <v>28</v>
      </c>
      <c r="W17" s="755">
        <f>J17</f>
        <v>100</v>
      </c>
      <c r="X17" s="1906"/>
      <c r="Y17" s="3003"/>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2410"/>
      <c r="L18" s="1255"/>
      <c r="M18" s="1246"/>
      <c r="N18" s="1246"/>
      <c r="O18" s="1246"/>
      <c r="P18" s="3016"/>
      <c r="Q18" s="1905"/>
      <c r="R18" s="754"/>
      <c r="S18" s="755"/>
      <c r="T18" s="754"/>
      <c r="U18" s="755"/>
      <c r="V18" s="754"/>
      <c r="W18" s="755"/>
      <c r="X18" s="1906"/>
      <c r="Y18" s="3003"/>
      <c r="Z18" s="1908"/>
      <c r="AA18" s="1909">
        <v>1</v>
      </c>
      <c r="AB18" s="1909">
        <v>1</v>
      </c>
      <c r="AC18" s="1909">
        <v>1</v>
      </c>
    </row>
    <row r="19" spans="1:29" ht="42.75">
      <c r="A19" s="409"/>
      <c r="B19" s="432" t="s">
        <v>1749</v>
      </c>
      <c r="C19" s="2411"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425"/>
      <c r="L19" s="1255"/>
      <c r="M19" s="1246"/>
      <c r="N19" s="1246"/>
      <c r="O19" s="1246"/>
      <c r="P19" s="3016"/>
      <c r="Q19" s="1905" t="str">
        <f>B19</f>
        <v>公共配套设施</v>
      </c>
      <c r="R19" s="754" t="s">
        <v>28</v>
      </c>
      <c r="S19" s="755">
        <f>F19</f>
        <v>100</v>
      </c>
      <c r="T19" s="754" t="s">
        <v>28</v>
      </c>
      <c r="U19" s="755">
        <f>H19</f>
        <v>100</v>
      </c>
      <c r="V19" s="754" t="s">
        <v>28</v>
      </c>
      <c r="W19" s="755">
        <f>J19</f>
        <v>100</v>
      </c>
      <c r="X19" s="1906"/>
      <c r="Y19" s="3003"/>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2410"/>
      <c r="L20" s="1255"/>
      <c r="M20" s="1246"/>
      <c r="N20" s="1246"/>
      <c r="O20" s="1246"/>
      <c r="P20" s="3016"/>
      <c r="Q20" s="1905"/>
      <c r="R20" s="754"/>
      <c r="S20" s="755"/>
      <c r="T20" s="754"/>
      <c r="U20" s="755"/>
      <c r="V20" s="754"/>
      <c r="W20" s="755"/>
      <c r="X20" s="1906"/>
      <c r="Y20" s="3003"/>
      <c r="Z20" s="1908"/>
      <c r="AA20" s="1909">
        <v>1</v>
      </c>
      <c r="AB20" s="1909">
        <v>1</v>
      </c>
      <c r="AC20" s="1909">
        <v>1</v>
      </c>
    </row>
    <row r="21" spans="1:29" ht="28.5">
      <c r="A21" s="409"/>
      <c r="B21" s="2413" t="s">
        <v>1752</v>
      </c>
      <c r="C21" s="2411"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425"/>
      <c r="L21" s="1255"/>
      <c r="M21" s="1246"/>
      <c r="N21" s="1246"/>
      <c r="O21" s="1246"/>
      <c r="P21" s="3016"/>
      <c r="Q21" s="1905" t="str">
        <f>B21</f>
        <v>基础设施水平</v>
      </c>
      <c r="R21" s="754" t="s">
        <v>28</v>
      </c>
      <c r="S21" s="755">
        <f>F21</f>
        <v>100</v>
      </c>
      <c r="T21" s="754" t="s">
        <v>28</v>
      </c>
      <c r="U21" s="755">
        <f>H21</f>
        <v>100</v>
      </c>
      <c r="V21" s="754" t="s">
        <v>28</v>
      </c>
      <c r="W21" s="755">
        <f>J21</f>
        <v>100</v>
      </c>
      <c r="X21" s="1906"/>
      <c r="Y21" s="3003"/>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2414"/>
      <c r="L22" s="1255"/>
      <c r="M22" s="1246"/>
      <c r="N22" s="1246"/>
      <c r="O22" s="1246"/>
      <c r="P22" s="3016"/>
      <c r="Q22" s="1905"/>
      <c r="R22" s="754"/>
      <c r="S22" s="755"/>
      <c r="T22" s="754"/>
      <c r="U22" s="755"/>
      <c r="V22" s="754"/>
      <c r="W22" s="755"/>
      <c r="X22" s="1906"/>
      <c r="Y22" s="3003"/>
      <c r="Z22" s="1908"/>
      <c r="AA22" s="1909">
        <v>1</v>
      </c>
      <c r="AB22" s="1909">
        <v>1</v>
      </c>
      <c r="AC22" s="1909">
        <v>1</v>
      </c>
    </row>
    <row r="23" spans="1:29" ht="57">
      <c r="A23" s="409"/>
      <c r="B23" s="432" t="s">
        <v>1756</v>
      </c>
      <c r="C23" s="2411" t="str">
        <f>估价对象房地状况!C9</f>
        <v>自然环境：什刹海公园、官园公园、护城河；人文环境：西城区青少年儿童图书馆、西城区图书馆（总馆）、恭王府、北京古代钱币博物馆、北京工艺美术博物馆；综合评价环境状况好。</v>
      </c>
      <c r="D23" s="431">
        <v>100</v>
      </c>
      <c r="E23" s="433"/>
      <c r="F23" s="434">
        <f>SUMIF(84:84,E24,85:85)-SUMIF(84:84,C24,85:85)+100</f>
        <v>100</v>
      </c>
      <c r="G23" s="435"/>
      <c r="H23" s="431">
        <f>SUMIF(84:84,G24,85:85)-SUMIF(84:84,C24,85:85)+100</f>
        <v>100</v>
      </c>
      <c r="I23" s="433"/>
      <c r="J23" s="431">
        <f>SUMIF(84:84,I24,85:85)-SUMIF(84:84,C24,85:85)+100</f>
        <v>100</v>
      </c>
      <c r="K23" s="425"/>
      <c r="L23" s="1255"/>
      <c r="M23" s="1246"/>
      <c r="N23" s="1246"/>
      <c r="O23" s="1246"/>
      <c r="P23" s="3016"/>
      <c r="Q23" s="1905" t="str">
        <f>B23</f>
        <v>自然及人文环境</v>
      </c>
      <c r="R23" s="754" t="s">
        <v>28</v>
      </c>
      <c r="S23" s="755">
        <f>F23</f>
        <v>100</v>
      </c>
      <c r="T23" s="754" t="s">
        <v>28</v>
      </c>
      <c r="U23" s="755">
        <f>H23</f>
        <v>100</v>
      </c>
      <c r="V23" s="754" t="s">
        <v>28</v>
      </c>
      <c r="W23" s="755">
        <f>J23</f>
        <v>100</v>
      </c>
      <c r="X23" s="1906"/>
      <c r="Y23" s="3003"/>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2410"/>
      <c r="L24" s="1255"/>
      <c r="M24" s="1246"/>
      <c r="N24" s="1246"/>
      <c r="O24" s="1246"/>
      <c r="P24" s="3016"/>
      <c r="Q24" s="1905"/>
      <c r="R24" s="754"/>
      <c r="S24" s="755"/>
      <c r="T24" s="754"/>
      <c r="U24" s="755"/>
      <c r="V24" s="754"/>
      <c r="W24" s="755"/>
      <c r="X24" s="1906"/>
      <c r="Y24" s="3003"/>
      <c r="Z24" s="1908"/>
      <c r="AA24" s="1909">
        <v>1</v>
      </c>
      <c r="AB24" s="1909">
        <v>1</v>
      </c>
      <c r="AC24" s="1909">
        <v>1</v>
      </c>
    </row>
    <row r="25" spans="1:29" ht="15">
      <c r="A25" s="409"/>
      <c r="B25" s="403" t="s">
        <v>2368</v>
      </c>
      <c r="C25" s="442"/>
      <c r="D25" s="416">
        <v>100</v>
      </c>
      <c r="E25" s="2415"/>
      <c r="F25" s="443">
        <f>SUMIF(86:86,E25,87:87)-SUMIF(86:86,C25,87:87)+100</f>
        <v>100</v>
      </c>
      <c r="G25" s="2416"/>
      <c r="H25" s="416">
        <f>SUMIF(86:86,G25,87:87)-SUMIF(86:86,C25,87:87)+100</f>
        <v>100</v>
      </c>
      <c r="I25" s="2415"/>
      <c r="J25" s="416">
        <f>SUMIF(86:86,I25,87:87)-SUMIF(86:86,C25,87:87)+100</f>
        <v>100</v>
      </c>
      <c r="K25" s="407"/>
      <c r="L25" s="1255"/>
      <c r="M25" s="1246"/>
      <c r="N25" s="1246"/>
      <c r="O25" s="1246"/>
      <c r="P25" s="3016"/>
      <c r="Q25" s="1905" t="str">
        <f t="shared" ref="Q25:Q46" si="11">B25</f>
        <v>楼层-1</v>
      </c>
      <c r="R25" s="754" t="s">
        <v>28</v>
      </c>
      <c r="S25" s="755">
        <f>F25</f>
        <v>100</v>
      </c>
      <c r="T25" s="754" t="s">
        <v>28</v>
      </c>
      <c r="U25" s="755">
        <f>H25</f>
        <v>100</v>
      </c>
      <c r="V25" s="754" t="s">
        <v>28</v>
      </c>
      <c r="W25" s="755">
        <f>J25</f>
        <v>100</v>
      </c>
      <c r="X25" s="1906"/>
      <c r="Y25" s="3003"/>
      <c r="Z25" s="1908" t="str">
        <f>Q25</f>
        <v>楼层-1</v>
      </c>
      <c r="AA25" s="1909">
        <f t="shared" si="3"/>
        <v>1</v>
      </c>
      <c r="AB25" s="1909">
        <f t="shared" si="4"/>
        <v>1</v>
      </c>
      <c r="AC25" s="1909">
        <f t="shared" si="5"/>
        <v>1</v>
      </c>
    </row>
    <row r="26" spans="1:29" ht="15">
      <c r="A26" s="409"/>
      <c r="B26" s="403" t="s">
        <v>2369</v>
      </c>
      <c r="C26" s="442"/>
      <c r="D26" s="416">
        <v>100</v>
      </c>
      <c r="E26" s="2415"/>
      <c r="F26" s="443">
        <f>SUMIF(88:88,E26,89:89)-SUMIF(88:88,C26,89:89)+100</f>
        <v>100</v>
      </c>
      <c r="G26" s="2416"/>
      <c r="H26" s="416">
        <f>SUMIF(88:88,G26,89:89)-SUMIF(88:88,C26,89:89)+100</f>
        <v>100</v>
      </c>
      <c r="I26" s="2415"/>
      <c r="J26" s="416">
        <f>SUMIF(88:88,I26,89:89)-SUMIF(88:88,C26,89:89)+100</f>
        <v>100</v>
      </c>
      <c r="K26" s="407"/>
      <c r="L26" s="1255"/>
      <c r="M26" s="1246"/>
      <c r="N26" s="1246"/>
      <c r="O26" s="1246"/>
      <c r="P26" s="3016"/>
      <c r="Q26" s="1905" t="str">
        <f t="shared" si="11"/>
        <v>朝向</v>
      </c>
      <c r="R26" s="754" t="s">
        <v>28</v>
      </c>
      <c r="S26" s="755">
        <f>F26</f>
        <v>100</v>
      </c>
      <c r="T26" s="754" t="s">
        <v>28</v>
      </c>
      <c r="U26" s="755">
        <f>H26</f>
        <v>100</v>
      </c>
      <c r="V26" s="754" t="s">
        <v>28</v>
      </c>
      <c r="W26" s="755">
        <f>J26</f>
        <v>100</v>
      </c>
      <c r="X26" s="1906"/>
      <c r="Y26" s="3003"/>
      <c r="Z26" s="1908" t="str">
        <f>Q26</f>
        <v>朝向</v>
      </c>
      <c r="AA26" s="1909">
        <f t="shared" si="3"/>
        <v>1</v>
      </c>
      <c r="AB26" s="1909">
        <f t="shared" si="4"/>
        <v>1</v>
      </c>
      <c r="AC26" s="1909">
        <f t="shared" si="5"/>
        <v>1</v>
      </c>
    </row>
    <row r="27" spans="1:29" s="35" customFormat="1" ht="15">
      <c r="A27" s="412"/>
      <c r="B27" s="2404" t="s">
        <v>2370</v>
      </c>
      <c r="C27" s="413"/>
      <c r="D27" s="444">
        <v>100</v>
      </c>
      <c r="E27" s="445"/>
      <c r="F27" s="446">
        <f>SUMIF(90:90,E27,91:91)-SUMIF(90:90,C27,91:91)+100</f>
        <v>100</v>
      </c>
      <c r="G27" s="447"/>
      <c r="H27" s="444">
        <f>SUMIF(90:90,G27,91:91)-SUMIF(90:90,C27,91:91)+100</f>
        <v>100</v>
      </c>
      <c r="I27" s="445"/>
      <c r="J27" s="444">
        <f>SUMIF(90:90,I27,91:91)-SUMIF(90:90,C27,91:91)+100</f>
        <v>100</v>
      </c>
      <c r="K27" s="2405"/>
      <c r="L27" s="1247"/>
      <c r="M27" s="1248"/>
      <c r="N27" s="1248"/>
      <c r="O27" s="1248"/>
      <c r="P27" s="3016"/>
      <c r="Q27" s="1893" t="str">
        <f t="shared" si="11"/>
        <v>道路级别</v>
      </c>
      <c r="R27" s="750" t="s">
        <v>28</v>
      </c>
      <c r="S27" s="751">
        <f>F27</f>
        <v>100</v>
      </c>
      <c r="T27" s="750" t="s">
        <v>28</v>
      </c>
      <c r="U27" s="751">
        <f>H27</f>
        <v>100</v>
      </c>
      <c r="V27" s="750" t="s">
        <v>28</v>
      </c>
      <c r="W27" s="751">
        <f>J27</f>
        <v>100</v>
      </c>
      <c r="X27" s="752"/>
      <c r="Y27" s="3003"/>
      <c r="Z27" s="23" t="str">
        <f>Q27</f>
        <v>道路级别</v>
      </c>
      <c r="AA27" s="1909">
        <f>D27/F27</f>
        <v>1</v>
      </c>
      <c r="AB27" s="1909">
        <f>D27/H27</f>
        <v>1</v>
      </c>
      <c r="AC27" s="1909">
        <f>D27/J27</f>
        <v>1</v>
      </c>
    </row>
    <row r="28" spans="1:29" ht="15">
      <c r="A28" s="409"/>
      <c r="B28" s="2417">
        <v>111</v>
      </c>
      <c r="C28" s="415"/>
      <c r="D28" s="416">
        <v>100</v>
      </c>
      <c r="E28" s="415"/>
      <c r="F28" s="443">
        <f>SUMIF(92:92,E28,93:93)-SUMIF(92:92,C28,93:93)+100</f>
        <v>100</v>
      </c>
      <c r="G28" s="415"/>
      <c r="H28" s="416">
        <f>SUMIF(92:92,G28,93:93)-SUMIF(92:92,C28,93:93)+100</f>
        <v>100</v>
      </c>
      <c r="I28" s="415"/>
      <c r="J28" s="416">
        <f>SUMIF(92:92,I28,93:93)-SUMIF(92:92,C28,93:93)+100</f>
        <v>100</v>
      </c>
      <c r="K28" s="2405"/>
      <c r="L28" s="1255"/>
      <c r="M28" s="1246"/>
      <c r="N28" s="1246"/>
      <c r="O28" s="1246"/>
      <c r="P28" s="3016"/>
      <c r="Q28" s="1905">
        <f t="shared" si="11"/>
        <v>111</v>
      </c>
      <c r="R28" s="754" t="s">
        <v>28</v>
      </c>
      <c r="S28" s="755">
        <f t="shared" ref="S28:S46" si="12">F28</f>
        <v>100</v>
      </c>
      <c r="T28" s="754" t="s">
        <v>28</v>
      </c>
      <c r="U28" s="755">
        <f t="shared" ref="U28:U46" si="13">H28</f>
        <v>100</v>
      </c>
      <c r="V28" s="754" t="s">
        <v>28</v>
      </c>
      <c r="W28" s="755">
        <f t="shared" ref="W28:W46" si="14">J28</f>
        <v>100</v>
      </c>
      <c r="X28" s="1906"/>
      <c r="Y28" s="3003"/>
      <c r="Z28" s="1908">
        <f t="shared" ref="Z28:Z46" si="15">Q28</f>
        <v>111</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2405"/>
      <c r="L29" s="1255"/>
      <c r="M29" s="1246"/>
      <c r="N29" s="1246"/>
      <c r="O29" s="1246"/>
      <c r="P29" s="3016"/>
      <c r="Q29" s="1905">
        <f t="shared" si="11"/>
        <v>111</v>
      </c>
      <c r="R29" s="754" t="s">
        <v>28</v>
      </c>
      <c r="S29" s="755">
        <f t="shared" si="12"/>
        <v>100</v>
      </c>
      <c r="T29" s="754" t="s">
        <v>28</v>
      </c>
      <c r="U29" s="755">
        <f t="shared" si="13"/>
        <v>100</v>
      </c>
      <c r="V29" s="754" t="s">
        <v>28</v>
      </c>
      <c r="W29" s="755">
        <f t="shared" si="14"/>
        <v>100</v>
      </c>
      <c r="X29" s="1906"/>
      <c r="Y29" s="3003"/>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2405"/>
      <c r="L30" s="1255"/>
      <c r="M30" s="1246"/>
      <c r="N30" s="1246"/>
      <c r="O30" s="1246"/>
      <c r="P30" s="3016"/>
      <c r="Q30" s="1905">
        <f t="shared" si="11"/>
        <v>111</v>
      </c>
      <c r="R30" s="754" t="s">
        <v>28</v>
      </c>
      <c r="S30" s="755">
        <f t="shared" si="12"/>
        <v>100</v>
      </c>
      <c r="T30" s="754" t="s">
        <v>28</v>
      </c>
      <c r="U30" s="755">
        <f t="shared" si="13"/>
        <v>100</v>
      </c>
      <c r="V30" s="754" t="s">
        <v>28</v>
      </c>
      <c r="W30" s="755">
        <f t="shared" si="14"/>
        <v>100</v>
      </c>
      <c r="X30" s="1906"/>
      <c r="Y30" s="3003"/>
      <c r="Z30" s="1908">
        <f t="shared" si="15"/>
        <v>111</v>
      </c>
      <c r="AA30" s="1909">
        <f t="shared" si="3"/>
        <v>1</v>
      </c>
      <c r="AB30" s="1909">
        <f t="shared" si="4"/>
        <v>1</v>
      </c>
      <c r="AC30" s="1909">
        <f t="shared" si="5"/>
        <v>1</v>
      </c>
    </row>
    <row r="31" spans="1:29" ht="15.75" thickBot="1">
      <c r="A31" s="417"/>
      <c r="B31" s="2417">
        <v>111</v>
      </c>
      <c r="C31" s="2407"/>
      <c r="D31" s="418">
        <v>100</v>
      </c>
      <c r="E31" s="2407"/>
      <c r="F31" s="419">
        <f>SUMIF(98:98,E31,99:99)-SUMIF(98:98,C31,99:99)+100</f>
        <v>100</v>
      </c>
      <c r="G31" s="2407"/>
      <c r="H31" s="418">
        <f>SUMIF(98:98,G31,99:99)-SUMIF(98:98,C31,99:99)+100</f>
        <v>100</v>
      </c>
      <c r="I31" s="2407"/>
      <c r="J31" s="418">
        <f>SUMIF(98:98,I31,99:99)-SUMIF(98:98,C31,99:99)+100</f>
        <v>100</v>
      </c>
      <c r="K31" s="2405"/>
      <c r="L31" s="1255"/>
      <c r="M31" s="1246"/>
      <c r="N31" s="1246"/>
      <c r="O31" s="1246"/>
      <c r="P31" s="3016"/>
      <c r="Q31" s="1905">
        <f t="shared" si="11"/>
        <v>111</v>
      </c>
      <c r="R31" s="754" t="s">
        <v>28</v>
      </c>
      <c r="S31" s="755">
        <f t="shared" si="12"/>
        <v>100</v>
      </c>
      <c r="T31" s="754" t="s">
        <v>28</v>
      </c>
      <c r="U31" s="755">
        <f t="shared" si="13"/>
        <v>100</v>
      </c>
      <c r="V31" s="754" t="s">
        <v>28</v>
      </c>
      <c r="W31" s="755">
        <f t="shared" si="14"/>
        <v>100</v>
      </c>
      <c r="X31" s="1906"/>
      <c r="Y31" s="3003"/>
      <c r="Z31" s="1908">
        <f t="shared" si="15"/>
        <v>111</v>
      </c>
      <c r="AA31" s="1909">
        <f t="shared" si="3"/>
        <v>1</v>
      </c>
      <c r="AB31" s="1909">
        <f t="shared" si="4"/>
        <v>1</v>
      </c>
      <c r="AC31" s="1909">
        <f t="shared" si="5"/>
        <v>1</v>
      </c>
    </row>
    <row r="32" spans="1:29" ht="15">
      <c r="A32" s="420" t="s">
        <v>2371</v>
      </c>
      <c r="B32" s="28" t="s">
        <v>2372</v>
      </c>
      <c r="C32" s="2418"/>
      <c r="D32" s="449">
        <v>100</v>
      </c>
      <c r="E32" s="2419"/>
      <c r="F32" s="443">
        <f>SUMIF(100:100,E32,101:101)-SUMIF(100:100,C32,101:101)+100</f>
        <v>100</v>
      </c>
      <c r="G32" s="2418"/>
      <c r="H32" s="449">
        <f>SUMIF(100:100,G32,101:101)-SUMIF(100:100,C32,101:101)+100</f>
        <v>100</v>
      </c>
      <c r="I32" s="2419"/>
      <c r="J32" s="416">
        <f>SUMIF(100:100,I32,101:101)-SUMIF(100:100,C32,101:101)+100</f>
        <v>100</v>
      </c>
      <c r="K32" s="407"/>
      <c r="L32" s="1255"/>
      <c r="M32" s="1246"/>
      <c r="N32" s="1246"/>
      <c r="O32" s="1246"/>
      <c r="P32" s="3004" t="s">
        <v>2373</v>
      </c>
      <c r="Q32" s="1905" t="str">
        <f t="shared" si="11"/>
        <v>建筑类型</v>
      </c>
      <c r="R32" s="754" t="s">
        <v>28</v>
      </c>
      <c r="S32" s="755">
        <f t="shared" si="12"/>
        <v>100</v>
      </c>
      <c r="T32" s="754" t="s">
        <v>28</v>
      </c>
      <c r="U32" s="755">
        <f t="shared" si="13"/>
        <v>100</v>
      </c>
      <c r="V32" s="754" t="s">
        <v>28</v>
      </c>
      <c r="W32" s="755">
        <f t="shared" si="14"/>
        <v>100</v>
      </c>
      <c r="X32" s="1906"/>
      <c r="Y32" s="3007" t="s">
        <v>2373</v>
      </c>
      <c r="Z32" s="1908" t="str">
        <f t="shared" si="15"/>
        <v>建筑类型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1"/>
      <c r="J33" s="52" t="e">
        <f>LOOKUP(I33,103:103,104:104)-LOOKUP(C33,103:103,104:104)+100</f>
        <v>#N/A</v>
      </c>
      <c r="K33" s="2405"/>
      <c r="L33" s="1253"/>
      <c r="M33" s="1256"/>
      <c r="N33" s="1256"/>
      <c r="O33" s="1256"/>
      <c r="P33" s="3005"/>
      <c r="Q33" s="756" t="str">
        <f t="shared" si="11"/>
        <v>项目建筑规模</v>
      </c>
      <c r="R33" s="757" t="s">
        <v>28</v>
      </c>
      <c r="S33" s="758" t="e">
        <f t="shared" si="12"/>
        <v>#N/A</v>
      </c>
      <c r="T33" s="757" t="s">
        <v>28</v>
      </c>
      <c r="U33" s="758" t="e">
        <f t="shared" si="13"/>
        <v>#N/A</v>
      </c>
      <c r="V33" s="757" t="s">
        <v>28</v>
      </c>
      <c r="W33" s="758" t="e">
        <f t="shared" si="14"/>
        <v>#N/A</v>
      </c>
      <c r="X33" s="759"/>
      <c r="Y33" s="3007"/>
      <c r="Z33" s="760" t="str">
        <f t="shared" si="15"/>
        <v>项目建筑规模</v>
      </c>
      <c r="AA33" s="1909" t="e">
        <f t="shared" si="3"/>
        <v>#N/A</v>
      </c>
      <c r="AB33" s="1909" t="e">
        <f t="shared" si="4"/>
        <v>#N/A</v>
      </c>
      <c r="AC33" s="1909" t="e">
        <f t="shared" si="5"/>
        <v>#N/A</v>
      </c>
    </row>
    <row r="34" spans="1:29" ht="15">
      <c r="A34" s="454"/>
      <c r="B34" s="403" t="s">
        <v>2375</v>
      </c>
      <c r="C34" s="2420"/>
      <c r="D34" s="416">
        <v>100</v>
      </c>
      <c r="E34" s="2421"/>
      <c r="F34" s="443">
        <f>SUMIF(105:105,E34,106:106)-SUMIF(105:105,C34,106:106)+100</f>
        <v>100</v>
      </c>
      <c r="G34" s="2420"/>
      <c r="H34" s="416">
        <f>SUMIF(105:105,G34,106:106)-SUMIF(105:105,C34,106:106)+100</f>
        <v>100</v>
      </c>
      <c r="I34" s="2421"/>
      <c r="J34" s="416">
        <f>SUMIF(105:105,I34,106:106)-SUMIF(105:105,C34,106:106)+100</f>
        <v>100</v>
      </c>
      <c r="K34" s="407"/>
      <c r="L34" s="1255"/>
      <c r="M34" s="1246"/>
      <c r="N34" s="1246"/>
      <c r="O34" s="1246"/>
      <c r="P34" s="3005"/>
      <c r="Q34" s="1905" t="str">
        <f t="shared" si="11"/>
        <v>建筑结构</v>
      </c>
      <c r="R34" s="754" t="s">
        <v>28</v>
      </c>
      <c r="S34" s="755">
        <f t="shared" si="12"/>
        <v>100</v>
      </c>
      <c r="T34" s="754" t="s">
        <v>28</v>
      </c>
      <c r="U34" s="755">
        <f t="shared" si="13"/>
        <v>100</v>
      </c>
      <c r="V34" s="754" t="s">
        <v>28</v>
      </c>
      <c r="W34" s="755">
        <f t="shared" si="14"/>
        <v>100</v>
      </c>
      <c r="X34" s="1906"/>
      <c r="Y34" s="3007"/>
      <c r="Z34" s="1908" t="str">
        <f t="shared" si="15"/>
        <v>建筑结构</v>
      </c>
      <c r="AA34" s="1909">
        <f t="shared" si="3"/>
        <v>1</v>
      </c>
      <c r="AB34" s="1909">
        <f t="shared" si="4"/>
        <v>1</v>
      </c>
      <c r="AC34" s="1909">
        <f t="shared" si="5"/>
        <v>1</v>
      </c>
    </row>
    <row r="35" spans="1:29" ht="15">
      <c r="A35" s="454"/>
      <c r="B35" s="403" t="s">
        <v>2376</v>
      </c>
      <c r="C35" s="2416"/>
      <c r="D35" s="416">
        <v>100</v>
      </c>
      <c r="E35" s="2415"/>
      <c r="F35" s="443">
        <f>SUMIF(107:107,E35,108:108)-SUMIF(107:107,C35,108:108)+100</f>
        <v>100</v>
      </c>
      <c r="G35" s="2416"/>
      <c r="H35" s="416">
        <f>SUMIF(107:107,G35,108:108)-SUMIF(107:107,C35,108:108)+100</f>
        <v>100</v>
      </c>
      <c r="I35" s="2415"/>
      <c r="J35" s="416">
        <f>SUMIF(107:107,I35,108:108)-SUMIF(107:107,C35,108:108)+100</f>
        <v>100</v>
      </c>
      <c r="K35" s="407"/>
      <c r="L35" s="1255"/>
      <c r="M35" s="1246"/>
      <c r="N35" s="1246"/>
      <c r="O35" s="1246"/>
      <c r="P35" s="3005"/>
      <c r="Q35" s="1905" t="str">
        <f t="shared" si="11"/>
        <v>建筑品质</v>
      </c>
      <c r="R35" s="754" t="s">
        <v>28</v>
      </c>
      <c r="S35" s="755">
        <f t="shared" si="12"/>
        <v>100</v>
      </c>
      <c r="T35" s="754" t="s">
        <v>28</v>
      </c>
      <c r="U35" s="755">
        <f t="shared" si="13"/>
        <v>100</v>
      </c>
      <c r="V35" s="754" t="s">
        <v>28</v>
      </c>
      <c r="W35" s="755">
        <f t="shared" si="14"/>
        <v>100</v>
      </c>
      <c r="X35" s="1906"/>
      <c r="Y35" s="3007"/>
      <c r="Z35" s="1908" t="str">
        <f t="shared" si="15"/>
        <v>建筑品质</v>
      </c>
      <c r="AA35" s="1909">
        <f t="shared" si="3"/>
        <v>1</v>
      </c>
      <c r="AB35" s="1909">
        <f t="shared" si="4"/>
        <v>1</v>
      </c>
      <c r="AC35" s="1909">
        <f t="shared" si="5"/>
        <v>1</v>
      </c>
    </row>
    <row r="36" spans="1:29" ht="15">
      <c r="A36" s="454"/>
      <c r="B36" s="403" t="s">
        <v>2377</v>
      </c>
      <c r="C36" s="2416"/>
      <c r="D36" s="416">
        <v>100</v>
      </c>
      <c r="E36" s="2415"/>
      <c r="F36" s="443">
        <f>SUMIF(109:109,E36,110:110)-SUMIF(109:109,C36,110:110)+100</f>
        <v>100</v>
      </c>
      <c r="G36" s="2416"/>
      <c r="H36" s="416">
        <f>SUMIF(109:109,G36,110:110)-SUMIF(109:109,C36,110:110)+100</f>
        <v>100</v>
      </c>
      <c r="I36" s="2415"/>
      <c r="J36" s="416">
        <f>SUMIF(109:109,I36,110:110)-SUMIF(109:109,C36,110:110)+100</f>
        <v>100</v>
      </c>
      <c r="K36" s="407"/>
      <c r="L36" s="1255"/>
      <c r="M36" s="1246"/>
      <c r="N36" s="1246"/>
      <c r="O36" s="1246"/>
      <c r="P36" s="3005"/>
      <c r="Q36" s="1905" t="str">
        <f t="shared" si="11"/>
        <v>公共部分装修</v>
      </c>
      <c r="R36" s="754" t="s">
        <v>28</v>
      </c>
      <c r="S36" s="755">
        <f t="shared" si="12"/>
        <v>100</v>
      </c>
      <c r="T36" s="754" t="s">
        <v>28</v>
      </c>
      <c r="U36" s="755">
        <f t="shared" si="13"/>
        <v>100</v>
      </c>
      <c r="V36" s="754" t="s">
        <v>28</v>
      </c>
      <c r="W36" s="755">
        <f t="shared" si="14"/>
        <v>100</v>
      </c>
      <c r="X36" s="1906"/>
      <c r="Y36" s="3007"/>
      <c r="Z36" s="1908" t="str">
        <f t="shared" si="15"/>
        <v>公共部分装修</v>
      </c>
      <c r="AA36" s="1909">
        <f t="shared" si="3"/>
        <v>1</v>
      </c>
      <c r="AB36" s="1909">
        <f t="shared" si="4"/>
        <v>1</v>
      </c>
      <c r="AC36" s="1909">
        <f t="shared" si="5"/>
        <v>1</v>
      </c>
    </row>
    <row r="37" spans="1:29" s="35" customFormat="1" ht="15">
      <c r="A37" s="455"/>
      <c r="B37" s="403" t="s">
        <v>2378</v>
      </c>
      <c r="C37" s="456"/>
      <c r="D37" s="52">
        <v>100</v>
      </c>
      <c r="E37" s="457"/>
      <c r="F37" s="406" t="e">
        <f>LOOKUP(E37,112:112,113:113)-LOOKUP(C37,112:112,113:113)+100</f>
        <v>#N/A</v>
      </c>
      <c r="G37" s="458"/>
      <c r="H37" s="52" t="e">
        <f>LOOKUP(G37,112:112,113:113)-LOOKUP(C37,112:112,113:113)+100</f>
        <v>#N/A</v>
      </c>
      <c r="I37" s="457"/>
      <c r="J37" s="52" t="e">
        <f>LOOKUP(I37,112:112,113:113)-LOOKUP(C37,112:112,113:113)+100</f>
        <v>#N/A</v>
      </c>
      <c r="K37" s="407"/>
      <c r="L37" s="1247"/>
      <c r="M37" s="1248"/>
      <c r="N37" s="1248"/>
      <c r="O37" s="1248"/>
      <c r="P37" s="3005"/>
      <c r="Q37" s="1893" t="str">
        <f t="shared" si="11"/>
        <v>成新度</v>
      </c>
      <c r="R37" s="750" t="s">
        <v>28</v>
      </c>
      <c r="S37" s="751" t="e">
        <f t="shared" si="12"/>
        <v>#N/A</v>
      </c>
      <c r="T37" s="750" t="s">
        <v>28</v>
      </c>
      <c r="U37" s="751" t="e">
        <f t="shared" si="13"/>
        <v>#N/A</v>
      </c>
      <c r="V37" s="750" t="s">
        <v>28</v>
      </c>
      <c r="W37" s="751" t="e">
        <f t="shared" si="14"/>
        <v>#N/A</v>
      </c>
      <c r="X37" s="752"/>
      <c r="Y37" s="3007"/>
      <c r="Z37" s="23" t="str">
        <f t="shared" si="15"/>
        <v>成新度</v>
      </c>
      <c r="AA37" s="753" t="e">
        <f t="shared" si="3"/>
        <v>#N/A</v>
      </c>
      <c r="AB37" s="753" t="e">
        <f t="shared" si="4"/>
        <v>#N/A</v>
      </c>
      <c r="AC37" s="753" t="e">
        <f t="shared" si="5"/>
        <v>#N/A</v>
      </c>
    </row>
    <row r="38" spans="1:29" ht="15">
      <c r="A38" s="454"/>
      <c r="B38" s="403" t="s">
        <v>2379</v>
      </c>
      <c r="C38" s="2416"/>
      <c r="D38" s="416">
        <v>100</v>
      </c>
      <c r="E38" s="2415"/>
      <c r="F38" s="443">
        <f>SUMIF(114:114,E38,115:115)-SUMIF(114:114,C38,115:115)+100</f>
        <v>100</v>
      </c>
      <c r="G38" s="2416"/>
      <c r="H38" s="416">
        <f>SUMIF(114:114,G38,115:115)-SUMIF(114:114,C38,115:115)+100</f>
        <v>100</v>
      </c>
      <c r="I38" s="2415"/>
      <c r="J38" s="416">
        <f>SUMIF(114:114,I38,115:115)-SUMIF(114:114,C38,115:115)+100</f>
        <v>100</v>
      </c>
      <c r="K38" s="407"/>
      <c r="L38" s="1255"/>
      <c r="M38" s="1246"/>
      <c r="N38" s="1246"/>
      <c r="O38" s="1246"/>
      <c r="P38" s="3005" t="s">
        <v>2373</v>
      </c>
      <c r="Q38" s="1905" t="str">
        <f t="shared" si="11"/>
        <v>物业管理</v>
      </c>
      <c r="R38" s="754" t="s">
        <v>28</v>
      </c>
      <c r="S38" s="755">
        <f t="shared" si="12"/>
        <v>100</v>
      </c>
      <c r="T38" s="754" t="s">
        <v>28</v>
      </c>
      <c r="U38" s="755">
        <f t="shared" si="13"/>
        <v>100</v>
      </c>
      <c r="V38" s="754" t="s">
        <v>28</v>
      </c>
      <c r="W38" s="755">
        <f t="shared" si="14"/>
        <v>100</v>
      </c>
      <c r="X38" s="1906"/>
      <c r="Y38" s="3007" t="s">
        <v>2373</v>
      </c>
      <c r="Z38" s="1908" t="str">
        <f t="shared" si="15"/>
        <v>物业管理</v>
      </c>
      <c r="AA38" s="1909">
        <f t="shared" si="3"/>
        <v>1</v>
      </c>
      <c r="AB38" s="1909">
        <f t="shared" si="4"/>
        <v>1</v>
      </c>
      <c r="AC38" s="1909">
        <f t="shared" si="5"/>
        <v>1</v>
      </c>
    </row>
    <row r="39" spans="1:29" ht="15">
      <c r="A39" s="454"/>
      <c r="B39" s="403" t="s">
        <v>2380</v>
      </c>
      <c r="C39" s="2416"/>
      <c r="D39" s="416">
        <v>100</v>
      </c>
      <c r="E39" s="2415"/>
      <c r="F39" s="443">
        <f>SUMIF(116:116,E39,117:117)-SUMIF(116:116,C39,117:117)+100</f>
        <v>100</v>
      </c>
      <c r="G39" s="2416"/>
      <c r="H39" s="416">
        <f>SUMIF(116:116,G39,117:117)-SUMIF(116:116,C39,117:117)+100</f>
        <v>100</v>
      </c>
      <c r="I39" s="2415"/>
      <c r="J39" s="416">
        <f>SUMIF(116:116,I39,117:117)-SUMIF(116:116,C39,117:117)+100</f>
        <v>100</v>
      </c>
      <c r="K39" s="407"/>
      <c r="L39" s="1255"/>
      <c r="M39" s="1246"/>
      <c r="N39" s="1246"/>
      <c r="O39" s="1246"/>
      <c r="P39" s="3005"/>
      <c r="Q39" s="1905" t="str">
        <f t="shared" si="11"/>
        <v>市政基础设施</v>
      </c>
      <c r="R39" s="754" t="s">
        <v>28</v>
      </c>
      <c r="S39" s="755">
        <f t="shared" si="12"/>
        <v>100</v>
      </c>
      <c r="T39" s="754" t="s">
        <v>28</v>
      </c>
      <c r="U39" s="755">
        <f t="shared" si="13"/>
        <v>100</v>
      </c>
      <c r="V39" s="754" t="s">
        <v>28</v>
      </c>
      <c r="W39" s="755">
        <f t="shared" si="14"/>
        <v>100</v>
      </c>
      <c r="X39" s="1906"/>
      <c r="Y39" s="3007"/>
      <c r="Z39" s="1908" t="str">
        <f t="shared" si="15"/>
        <v>市政基础设施</v>
      </c>
      <c r="AA39" s="1909">
        <f t="shared" si="3"/>
        <v>1</v>
      </c>
      <c r="AB39" s="1909">
        <f t="shared" si="4"/>
        <v>1</v>
      </c>
      <c r="AC39" s="1909">
        <f t="shared" si="5"/>
        <v>1</v>
      </c>
    </row>
    <row r="40" spans="1:29" ht="15">
      <c r="A40" s="454"/>
      <c r="B40" s="403" t="s">
        <v>2381</v>
      </c>
      <c r="C40" s="2416"/>
      <c r="D40" s="416">
        <v>100</v>
      </c>
      <c r="E40" s="2415"/>
      <c r="F40" s="443">
        <f>SUMIF(118:118,E40,119:119)-SUMIF(118:118,C40,119:119)+100</f>
        <v>100</v>
      </c>
      <c r="G40" s="2416"/>
      <c r="H40" s="416">
        <f>SUMIF(118:118,G40,119:119)-SUMIF(118:118,C40,119:119)+100</f>
        <v>100</v>
      </c>
      <c r="I40" s="2415"/>
      <c r="J40" s="416">
        <f>SUMIF(118:118,I40,119:119)-SUMIF(118:118,C40,119:119)+100</f>
        <v>100</v>
      </c>
      <c r="K40" s="407"/>
      <c r="L40" s="1255"/>
      <c r="M40" s="1246"/>
      <c r="N40" s="1246"/>
      <c r="O40" s="1246"/>
      <c r="P40" s="3005"/>
      <c r="Q40" s="1905" t="str">
        <f t="shared" si="11"/>
        <v>房型</v>
      </c>
      <c r="R40" s="754" t="s">
        <v>28</v>
      </c>
      <c r="S40" s="755">
        <f t="shared" si="12"/>
        <v>100</v>
      </c>
      <c r="T40" s="754" t="s">
        <v>28</v>
      </c>
      <c r="U40" s="755">
        <f t="shared" si="13"/>
        <v>100</v>
      </c>
      <c r="V40" s="754" t="s">
        <v>28</v>
      </c>
      <c r="W40" s="755">
        <f t="shared" si="14"/>
        <v>100</v>
      </c>
      <c r="X40" s="1906"/>
      <c r="Y40" s="3007"/>
      <c r="Z40" s="1908" t="str">
        <f t="shared" si="15"/>
        <v>房型</v>
      </c>
      <c r="AA40" s="1909">
        <f t="shared" si="3"/>
        <v>1</v>
      </c>
      <c r="AB40" s="1909">
        <f t="shared" si="4"/>
        <v>1</v>
      </c>
      <c r="AC40" s="1909">
        <f t="shared" si="5"/>
        <v>1</v>
      </c>
    </row>
    <row r="41" spans="1:29" s="453" customFormat="1" ht="28.5">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5"/>
      <c r="L41" s="1253"/>
      <c r="M41" s="1256"/>
      <c r="N41" s="1256"/>
      <c r="O41" s="1256"/>
      <c r="P41" s="3005"/>
      <c r="Q41" s="756" t="str">
        <f t="shared" si="11"/>
        <v>单套/主力户型建筑面积</v>
      </c>
      <c r="R41" s="757" t="s">
        <v>28</v>
      </c>
      <c r="S41" s="758">
        <f t="shared" si="12"/>
        <v>100</v>
      </c>
      <c r="T41" s="757" t="s">
        <v>28</v>
      </c>
      <c r="U41" s="758">
        <f t="shared" si="13"/>
        <v>100</v>
      </c>
      <c r="V41" s="757" t="s">
        <v>28</v>
      </c>
      <c r="W41" s="758">
        <f t="shared" si="14"/>
        <v>100</v>
      </c>
      <c r="X41" s="759"/>
      <c r="Y41" s="3007"/>
      <c r="Z41" s="760" t="str">
        <f t="shared" si="15"/>
        <v>单套/主力户型建筑面积</v>
      </c>
      <c r="AA41" s="1909">
        <f t="shared" si="3"/>
        <v>1</v>
      </c>
      <c r="AB41" s="1909">
        <f t="shared" si="4"/>
        <v>1</v>
      </c>
      <c r="AC41" s="1909">
        <f t="shared" si="5"/>
        <v>1</v>
      </c>
    </row>
    <row r="42" spans="1:29" ht="15">
      <c r="A42" s="454"/>
      <c r="B42" s="403" t="s">
        <v>2383</v>
      </c>
      <c r="C42" s="2416"/>
      <c r="D42" s="416">
        <v>100</v>
      </c>
      <c r="E42" s="2415"/>
      <c r="F42" s="443">
        <f>SUMIF(122:122,E42,123:123)-SUMIF(122:122,C42,123:123)+100</f>
        <v>100</v>
      </c>
      <c r="G42" s="2416"/>
      <c r="H42" s="416">
        <f>SUMIF(122:122,G42,123:123)-SUMIF(122:122,C42,123:123)+100</f>
        <v>100</v>
      </c>
      <c r="I42" s="2415"/>
      <c r="J42" s="416">
        <f>SUMIF(122:122,I42,123:123)-SUMIF(122:122,C42,123:123)+100</f>
        <v>100</v>
      </c>
      <c r="K42" s="407"/>
      <c r="L42" s="1255"/>
      <c r="M42" s="1246"/>
      <c r="N42" s="1246"/>
      <c r="O42" s="1246"/>
      <c r="P42" s="3005"/>
      <c r="Q42" s="1905" t="str">
        <f t="shared" si="11"/>
        <v>内部装修</v>
      </c>
      <c r="R42" s="754" t="s">
        <v>28</v>
      </c>
      <c r="S42" s="755">
        <f t="shared" si="12"/>
        <v>100</v>
      </c>
      <c r="T42" s="754" t="s">
        <v>28</v>
      </c>
      <c r="U42" s="755">
        <f t="shared" si="13"/>
        <v>100</v>
      </c>
      <c r="V42" s="754" t="s">
        <v>28</v>
      </c>
      <c r="W42" s="755">
        <f t="shared" si="14"/>
        <v>100</v>
      </c>
      <c r="X42" s="1906"/>
      <c r="Y42" s="3007"/>
      <c r="Z42" s="1908" t="str">
        <f t="shared" si="15"/>
        <v>内部装修</v>
      </c>
      <c r="AA42" s="1909">
        <f t="shared" si="3"/>
        <v>1</v>
      </c>
      <c r="AB42" s="1909">
        <f t="shared" si="4"/>
        <v>1</v>
      </c>
      <c r="AC42" s="1909">
        <f t="shared" si="5"/>
        <v>1</v>
      </c>
    </row>
    <row r="43" spans="1:29" ht="15">
      <c r="A43" s="454"/>
      <c r="B43" s="403" t="s">
        <v>2384</v>
      </c>
      <c r="C43" s="2416"/>
      <c r="D43" s="416">
        <v>100</v>
      </c>
      <c r="E43" s="2415"/>
      <c r="F43" s="443">
        <f>SUMIF(124:124,E43,125:125)-SUMIF(124:124,C43,125:125)+100</f>
        <v>100</v>
      </c>
      <c r="G43" s="2416"/>
      <c r="H43" s="416">
        <f>SUMIF(124:124,G43,125:125)-SUMIF(124:124,C43,125:125)+100</f>
        <v>100</v>
      </c>
      <c r="I43" s="2415"/>
      <c r="J43" s="416">
        <f>SUMIF(124:124,I43,125:125)-SUMIF(124:124,C43,125:125)+100</f>
        <v>100</v>
      </c>
      <c r="K43" s="407"/>
      <c r="L43" s="1255"/>
      <c r="M43" s="1246"/>
      <c r="N43" s="1246"/>
      <c r="O43" s="1246"/>
      <c r="P43" s="3005"/>
      <c r="Q43" s="1905" t="str">
        <f t="shared" si="11"/>
        <v>内部装修维护情况</v>
      </c>
      <c r="R43" s="754" t="s">
        <v>28</v>
      </c>
      <c r="S43" s="755">
        <f t="shared" si="12"/>
        <v>100</v>
      </c>
      <c r="T43" s="754" t="s">
        <v>28</v>
      </c>
      <c r="U43" s="755">
        <f t="shared" si="13"/>
        <v>100</v>
      </c>
      <c r="V43" s="754" t="s">
        <v>28</v>
      </c>
      <c r="W43" s="755">
        <f t="shared" si="14"/>
        <v>100</v>
      </c>
      <c r="X43" s="1906"/>
      <c r="Y43" s="3007"/>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51"/>
      <c r="F44" s="406">
        <f>SUMIF(126:126,E44,127:127)-SUMIF(126:126,C44,127:127)+100</f>
        <v>100</v>
      </c>
      <c r="G44" s="451"/>
      <c r="H44" s="52">
        <f>SUMIF(126:126,G44,127:127)-SUMIF(126:126,C44,127:127)+100</f>
        <v>100</v>
      </c>
      <c r="I44" s="451"/>
      <c r="J44" s="52">
        <f>SUMIF(126:126,I44,127:127)-SUMIF(126:126,C44,127:127)+100</f>
        <v>100</v>
      </c>
      <c r="K44" s="2405"/>
      <c r="L44" s="1247"/>
      <c r="M44" s="1248"/>
      <c r="N44" s="1248"/>
      <c r="O44" s="1248"/>
      <c r="P44" s="3005"/>
      <c r="Q44" s="1893">
        <f t="shared" si="11"/>
        <v>111</v>
      </c>
      <c r="R44" s="750" t="s">
        <v>28</v>
      </c>
      <c r="S44" s="751">
        <f t="shared" si="12"/>
        <v>100</v>
      </c>
      <c r="T44" s="750" t="s">
        <v>28</v>
      </c>
      <c r="U44" s="751">
        <f t="shared" si="13"/>
        <v>100</v>
      </c>
      <c r="V44" s="750" t="s">
        <v>28</v>
      </c>
      <c r="W44" s="751">
        <f t="shared" si="14"/>
        <v>100</v>
      </c>
      <c r="X44" s="752"/>
      <c r="Y44" s="3007"/>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5"/>
      <c r="L45" s="1255"/>
      <c r="M45" s="1246"/>
      <c r="N45" s="1246"/>
      <c r="O45" s="1246"/>
      <c r="P45" s="3005"/>
      <c r="Q45" s="1905">
        <f t="shared" si="11"/>
        <v>111</v>
      </c>
      <c r="R45" s="754" t="s">
        <v>28</v>
      </c>
      <c r="S45" s="755">
        <f t="shared" si="12"/>
        <v>100</v>
      </c>
      <c r="T45" s="754" t="s">
        <v>28</v>
      </c>
      <c r="U45" s="755">
        <f t="shared" si="13"/>
        <v>100</v>
      </c>
      <c r="V45" s="754" t="s">
        <v>28</v>
      </c>
      <c r="W45" s="755">
        <f t="shared" si="14"/>
        <v>100</v>
      </c>
      <c r="X45" s="1906"/>
      <c r="Y45" s="3007"/>
      <c r="Z45" s="1908">
        <f t="shared" si="15"/>
        <v>111</v>
      </c>
      <c r="AA45" s="1909">
        <f t="shared" si="3"/>
        <v>1</v>
      </c>
      <c r="AB45" s="1909">
        <f t="shared" si="4"/>
        <v>1</v>
      </c>
      <c r="AC45" s="1909">
        <f t="shared" si="5"/>
        <v>1</v>
      </c>
    </row>
    <row r="46" spans="1:29" ht="15.75" thickBot="1">
      <c r="A46" s="460"/>
      <c r="B46" s="2406">
        <v>111</v>
      </c>
      <c r="C46" s="2407"/>
      <c r="D46" s="418">
        <v>100</v>
      </c>
      <c r="E46" s="2407"/>
      <c r="F46" s="419">
        <f>SUMIF(130:130,E46,131:131)-SUMIF(130:130,C46,131:131)+100</f>
        <v>100</v>
      </c>
      <c r="G46" s="2407"/>
      <c r="H46" s="418">
        <f>SUMIF(130:130,G46,131:131)-SUMIF(130:130,C46,131:131)+100</f>
        <v>100</v>
      </c>
      <c r="I46" s="2407"/>
      <c r="J46" s="418">
        <f>SUMIF(130:130,I46,131:131)-SUMIF(130:130,C46,131:131)+100</f>
        <v>100</v>
      </c>
      <c r="K46" s="2405"/>
      <c r="L46" s="1255"/>
      <c r="M46" s="1246"/>
      <c r="N46" s="1246"/>
      <c r="O46" s="1246"/>
      <c r="P46" s="3006"/>
      <c r="Q46" s="1905">
        <f t="shared" si="11"/>
        <v>111</v>
      </c>
      <c r="R46" s="754" t="s">
        <v>27</v>
      </c>
      <c r="S46" s="755">
        <f t="shared" si="12"/>
        <v>100</v>
      </c>
      <c r="T46" s="754" t="s">
        <v>27</v>
      </c>
      <c r="U46" s="755">
        <f t="shared" si="13"/>
        <v>100</v>
      </c>
      <c r="V46" s="754" t="s">
        <v>27</v>
      </c>
      <c r="W46" s="755">
        <f t="shared" si="14"/>
        <v>100</v>
      </c>
      <c r="X46" s="1906"/>
      <c r="Y46" s="3008"/>
      <c r="Z46" s="1908">
        <f t="shared" si="15"/>
        <v>111</v>
      </c>
      <c r="AA46" s="1909">
        <f t="shared" si="3"/>
        <v>1</v>
      </c>
      <c r="AB46" s="1909">
        <f t="shared" si="4"/>
        <v>1</v>
      </c>
      <c r="AC46" s="1909">
        <f t="shared" si="5"/>
        <v>1</v>
      </c>
    </row>
    <row r="47" spans="1:29" ht="15">
      <c r="A47" s="461" t="s">
        <v>2385</v>
      </c>
      <c r="B47" s="462"/>
      <c r="C47" s="1504" t="s">
        <v>26</v>
      </c>
      <c r="D47" s="1505"/>
      <c r="E47" s="1506"/>
      <c r="F47" s="1507"/>
      <c r="G47" s="1508"/>
      <c r="H47" s="1509"/>
      <c r="I47" s="1506"/>
      <c r="J47" s="1509"/>
      <c r="K47" s="2422"/>
      <c r="L47" s="1258"/>
      <c r="M47" s="1259"/>
      <c r="N47" s="1246"/>
      <c r="O47" s="1259"/>
      <c r="P47" s="3013" t="str">
        <f>A47</f>
        <v>成交单价（元/平方米）</v>
      </c>
      <c r="Q47" s="3013"/>
      <c r="R47" s="3014">
        <f>E47</f>
        <v>0</v>
      </c>
      <c r="S47" s="3014"/>
      <c r="T47" s="3014">
        <f>G47</f>
        <v>0</v>
      </c>
      <c r="U47" s="3014"/>
      <c r="V47" s="3014">
        <f>I47</f>
        <v>0</v>
      </c>
      <c r="W47" s="3014"/>
      <c r="X47" s="739"/>
      <c r="Y47" s="761"/>
      <c r="Z47" s="739"/>
      <c r="AA47" s="739"/>
      <c r="AB47" s="739"/>
      <c r="AC47" s="739"/>
    </row>
    <row r="48" spans="1:29" ht="15.75" thickBot="1">
      <c r="A48" s="468" t="s">
        <v>2386</v>
      </c>
      <c r="B48" s="469"/>
      <c r="C48" s="1510" t="e">
        <f>R49</f>
        <v>#DIV/0!</v>
      </c>
      <c r="D48" s="1511"/>
      <c r="E48" s="1512" t="e">
        <f>R48</f>
        <v>#DIV/0!</v>
      </c>
      <c r="F48" s="1512"/>
      <c r="G48" s="1510" t="e">
        <f>T48</f>
        <v>#DIV/0!</v>
      </c>
      <c r="H48" s="1511"/>
      <c r="I48" s="1512" t="e">
        <f>V48</f>
        <v>#DIV/0!</v>
      </c>
      <c r="J48" s="1511"/>
      <c r="K48" s="2423"/>
      <c r="L48" s="1258"/>
      <c r="M48" s="1259"/>
      <c r="N48" s="1259"/>
      <c r="O48" s="1259"/>
      <c r="P48" s="3013" t="str">
        <f>A48</f>
        <v>比较价值（元/平方米）</v>
      </c>
      <c r="Q48" s="3013"/>
      <c r="R48" s="3014" t="e">
        <f>IF(E1="售价",ROUND(PRODUCT(R47,AA7:AA46),0),ROUND(PRODUCT(R47,AA7:AA46),1))</f>
        <v>#DIV/0!</v>
      </c>
      <c r="S48" s="3014"/>
      <c r="T48" s="3017" t="e">
        <f>IF(E1="售价",ROUND(PRODUCT(T47,AB7:AB46),0),ROUND(PRODUCT(T47,AB7:AB46),1))</f>
        <v>#DIV/0!</v>
      </c>
      <c r="U48" s="3018"/>
      <c r="V48" s="3014" t="e">
        <f>IF(E1="售价",ROUND(PRODUCT(V47,AC7:AC46),0),ROUND(PRODUCT(V47,AC7:AC46),1))</f>
        <v>#DIV/0!</v>
      </c>
      <c r="W48" s="3014"/>
      <c r="X48" s="739"/>
      <c r="Y48" s="739"/>
      <c r="Z48" s="739"/>
      <c r="AA48" s="739"/>
      <c r="AB48" s="739"/>
      <c r="AC48" s="739"/>
    </row>
    <row r="49" spans="1:29" ht="15.75" thickBot="1">
      <c r="A49" s="474" t="s">
        <v>2387</v>
      </c>
      <c r="B49" s="475"/>
      <c r="C49" s="1513" t="e">
        <f>R49</f>
        <v>#DIV/0!</v>
      </c>
      <c r="D49" s="1514"/>
      <c r="E49" s="1514"/>
      <c r="F49" s="1514"/>
      <c r="G49" s="1514"/>
      <c r="H49" s="1514"/>
      <c r="I49" s="1514"/>
      <c r="J49" s="1514"/>
      <c r="K49" s="2424"/>
      <c r="L49" s="1258"/>
      <c r="M49" s="1259"/>
      <c r="N49" s="1259"/>
      <c r="O49" s="1259"/>
      <c r="P49" s="3019" t="str">
        <f>A49</f>
        <v>估价对象XX用房的比较价值（楼面单价，元/平方米）</v>
      </c>
      <c r="Q49" s="3020"/>
      <c r="R49" s="3021" t="e">
        <f>IF(E1="售价",ROUND(AVERAGE(R48:V48),0),ROUND(AVERAGE(R48:V48),1))</f>
        <v>#DIV/0!</v>
      </c>
      <c r="S49" s="3021"/>
      <c r="T49" s="3021"/>
      <c r="U49" s="3021"/>
      <c r="V49" s="3021"/>
      <c r="W49" s="3021"/>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row>
    <row r="53" spans="1:29" ht="13.5" customHeight="1">
      <c r="A53" s="1259"/>
      <c r="B53" s="1259"/>
      <c r="C53" s="479" t="s">
        <v>2389</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row>
    <row r="54" spans="1:29" s="484" customFormat="1" ht="13.5" customHeight="1">
      <c r="A54" s="1261"/>
      <c r="B54" s="1261"/>
      <c r="C54" s="479" t="s">
        <v>2390</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26"/>
    </row>
    <row r="55" spans="1:29" s="484" customFormat="1">
      <c r="A55" s="1261"/>
      <c r="B55" s="1262"/>
      <c r="C55" s="1267"/>
      <c r="D55" s="1261"/>
      <c r="E55" s="1261"/>
      <c r="F55" s="1261"/>
      <c r="G55" s="1261"/>
      <c r="H55" s="1261"/>
      <c r="I55" s="1261"/>
      <c r="J55" s="1261"/>
      <c r="K55" s="1265"/>
      <c r="L55" s="1266"/>
      <c r="M55" s="1261"/>
      <c r="N55" s="1261"/>
      <c r="O55" s="1261"/>
      <c r="P55" s="2426"/>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7"/>
      <c r="Q57" s="486"/>
    </row>
    <row r="58" spans="1:29" s="490" customFormat="1" ht="15">
      <c r="A58" s="487" t="s">
        <v>2392</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28"/>
    </row>
    <row r="59" spans="1:29" s="35" customFormat="1" ht="15">
      <c r="A59" s="491"/>
      <c r="B59" s="492"/>
      <c r="C59" s="624">
        <v>100</v>
      </c>
      <c r="D59" s="494"/>
      <c r="E59" s="494"/>
      <c r="F59" s="494"/>
      <c r="G59" s="494"/>
      <c r="H59" s="494"/>
      <c r="I59" s="494"/>
      <c r="J59" s="494"/>
      <c r="K59" s="494"/>
      <c r="L59" s="494"/>
      <c r="M59" s="495"/>
      <c r="N59" s="494"/>
      <c r="O59" s="495"/>
      <c r="P59" s="2429"/>
    </row>
    <row r="60" spans="1:29" s="35" customFormat="1" ht="15.75" thickBot="1">
      <c r="A60" s="497" t="s">
        <v>2393</v>
      </c>
      <c r="B60" s="498"/>
      <c r="C60" s="499"/>
      <c r="D60" s="500"/>
      <c r="E60" s="500"/>
      <c r="F60" s="500"/>
      <c r="G60" s="500"/>
      <c r="H60" s="500"/>
      <c r="I60" s="500"/>
      <c r="J60" s="500"/>
      <c r="K60" s="500"/>
      <c r="L60" s="500"/>
      <c r="M60" s="501"/>
      <c r="N60" s="500"/>
      <c r="O60" s="501"/>
      <c r="P60" s="2429"/>
      <c r="Q60" s="486"/>
    </row>
    <row r="61" spans="1:29" s="35" customFormat="1" ht="15">
      <c r="A61" s="503" t="s">
        <v>2394</v>
      </c>
      <c r="B61" s="492"/>
      <c r="C61" s="504" t="s">
        <v>2395</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2396</v>
      </c>
      <c r="B63" s="510" t="s">
        <v>2361</v>
      </c>
      <c r="C63" s="511">
        <f>C9</f>
        <v>0</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1"/>
      <c r="Q65" s="486"/>
    </row>
    <row r="66" spans="1:17" ht="15.75" thickBot="1">
      <c r="A66" s="517"/>
      <c r="B66" s="527"/>
      <c r="C66" s="528">
        <v>100</v>
      </c>
      <c r="D66" s="528">
        <f t="shared" ref="D66:I66" si="17">C66-$K10</f>
        <v>100</v>
      </c>
      <c r="E66" s="528">
        <f t="shared" si="17"/>
        <v>100</v>
      </c>
      <c r="F66" s="528">
        <f t="shared" si="17"/>
        <v>100</v>
      </c>
      <c r="G66" s="528">
        <f t="shared" si="17"/>
        <v>100</v>
      </c>
      <c r="H66" s="528">
        <f t="shared" si="17"/>
        <v>100</v>
      </c>
      <c r="I66" s="528">
        <f t="shared" si="17"/>
        <v>100</v>
      </c>
      <c r="J66" s="528"/>
      <c r="K66" s="528"/>
      <c r="L66" s="528"/>
      <c r="M66" s="529"/>
      <c r="N66" s="1270"/>
      <c r="O66" s="1270"/>
      <c r="P66" s="2431"/>
      <c r="Q66" s="486"/>
    </row>
    <row r="67" spans="1:17" ht="15.75" thickTop="1">
      <c r="A67" s="517"/>
      <c r="B67" s="530" t="s">
        <v>2365</v>
      </c>
      <c r="C67" s="531" t="str">
        <f>C68&amp;"（含）"&amp;"-"&amp;D68</f>
        <v>（含）-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1"/>
      <c r="Q67" s="486"/>
    </row>
    <row r="68" spans="1:17" ht="15">
      <c r="A68" s="517"/>
      <c r="B68" s="532"/>
      <c r="C68" s="533"/>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45"/>
      <c r="E73" s="545"/>
      <c r="F73" s="545"/>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2418</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1"/>
      <c r="Q87" s="486"/>
    </row>
    <row r="88" spans="1:17" s="35" customFormat="1" ht="15.75" thickTop="1">
      <c r="A88" s="564"/>
      <c r="B88" s="522" t="s">
        <v>2419</v>
      </c>
      <c r="C88" s="538"/>
      <c r="D88" s="538"/>
      <c r="E88" s="538"/>
      <c r="F88" s="2436"/>
      <c r="G88" s="538"/>
      <c r="H88" s="538"/>
      <c r="I88" s="538"/>
      <c r="J88" s="538"/>
      <c r="K88" s="538"/>
      <c r="L88" s="538"/>
      <c r="M88" s="566"/>
      <c r="N88" s="1268"/>
      <c r="O88" s="1268"/>
      <c r="P88" s="2431"/>
      <c r="Q88" s="486"/>
    </row>
    <row r="89" spans="1:17" s="35" customFormat="1" ht="15.75" thickBot="1">
      <c r="A89" s="564"/>
      <c r="B89" s="527"/>
      <c r="C89" s="567">
        <v>100</v>
      </c>
      <c r="D89" s="528">
        <f t="shared" ref="D89:M89" si="21">C89-$K26</f>
        <v>100</v>
      </c>
      <c r="E89" s="528">
        <f t="shared" si="21"/>
        <v>100</v>
      </c>
      <c r="F89" s="528">
        <f t="shared" si="21"/>
        <v>100</v>
      </c>
      <c r="G89" s="528">
        <f t="shared" si="21"/>
        <v>100</v>
      </c>
      <c r="H89" s="528">
        <f t="shared" si="21"/>
        <v>100</v>
      </c>
      <c r="I89" s="528">
        <f t="shared" si="21"/>
        <v>100</v>
      </c>
      <c r="J89" s="528">
        <f t="shared" si="21"/>
        <v>100</v>
      </c>
      <c r="K89" s="528">
        <f t="shared" si="21"/>
        <v>100</v>
      </c>
      <c r="L89" s="528">
        <f t="shared" si="21"/>
        <v>100</v>
      </c>
      <c r="M89" s="528">
        <f t="shared" si="21"/>
        <v>100</v>
      </c>
      <c r="N89" s="1270"/>
      <c r="O89" s="1270"/>
      <c r="P89" s="2431"/>
      <c r="Q89" s="486"/>
    </row>
    <row r="90" spans="1:17" s="453" customFormat="1" ht="15.75" thickTop="1">
      <c r="A90" s="537"/>
      <c r="B90" s="522" t="str">
        <f>B27</f>
        <v>道路级别</v>
      </c>
      <c r="C90" s="538"/>
      <c r="D90" s="538"/>
      <c r="E90" s="538"/>
      <c r="F90" s="538"/>
      <c r="G90" s="538"/>
      <c r="H90" s="539"/>
      <c r="I90" s="539"/>
      <c r="J90" s="539"/>
      <c r="K90" s="539"/>
      <c r="L90" s="540"/>
      <c r="M90" s="541"/>
      <c r="N90" s="1271"/>
      <c r="O90" s="1271"/>
      <c r="P90" s="2432"/>
      <c r="Q90" s="544"/>
    </row>
    <row r="91" spans="1:17" s="453" customFormat="1" ht="15.75" thickBot="1">
      <c r="A91" s="537"/>
      <c r="B91" s="527"/>
      <c r="C91" s="545"/>
      <c r="D91" s="545"/>
      <c r="E91" s="545"/>
      <c r="F91" s="545"/>
      <c r="G91" s="545"/>
      <c r="H91" s="547"/>
      <c r="I91" s="547"/>
      <c r="J91" s="547"/>
      <c r="K91" s="547"/>
      <c r="L91" s="547"/>
      <c r="M91" s="548"/>
      <c r="N91" s="1271"/>
      <c r="O91" s="1271"/>
      <c r="P91" s="2432"/>
      <c r="Q91" s="544"/>
    </row>
    <row r="92" spans="1:17" ht="15.75" thickTop="1">
      <c r="A92" s="517"/>
      <c r="B92" s="522">
        <f>B28</f>
        <v>111</v>
      </c>
      <c r="C92" s="538"/>
      <c r="D92" s="538"/>
      <c r="E92" s="538"/>
      <c r="F92" s="538"/>
      <c r="G92" s="568"/>
      <c r="H92" s="568"/>
      <c r="I92" s="568"/>
      <c r="J92" s="568"/>
      <c r="K92" s="569"/>
      <c r="L92" s="570"/>
      <c r="M92" s="571"/>
      <c r="N92" s="1269"/>
      <c r="O92" s="1269"/>
      <c r="P92" s="2431"/>
      <c r="Q92" s="486"/>
    </row>
    <row r="93" spans="1:17" ht="15.75" thickBot="1">
      <c r="A93" s="517"/>
      <c r="B93" s="527"/>
      <c r="C93" s="545"/>
      <c r="D93" s="519"/>
      <c r="E93" s="519"/>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45"/>
      <c r="E95" s="545"/>
      <c r="F95" s="545"/>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55"/>
      <c r="D97" s="555"/>
      <c r="E97" s="555"/>
      <c r="F97" s="555"/>
      <c r="G97" s="519"/>
      <c r="H97" s="519"/>
      <c r="I97" s="519"/>
      <c r="J97" s="519"/>
      <c r="K97" s="519"/>
      <c r="L97" s="519"/>
      <c r="M97" s="520"/>
      <c r="N97" s="1270"/>
      <c r="O97" s="1270"/>
      <c r="P97" s="2431"/>
      <c r="Q97" s="486"/>
    </row>
    <row r="98" spans="1:17" ht="15.75" thickTop="1">
      <c r="A98" s="517"/>
      <c r="B98" s="530">
        <f>B31</f>
        <v>111</v>
      </c>
      <c r="C98" s="572"/>
      <c r="D98" s="572"/>
      <c r="E98" s="572"/>
      <c r="F98" s="572"/>
      <c r="G98" s="572"/>
      <c r="H98" s="572"/>
      <c r="I98" s="572"/>
      <c r="J98" s="572"/>
      <c r="K98" s="573"/>
      <c r="L98" s="574"/>
      <c r="M98" s="575"/>
      <c r="N98" s="1269"/>
      <c r="O98" s="1269"/>
      <c r="P98" s="2431"/>
      <c r="Q98" s="486"/>
    </row>
    <row r="99" spans="1:17" ht="15.75" thickBot="1">
      <c r="A99" s="2437"/>
      <c r="B99" s="554"/>
      <c r="C99" s="576"/>
      <c r="D99" s="576"/>
      <c r="E99" s="576"/>
      <c r="F99" s="576"/>
      <c r="G99" s="576"/>
      <c r="H99" s="576"/>
      <c r="I99" s="576"/>
      <c r="J99" s="576"/>
      <c r="K99" s="576"/>
      <c r="L99" s="576"/>
      <c r="M99" s="577"/>
      <c r="N99" s="1270"/>
      <c r="O99" s="1270"/>
      <c r="P99" s="2431"/>
      <c r="Q99" s="486"/>
    </row>
    <row r="100" spans="1:17">
      <c r="A100" s="509" t="s">
        <v>2371</v>
      </c>
      <c r="B100" s="510" t="s">
        <v>2420</v>
      </c>
      <c r="C100" s="512"/>
      <c r="D100" s="512"/>
      <c r="E100" s="512"/>
      <c r="F100" s="512"/>
      <c r="G100" s="512"/>
      <c r="H100" s="512"/>
      <c r="I100" s="512"/>
      <c r="J100" s="512"/>
      <c r="K100" s="513"/>
      <c r="L100" s="514"/>
      <c r="M100" s="515"/>
      <c r="N100" s="1269"/>
      <c r="O100" s="1269"/>
      <c r="P100" s="2431"/>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70"/>
      <c r="O101" s="1270"/>
      <c r="P101" s="2431"/>
      <c r="Q101" s="486"/>
    </row>
    <row r="102" spans="1:17" ht="15.75" thickTop="1">
      <c r="A102" s="517"/>
      <c r="B102" s="522" t="s">
        <v>2421</v>
      </c>
      <c r="C102" s="563" t="str">
        <f>C103&amp;"(含)"&amp;"-"&amp;D103</f>
        <v>(含)-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8"/>
      <c r="O102" s="1268"/>
      <c r="P102" s="2431"/>
      <c r="Q102" s="486"/>
    </row>
    <row r="103" spans="1:17" s="453" customFormat="1">
      <c r="A103" s="578"/>
      <c r="B103" s="579"/>
      <c r="C103" s="580"/>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19"/>
      <c r="N104" s="1270"/>
      <c r="O104" s="1270"/>
      <c r="P104" s="2432"/>
      <c r="Q104" s="544"/>
    </row>
    <row r="105" spans="1:17" ht="15" thickTop="1">
      <c r="A105" s="584"/>
      <c r="B105" s="522" t="s">
        <v>2422</v>
      </c>
      <c r="C105" s="538"/>
      <c r="D105" s="538"/>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70"/>
      <c r="O106" s="1270"/>
      <c r="P106" s="2431"/>
      <c r="Q106" s="486"/>
    </row>
    <row r="107" spans="1:17" ht="15" thickTop="1">
      <c r="A107" s="584"/>
      <c r="B107" s="522" t="s">
        <v>2423</v>
      </c>
      <c r="C107" s="568"/>
      <c r="D107" s="568"/>
      <c r="E107" s="56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1"/>
      <c r="Q108" s="486"/>
    </row>
    <row r="109" spans="1:17" ht="15" thickTop="1">
      <c r="A109" s="584"/>
      <c r="B109" s="522" t="s">
        <v>2424</v>
      </c>
      <c r="C109" s="538"/>
      <c r="D109" s="538"/>
      <c r="E109" s="538"/>
      <c r="F109" s="568"/>
      <c r="G109" s="568"/>
      <c r="H109" s="568"/>
      <c r="I109" s="568"/>
      <c r="J109" s="568"/>
      <c r="K109" s="569"/>
      <c r="L109" s="570"/>
      <c r="M109" s="571"/>
      <c r="N109" s="1269"/>
      <c r="O109" s="1269"/>
      <c r="P109" s="2431"/>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70"/>
      <c r="O110" s="1270"/>
      <c r="P110" s="2431"/>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2"/>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2"/>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1"/>
      <c r="O113" s="1271"/>
      <c r="P113" s="2432"/>
      <c r="Q113" s="544"/>
    </row>
    <row r="114" spans="1:17" ht="15" thickTop="1">
      <c r="A114" s="584"/>
      <c r="B114" s="522" t="s">
        <v>2426</v>
      </c>
      <c r="C114" s="538"/>
      <c r="D114" s="538"/>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70"/>
      <c r="O115" s="1270"/>
      <c r="P115" s="2431"/>
      <c r="Q115" s="486"/>
    </row>
    <row r="116" spans="1:17" ht="15" thickTop="1">
      <c r="A116" s="584"/>
      <c r="B116" s="522" t="s">
        <v>2427</v>
      </c>
      <c r="C116" s="538"/>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2428</v>
      </c>
      <c r="C118" s="568"/>
      <c r="D118" s="568"/>
      <c r="E118" s="568"/>
      <c r="F118" s="568"/>
      <c r="G118" s="568"/>
      <c r="H118" s="568"/>
      <c r="I118" s="568"/>
      <c r="J118" s="568"/>
      <c r="K118" s="569"/>
      <c r="L118" s="570"/>
      <c r="M118" s="571"/>
      <c r="N118" s="1269"/>
      <c r="O118" s="1269"/>
      <c r="P118" s="2431"/>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70"/>
      <c r="O119" s="1270"/>
      <c r="P119" s="2431"/>
      <c r="Q119" s="486"/>
    </row>
    <row r="120" spans="1:17" s="453" customFormat="1" ht="28.5" thickTop="1">
      <c r="A120" s="578"/>
      <c r="B120" s="522" t="s">
        <v>2382</v>
      </c>
      <c r="C120" s="538"/>
      <c r="D120" s="538"/>
      <c r="E120" s="538"/>
      <c r="F120" s="538"/>
      <c r="G120" s="538"/>
      <c r="H120" s="538"/>
      <c r="I120" s="538"/>
      <c r="J120" s="538"/>
      <c r="K120" s="538"/>
      <c r="L120" s="565"/>
      <c r="M120" s="566"/>
      <c r="N120" s="1271"/>
      <c r="O120" s="1271"/>
      <c r="P120" s="2432"/>
      <c r="Q120" s="544"/>
    </row>
    <row r="121" spans="1:17" s="453" customFormat="1" ht="15.75" thickBot="1">
      <c r="A121" s="537"/>
      <c r="B121" s="518"/>
      <c r="C121" s="545"/>
      <c r="D121" s="519"/>
      <c r="E121" s="519"/>
      <c r="F121" s="519"/>
      <c r="G121" s="519"/>
      <c r="H121" s="519"/>
      <c r="I121" s="519"/>
      <c r="J121" s="519"/>
      <c r="K121" s="519"/>
      <c r="L121" s="519"/>
      <c r="M121" s="519"/>
      <c r="N121" s="1271"/>
      <c r="O121" s="1271"/>
      <c r="P121" s="2432"/>
      <c r="Q121" s="544"/>
    </row>
    <row r="122" spans="1:17" ht="15" thickTop="1">
      <c r="A122" s="584"/>
      <c r="B122" s="522" t="s">
        <v>2429</v>
      </c>
      <c r="C122" s="538"/>
      <c r="D122" s="538"/>
      <c r="E122" s="538"/>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8">
        <f t="shared" si="29"/>
        <v>100</v>
      </c>
      <c r="N123" s="1270"/>
      <c r="O123" s="1270"/>
      <c r="P123" s="2431"/>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45"/>
      <c r="E129" s="545"/>
      <c r="F129" s="545"/>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row r="136" spans="1:17" ht="15" thickBot="1">
      <c r="B136" s="2438" t="s">
        <v>2431</v>
      </c>
    </row>
    <row r="137" spans="1:17" ht="15">
      <c r="B137" s="2439" t="s">
        <v>2432</v>
      </c>
      <c r="C137" s="2440"/>
      <c r="D137" s="2440"/>
      <c r="E137" s="2440"/>
      <c r="F137" s="2440"/>
      <c r="G137" s="2441"/>
      <c r="H137" s="2442"/>
      <c r="I137" s="2443" t="s">
        <v>2433</v>
      </c>
      <c r="J137" s="2440"/>
      <c r="K137" s="2444"/>
    </row>
    <row r="138" spans="1:17" ht="15">
      <c r="B138" s="2445"/>
      <c r="C138" s="62" t="s">
        <v>2434</v>
      </c>
      <c r="D138" s="62" t="s">
        <v>2435</v>
      </c>
      <c r="E138" s="2446" t="s">
        <v>2436</v>
      </c>
      <c r="F138" s="2447" t="s">
        <v>2437</v>
      </c>
      <c r="G138" s="62" t="s">
        <v>2435</v>
      </c>
      <c r="H138" s="63" t="s">
        <v>2436</v>
      </c>
      <c r="I138" s="2448"/>
      <c r="J138" s="62" t="s">
        <v>2438</v>
      </c>
      <c r="K138" s="63" t="s">
        <v>2439</v>
      </c>
    </row>
    <row r="139" spans="1:17" ht="15">
      <c r="B139" s="1126">
        <v>6</v>
      </c>
      <c r="C139" s="1134">
        <v>96</v>
      </c>
      <c r="D139" s="2449" t="s">
        <v>2440</v>
      </c>
      <c r="E139" s="1135">
        <v>100</v>
      </c>
      <c r="F139" s="1136">
        <v>102.5</v>
      </c>
      <c r="G139" s="2449" t="s">
        <v>2440</v>
      </c>
      <c r="H139" s="1137">
        <v>105</v>
      </c>
      <c r="I139" s="2450" t="s">
        <v>2441</v>
      </c>
      <c r="J139" s="1134">
        <v>20</v>
      </c>
      <c r="K139" s="1128">
        <f>C145/(J139-2)</f>
        <v>4.0555555555555553E-3</v>
      </c>
    </row>
    <row r="140" spans="1:17" ht="15">
      <c r="B140" s="1127">
        <v>5</v>
      </c>
      <c r="C140" s="1138">
        <v>100</v>
      </c>
      <c r="D140" s="1138"/>
      <c r="E140" s="1139"/>
      <c r="F140" s="1140">
        <v>102</v>
      </c>
      <c r="G140" s="1138"/>
      <c r="H140" s="1141"/>
      <c r="I140" s="2451" t="s">
        <v>2442</v>
      </c>
      <c r="J140" s="218">
        <f>ROUNDUP((J139-1)/2,0)</f>
        <v>10</v>
      </c>
      <c r="K140" s="1129">
        <v>100</v>
      </c>
    </row>
    <row r="141" spans="1:17" ht="15">
      <c r="B141" s="1127">
        <v>4</v>
      </c>
      <c r="C141" s="1138">
        <v>102</v>
      </c>
      <c r="D141" s="1138"/>
      <c r="E141" s="1139"/>
      <c r="F141" s="1140">
        <v>101.5</v>
      </c>
      <c r="G141" s="1138"/>
      <c r="H141" s="1141"/>
      <c r="I141" s="2451" t="s">
        <v>2443</v>
      </c>
      <c r="J141" s="218">
        <v>1</v>
      </c>
      <c r="K141" s="1130">
        <f>ROUND(100+(J141-J140)*K139*100,1)</f>
        <v>96.4</v>
      </c>
    </row>
    <row r="142" spans="1:17" ht="15">
      <c r="B142" s="1127">
        <v>3</v>
      </c>
      <c r="C142" s="1138">
        <v>103</v>
      </c>
      <c r="D142" s="1138"/>
      <c r="E142" s="1139"/>
      <c r="F142" s="1140">
        <v>101</v>
      </c>
      <c r="G142" s="1138"/>
      <c r="H142" s="1141"/>
      <c r="I142" s="2451" t="s">
        <v>2444</v>
      </c>
      <c r="J142" s="218">
        <f>J139</f>
        <v>20</v>
      </c>
      <c r="K142" s="1143">
        <v>95</v>
      </c>
    </row>
    <row r="143" spans="1:17" ht="15">
      <c r="B143" s="1127">
        <v>2</v>
      </c>
      <c r="C143" s="1138">
        <v>100</v>
      </c>
      <c r="D143" s="1138"/>
      <c r="E143" s="1139"/>
      <c r="F143" s="1140">
        <v>100.5</v>
      </c>
      <c r="G143" s="1138"/>
      <c r="H143" s="1141"/>
      <c r="I143" s="2451" t="s">
        <v>2445</v>
      </c>
      <c r="J143" s="1138">
        <v>15</v>
      </c>
      <c r="K143" s="1130">
        <f>ROUND(100+(J143-J140)*K139*100,1)</f>
        <v>102</v>
      </c>
    </row>
    <row r="144" spans="1:17" ht="15">
      <c r="B144" s="1127">
        <v>1</v>
      </c>
      <c r="C144" s="1138">
        <v>98</v>
      </c>
      <c r="D144" s="2452" t="s">
        <v>2446</v>
      </c>
      <c r="E144" s="1139">
        <v>102</v>
      </c>
      <c r="F144" s="1142">
        <v>100</v>
      </c>
      <c r="G144" s="2452" t="s">
        <v>2446</v>
      </c>
      <c r="H144" s="1141">
        <v>105</v>
      </c>
      <c r="I144" s="2451" t="s">
        <v>2445</v>
      </c>
      <c r="J144" s="1138">
        <v>18</v>
      </c>
      <c r="K144" s="1130">
        <f>ROUND(100+(J144-J140)*K139*100,1)</f>
        <v>103.2</v>
      </c>
    </row>
    <row r="145" spans="2:11" ht="15.75" thickBot="1">
      <c r="B145" s="2453" t="s">
        <v>2447</v>
      </c>
      <c r="C145" s="1132">
        <f>ROUND(MAX(C139:C144)/MIN(C139:C144)-1,3)</f>
        <v>7.2999999999999995E-2</v>
      </c>
      <c r="D145" s="1133"/>
      <c r="E145" s="1133"/>
      <c r="F145" s="2454" t="s">
        <v>2448</v>
      </c>
      <c r="G145" s="2455"/>
      <c r="H145" s="2456"/>
      <c r="I145" s="2457" t="s">
        <v>2445</v>
      </c>
      <c r="J145" s="1144">
        <v>8</v>
      </c>
      <c r="K145" s="1131">
        <f>ROUND(100+(J145-J140)*K139*100,1)</f>
        <v>99.2</v>
      </c>
    </row>
    <row r="147" spans="2:11">
      <c r="B147" s="2438" t="s">
        <v>2449</v>
      </c>
    </row>
    <row r="148" spans="2:11">
      <c r="B148" s="2438"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E91" sqref="E91"/>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58"/>
      <c r="E1" s="2387"/>
      <c r="F1" s="1746" t="s">
        <v>2340</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89"/>
      <c r="E2" s="2459" t="e">
        <f ca="1">SUMIF(INDIRECT("'"&amp;G2&amp;"'"&amp;"!A:A"),"承租人权益价值",INDIRECT("'"&amp;G2&amp;"'"&amp;"!c:c"))</f>
        <v>#REF!</v>
      </c>
      <c r="F2" s="2390" t="str">
        <f>C2</f>
        <v>元</v>
      </c>
      <c r="G2" s="2391"/>
      <c r="H2" s="982"/>
      <c r="I2" s="982"/>
      <c r="J2" s="982"/>
      <c r="K2" s="982"/>
      <c r="L2" s="1243"/>
      <c r="M2" s="1244"/>
      <c r="N2" s="1244"/>
      <c r="O2" s="1244"/>
      <c r="P2" s="2460"/>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339.05</v>
      </c>
      <c r="E3" s="2461"/>
      <c r="F3" s="983"/>
      <c r="G3" s="982"/>
      <c r="H3" s="982"/>
      <c r="I3" s="982"/>
      <c r="J3" s="982"/>
      <c r="K3" s="984"/>
      <c r="L3" s="1243"/>
      <c r="M3" s="1244"/>
      <c r="N3" s="1244"/>
      <c r="O3" s="1244"/>
      <c r="P3" s="2460"/>
      <c r="Q3" s="748"/>
      <c r="R3" s="748"/>
      <c r="S3" s="748"/>
      <c r="T3" s="748"/>
      <c r="U3" s="748"/>
      <c r="V3" s="748"/>
      <c r="W3" s="748"/>
      <c r="X3" s="748"/>
      <c r="Y3" s="748"/>
      <c r="Z3" s="748"/>
      <c r="AA3" s="748"/>
      <c r="AB3" s="748"/>
      <c r="AC3" s="762"/>
    </row>
    <row r="4" spans="1:29" ht="15">
      <c r="A4" s="381" t="s">
        <v>2342</v>
      </c>
      <c r="B4" s="382"/>
      <c r="C4" s="2977" t="s">
        <v>2343</v>
      </c>
      <c r="D4" s="2978"/>
      <c r="E4" s="2979" t="s">
        <v>2344</v>
      </c>
      <c r="F4" s="2980"/>
      <c r="G4" s="2977" t="s">
        <v>2345</v>
      </c>
      <c r="H4" s="2978"/>
      <c r="I4" s="2977" t="s">
        <v>2346</v>
      </c>
      <c r="J4" s="2978"/>
      <c r="K4" s="595" t="s">
        <v>2347</v>
      </c>
      <c r="L4" s="1245"/>
      <c r="M4" s="1246"/>
      <c r="N4" s="1246"/>
      <c r="O4" s="1246"/>
      <c r="P4" s="2981" t="s">
        <v>2348</v>
      </c>
      <c r="Q4" s="2982"/>
      <c r="R4" s="2987" t="s">
        <v>2344</v>
      </c>
      <c r="S4" s="2988"/>
      <c r="T4" s="2987" t="s">
        <v>2345</v>
      </c>
      <c r="U4" s="2988"/>
      <c r="V4" s="2993" t="s">
        <v>2346</v>
      </c>
      <c r="W4" s="2993"/>
      <c r="X4" s="1906"/>
      <c r="Y4" s="2987" t="s">
        <v>2348</v>
      </c>
      <c r="Z4" s="2988"/>
      <c r="AA4" s="2974" t="s">
        <v>2344</v>
      </c>
      <c r="AB4" s="2993" t="s">
        <v>2345</v>
      </c>
      <c r="AC4" s="2974" t="s">
        <v>2346</v>
      </c>
    </row>
    <row r="5" spans="1:29" ht="15">
      <c r="A5" s="384"/>
      <c r="B5" s="385"/>
      <c r="C5" s="2996" t="s">
        <v>2349</v>
      </c>
      <c r="D5" s="2997"/>
      <c r="E5" s="2994" t="s">
        <v>2350</v>
      </c>
      <c r="F5" s="2995"/>
      <c r="G5" s="2996" t="s">
        <v>2351</v>
      </c>
      <c r="H5" s="2997"/>
      <c r="I5" s="2996" t="s">
        <v>2352</v>
      </c>
      <c r="J5" s="2997"/>
      <c r="K5" s="595"/>
      <c r="L5" s="1245"/>
      <c r="M5" s="1246"/>
      <c r="N5" s="1246"/>
      <c r="O5" s="1246"/>
      <c r="P5" s="2983"/>
      <c r="Q5" s="2984"/>
      <c r="R5" s="2989"/>
      <c r="S5" s="2990"/>
      <c r="T5" s="2989"/>
      <c r="U5" s="2990"/>
      <c r="V5" s="2993"/>
      <c r="W5" s="2993"/>
      <c r="X5" s="1906"/>
      <c r="Y5" s="2989"/>
      <c r="Z5" s="2990"/>
      <c r="AA5" s="2975"/>
      <c r="AB5" s="2993"/>
      <c r="AC5" s="2975"/>
    </row>
    <row r="6" spans="1:29" ht="15.75" thickBot="1">
      <c r="A6" s="386"/>
      <c r="B6" s="387"/>
      <c r="C6" s="2998" t="s">
        <v>2353</v>
      </c>
      <c r="D6" s="2999"/>
      <c r="E6" s="3000" t="s">
        <v>2353</v>
      </c>
      <c r="F6" s="3001"/>
      <c r="G6" s="2998" t="s">
        <v>2353</v>
      </c>
      <c r="H6" s="2999"/>
      <c r="I6" s="2998" t="s">
        <v>2353</v>
      </c>
      <c r="J6" s="2999"/>
      <c r="K6" s="595" t="s">
        <v>2354</v>
      </c>
      <c r="L6" s="1245"/>
      <c r="M6" s="1246"/>
      <c r="N6" s="1246"/>
      <c r="O6" s="1246"/>
      <c r="P6" s="2985"/>
      <c r="Q6" s="2986"/>
      <c r="R6" s="2989"/>
      <c r="S6" s="2990"/>
      <c r="T6" s="2991"/>
      <c r="U6" s="2992"/>
      <c r="V6" s="2993"/>
      <c r="W6" s="2993"/>
      <c r="X6" s="1906"/>
      <c r="Y6" s="2991"/>
      <c r="Z6" s="2992"/>
      <c r="AA6" s="2976"/>
      <c r="AB6" s="2993"/>
      <c r="AC6" s="2976"/>
    </row>
    <row r="7" spans="1:29" s="35" customFormat="1" ht="15.75" thickBot="1">
      <c r="A7" s="388" t="s">
        <v>2355</v>
      </c>
      <c r="B7" s="389"/>
      <c r="C7" s="390">
        <f>'数据-取费表'!B2</f>
        <v>42990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09" t="s">
        <v>2356</v>
      </c>
      <c r="Q7" s="3011"/>
      <c r="R7" s="750" t="s">
        <v>25</v>
      </c>
      <c r="S7" s="751">
        <f t="shared" ref="S7:S15" si="0">F7</f>
        <v>0</v>
      </c>
      <c r="T7" s="750" t="s">
        <v>25</v>
      </c>
      <c r="U7" s="751">
        <f t="shared" ref="U7:U15" si="1">H7</f>
        <v>0</v>
      </c>
      <c r="V7" s="750" t="s">
        <v>25</v>
      </c>
      <c r="W7" s="751">
        <f t="shared" ref="W7:W15" si="2">J7</f>
        <v>0</v>
      </c>
      <c r="X7" s="752"/>
      <c r="Y7" s="3009" t="s">
        <v>2356</v>
      </c>
      <c r="Z7" s="3010"/>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09" t="s">
        <v>2359</v>
      </c>
      <c r="Q8" s="3010"/>
      <c r="R8" s="750" t="s">
        <v>25</v>
      </c>
      <c r="S8" s="751">
        <f t="shared" si="0"/>
        <v>0</v>
      </c>
      <c r="T8" s="750" t="s">
        <v>25</v>
      </c>
      <c r="U8" s="751">
        <f t="shared" si="1"/>
        <v>0</v>
      </c>
      <c r="V8" s="750" t="s">
        <v>25</v>
      </c>
      <c r="W8" s="751">
        <f t="shared" si="2"/>
        <v>0</v>
      </c>
      <c r="X8" s="752"/>
      <c r="Y8" s="3009" t="s">
        <v>2359</v>
      </c>
      <c r="Z8" s="3010"/>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12" t="s">
        <v>2362</v>
      </c>
      <c r="Q9" s="1893" t="str">
        <f t="shared" ref="Q9:Q15" si="6">B9</f>
        <v>用途</v>
      </c>
      <c r="R9" s="750" t="s">
        <v>25</v>
      </c>
      <c r="S9" s="751">
        <f t="shared" si="0"/>
        <v>100</v>
      </c>
      <c r="T9" s="750" t="s">
        <v>25</v>
      </c>
      <c r="U9" s="751">
        <f t="shared" si="1"/>
        <v>100</v>
      </c>
      <c r="V9" s="750" t="s">
        <v>25</v>
      </c>
      <c r="W9" s="751">
        <f t="shared" si="2"/>
        <v>100</v>
      </c>
      <c r="X9" s="752"/>
      <c r="Y9" s="282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12"/>
      <c r="Q10" s="1893" t="str">
        <f t="shared" si="6"/>
        <v>土地使用年限（年）</v>
      </c>
      <c r="R10" s="750" t="s">
        <v>25</v>
      </c>
      <c r="S10" s="751">
        <f t="shared" si="0"/>
        <v>100</v>
      </c>
      <c r="T10" s="750" t="s">
        <v>25</v>
      </c>
      <c r="U10" s="751">
        <f t="shared" si="1"/>
        <v>100</v>
      </c>
      <c r="V10" s="750" t="s">
        <v>25</v>
      </c>
      <c r="W10" s="751">
        <f t="shared" si="2"/>
        <v>100</v>
      </c>
      <c r="X10" s="752"/>
      <c r="Y10" s="282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12"/>
      <c r="Q11" s="1893" t="str">
        <f t="shared" si="6"/>
        <v>容积率</v>
      </c>
      <c r="R11" s="750" t="s">
        <v>25</v>
      </c>
      <c r="S11" s="751" t="e">
        <f t="shared" si="0"/>
        <v>#N/A</v>
      </c>
      <c r="T11" s="750" t="s">
        <v>25</v>
      </c>
      <c r="U11" s="751" t="e">
        <f t="shared" si="1"/>
        <v>#N/A</v>
      </c>
      <c r="V11" s="750" t="s">
        <v>25</v>
      </c>
      <c r="W11" s="751" t="e">
        <f t="shared" si="2"/>
        <v>#N/A</v>
      </c>
      <c r="X11" s="752"/>
      <c r="Y11" s="2825"/>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12"/>
      <c r="Q12" s="1893">
        <f t="shared" si="6"/>
        <v>111</v>
      </c>
      <c r="R12" s="750" t="s">
        <v>25</v>
      </c>
      <c r="S12" s="751">
        <f t="shared" si="0"/>
        <v>100</v>
      </c>
      <c r="T12" s="750" t="s">
        <v>25</v>
      </c>
      <c r="U12" s="751">
        <f t="shared" si="1"/>
        <v>100</v>
      </c>
      <c r="V12" s="750" t="s">
        <v>25</v>
      </c>
      <c r="W12" s="751">
        <f t="shared" si="2"/>
        <v>100</v>
      </c>
      <c r="X12" s="752"/>
      <c r="Y12" s="2825"/>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12"/>
      <c r="Q13" s="1893">
        <f t="shared" si="6"/>
        <v>111</v>
      </c>
      <c r="R13" s="750" t="s">
        <v>25</v>
      </c>
      <c r="S13" s="751">
        <f t="shared" si="0"/>
        <v>100</v>
      </c>
      <c r="T13" s="750" t="s">
        <v>25</v>
      </c>
      <c r="U13" s="751">
        <f t="shared" si="1"/>
        <v>100</v>
      </c>
      <c r="V13" s="750" t="s">
        <v>25</v>
      </c>
      <c r="W13" s="751">
        <f t="shared" si="2"/>
        <v>100</v>
      </c>
      <c r="X13" s="752"/>
      <c r="Y13" s="2825"/>
      <c r="Z13" s="23">
        <f t="shared" si="7"/>
        <v>111</v>
      </c>
      <c r="AA13" s="753">
        <f t="shared" si="3"/>
        <v>1</v>
      </c>
      <c r="AB13" s="753">
        <f t="shared" si="4"/>
        <v>1</v>
      </c>
      <c r="AC13" s="753">
        <f t="shared" si="5"/>
        <v>1</v>
      </c>
    </row>
    <row r="14" spans="1:29" ht="15.75" thickBot="1">
      <c r="A14" s="417"/>
      <c r="B14" s="2406">
        <v>111</v>
      </c>
      <c r="C14" s="2407"/>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12"/>
      <c r="Q14" s="1893">
        <f t="shared" si="6"/>
        <v>111</v>
      </c>
      <c r="R14" s="750" t="s">
        <v>25</v>
      </c>
      <c r="S14" s="751">
        <f t="shared" si="0"/>
        <v>100</v>
      </c>
      <c r="T14" s="750" t="s">
        <v>25</v>
      </c>
      <c r="U14" s="751">
        <f t="shared" si="1"/>
        <v>100</v>
      </c>
      <c r="V14" s="750" t="s">
        <v>25</v>
      </c>
      <c r="W14" s="751">
        <f t="shared" si="2"/>
        <v>100</v>
      </c>
      <c r="X14" s="752"/>
      <c r="Y14" s="2825"/>
      <c r="Z14" s="23">
        <f t="shared" si="7"/>
        <v>111</v>
      </c>
      <c r="AA14" s="753">
        <f t="shared" si="3"/>
        <v>1</v>
      </c>
      <c r="AB14" s="753">
        <f t="shared" si="4"/>
        <v>1</v>
      </c>
      <c r="AC14" s="753">
        <f t="shared" si="5"/>
        <v>1</v>
      </c>
    </row>
    <row r="15" spans="1:29" ht="71.25">
      <c r="A15" s="420" t="s">
        <v>2366</v>
      </c>
      <c r="B15" s="26" t="s">
        <v>2452</v>
      </c>
      <c r="C15" s="2408" t="str">
        <f>估价对象房地状况!C4</f>
        <v>估价对象位于新街口商圈，周边商业氛围成熟，人流量大，商业繁华度较好</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15" t="s">
        <v>2367</v>
      </c>
      <c r="Q15" s="1905" t="str">
        <f t="shared" si="6"/>
        <v>商业繁华度</v>
      </c>
      <c r="R15" s="754" t="s">
        <v>25</v>
      </c>
      <c r="S15" s="755">
        <f t="shared" si="0"/>
        <v>100</v>
      </c>
      <c r="T15" s="754" t="s">
        <v>25</v>
      </c>
      <c r="U15" s="755">
        <f t="shared" si="1"/>
        <v>100</v>
      </c>
      <c r="V15" s="754" t="s">
        <v>25</v>
      </c>
      <c r="W15" s="755">
        <f t="shared" si="2"/>
        <v>100</v>
      </c>
      <c r="X15" s="1906"/>
      <c r="Y15" s="300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16"/>
      <c r="Q16" s="1905"/>
      <c r="R16" s="754"/>
      <c r="S16" s="755"/>
      <c r="T16" s="754"/>
      <c r="U16" s="755"/>
      <c r="V16" s="754"/>
      <c r="W16" s="755"/>
      <c r="X16" s="1906"/>
      <c r="Y16" s="3003"/>
      <c r="Z16" s="1908"/>
      <c r="AA16" s="1909">
        <v>1</v>
      </c>
      <c r="AB16" s="1909">
        <v>1</v>
      </c>
      <c r="AC16" s="1909">
        <v>1</v>
      </c>
    </row>
    <row r="17" spans="1:29" ht="85.5">
      <c r="A17" s="409"/>
      <c r="B17" s="432" t="s">
        <v>1751</v>
      </c>
      <c r="C17" s="2411" t="str">
        <f>估价对象房地状况!C6</f>
        <v>估价对象紧邻城市支道路——新街口四条，有22路、47路、86路、409路等多条公交线路及地铁2号线（积水潭站）、地铁6号线（新街口站)通过，交通便捷度较好。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16"/>
      <c r="Q17" s="1905" t="str">
        <f>B17</f>
        <v>交通便捷度</v>
      </c>
      <c r="R17" s="754" t="s">
        <v>25</v>
      </c>
      <c r="S17" s="755">
        <f>F17</f>
        <v>100</v>
      </c>
      <c r="T17" s="754" t="s">
        <v>25</v>
      </c>
      <c r="U17" s="755">
        <f>H17</f>
        <v>100</v>
      </c>
      <c r="V17" s="754" t="s">
        <v>25</v>
      </c>
      <c r="W17" s="755">
        <f>J17</f>
        <v>100</v>
      </c>
      <c r="X17" s="1906"/>
      <c r="Y17" s="3003"/>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46"/>
      <c r="P18" s="3016"/>
      <c r="Q18" s="1905"/>
      <c r="R18" s="754"/>
      <c r="S18" s="755"/>
      <c r="T18" s="754"/>
      <c r="U18" s="755"/>
      <c r="V18" s="754"/>
      <c r="W18" s="755"/>
      <c r="X18" s="1906"/>
      <c r="Y18" s="3003"/>
      <c r="Z18" s="1908"/>
      <c r="AA18" s="1909">
        <v>1</v>
      </c>
      <c r="AB18" s="1909">
        <v>1</v>
      </c>
      <c r="AC18" s="1909">
        <v>1</v>
      </c>
    </row>
    <row r="19" spans="1:29" ht="42.75">
      <c r="A19" s="409"/>
      <c r="B19" s="432" t="s">
        <v>2453</v>
      </c>
      <c r="C19" s="2411"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16"/>
      <c r="Q19" s="1905" t="str">
        <f>B19</f>
        <v>公共配套设施</v>
      </c>
      <c r="R19" s="754" t="s">
        <v>25</v>
      </c>
      <c r="S19" s="755">
        <f>F19</f>
        <v>100</v>
      </c>
      <c r="T19" s="754" t="s">
        <v>25</v>
      </c>
      <c r="U19" s="755">
        <f>H19</f>
        <v>100</v>
      </c>
      <c r="V19" s="754" t="s">
        <v>25</v>
      </c>
      <c r="W19" s="755">
        <f>J19</f>
        <v>100</v>
      </c>
      <c r="X19" s="1906"/>
      <c r="Y19" s="3003"/>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600"/>
      <c r="L20" s="1255"/>
      <c r="M20" s="1246"/>
      <c r="N20" s="1246"/>
      <c r="O20" s="1246"/>
      <c r="P20" s="3016"/>
      <c r="Q20" s="1905"/>
      <c r="R20" s="754"/>
      <c r="S20" s="755"/>
      <c r="T20" s="754"/>
      <c r="U20" s="755"/>
      <c r="V20" s="754"/>
      <c r="W20" s="755"/>
      <c r="X20" s="1906"/>
      <c r="Y20" s="3003"/>
      <c r="Z20" s="1908"/>
      <c r="AA20" s="1909">
        <v>1</v>
      </c>
      <c r="AB20" s="1909">
        <v>1</v>
      </c>
      <c r="AC20" s="1909">
        <v>1</v>
      </c>
    </row>
    <row r="21" spans="1:29" ht="28.5">
      <c r="A21" s="409"/>
      <c r="B21" s="2413" t="s">
        <v>2454</v>
      </c>
      <c r="C21" s="2411"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16"/>
      <c r="Q21" s="1905" t="str">
        <f>B21</f>
        <v>基础设施水平</v>
      </c>
      <c r="R21" s="754" t="s">
        <v>25</v>
      </c>
      <c r="S21" s="755">
        <f>F21</f>
        <v>100</v>
      </c>
      <c r="T21" s="754" t="s">
        <v>25</v>
      </c>
      <c r="U21" s="755">
        <f>H21</f>
        <v>100</v>
      </c>
      <c r="V21" s="754" t="s">
        <v>25</v>
      </c>
      <c r="W21" s="755">
        <f>J21</f>
        <v>100</v>
      </c>
      <c r="X21" s="1906"/>
      <c r="Y21" s="3003"/>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46"/>
      <c r="P22" s="3016"/>
      <c r="Q22" s="1905"/>
      <c r="R22" s="754"/>
      <c r="S22" s="755"/>
      <c r="T22" s="754"/>
      <c r="U22" s="755"/>
      <c r="V22" s="754"/>
      <c r="W22" s="755"/>
      <c r="X22" s="1906"/>
      <c r="Y22" s="3003"/>
      <c r="Z22" s="1908"/>
      <c r="AA22" s="1909">
        <v>1</v>
      </c>
      <c r="AB22" s="1909">
        <v>1</v>
      </c>
      <c r="AC22" s="1909">
        <v>1</v>
      </c>
    </row>
    <row r="23" spans="1:29" ht="57">
      <c r="A23" s="409"/>
      <c r="B23" s="432" t="s">
        <v>1756</v>
      </c>
      <c r="C23" s="2462" t="str">
        <f>估价对象房地状况!C9</f>
        <v>自然环境：什刹海公园、官园公园、护城河；人文环境：西城区青少年儿童图书馆、西城区图书馆（总馆）、恭王府、北京古代钱币博物馆、北京工艺美术博物馆；综合评价环境状况好。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16"/>
      <c r="Q23" s="1905" t="str">
        <f>B23</f>
        <v>自然及人文环境</v>
      </c>
      <c r="R23" s="754" t="s">
        <v>25</v>
      </c>
      <c r="S23" s="755">
        <f>F23</f>
        <v>100</v>
      </c>
      <c r="T23" s="754" t="s">
        <v>25</v>
      </c>
      <c r="U23" s="755">
        <f>H23</f>
        <v>100</v>
      </c>
      <c r="V23" s="754" t="s">
        <v>25</v>
      </c>
      <c r="W23" s="755">
        <f>J23</f>
        <v>100</v>
      </c>
      <c r="X23" s="1906"/>
      <c r="Y23" s="3003"/>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600"/>
      <c r="L24" s="1255"/>
      <c r="M24" s="1246"/>
      <c r="N24" s="1246"/>
      <c r="O24" s="1246"/>
      <c r="P24" s="3016"/>
      <c r="Q24" s="1905"/>
      <c r="R24" s="754"/>
      <c r="S24" s="755"/>
      <c r="T24" s="754"/>
      <c r="U24" s="755"/>
      <c r="V24" s="754"/>
      <c r="W24" s="755"/>
      <c r="X24" s="1906"/>
      <c r="Y24" s="300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16"/>
      <c r="Q25" s="1905" t="str">
        <f t="shared" ref="Q25:Q46" si="11">B25</f>
        <v>临街状况</v>
      </c>
      <c r="R25" s="754" t="s">
        <v>25</v>
      </c>
      <c r="S25" s="755">
        <f>F25</f>
        <v>100</v>
      </c>
      <c r="T25" s="754" t="s">
        <v>25</v>
      </c>
      <c r="U25" s="755">
        <f>H25</f>
        <v>100</v>
      </c>
      <c r="V25" s="754" t="s">
        <v>25</v>
      </c>
      <c r="W25" s="755">
        <f>J25</f>
        <v>100</v>
      </c>
      <c r="X25" s="1906"/>
      <c r="Y25" s="3003"/>
      <c r="Z25" s="1908" t="str">
        <f>Q25</f>
        <v>临街状况</v>
      </c>
      <c r="AA25" s="1909">
        <f t="shared" si="3"/>
        <v>1</v>
      </c>
      <c r="AB25" s="1909">
        <f t="shared" si="4"/>
        <v>1</v>
      </c>
      <c r="AC25" s="1909">
        <f t="shared" si="5"/>
        <v>1</v>
      </c>
    </row>
    <row r="26" spans="1:29" ht="15">
      <c r="A26" s="409"/>
      <c r="B26" s="2417"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16"/>
      <c r="Q26" s="1905" t="str">
        <f t="shared" si="11"/>
        <v>平面位置/可视性</v>
      </c>
      <c r="R26" s="754" t="s">
        <v>25</v>
      </c>
      <c r="S26" s="755">
        <f>F26</f>
        <v>100</v>
      </c>
      <c r="T26" s="754" t="s">
        <v>25</v>
      </c>
      <c r="U26" s="755">
        <f>H26</f>
        <v>100</v>
      </c>
      <c r="V26" s="754" t="s">
        <v>25</v>
      </c>
      <c r="W26" s="755">
        <f>J26</f>
        <v>100</v>
      </c>
      <c r="X26" s="1906"/>
      <c r="Y26" s="3003"/>
      <c r="Z26" s="1908" t="str">
        <f>Q26</f>
        <v>平面位置/可视性</v>
      </c>
      <c r="AA26" s="1909">
        <f t="shared" si="3"/>
        <v>1</v>
      </c>
      <c r="AB26" s="1909">
        <f t="shared" si="4"/>
        <v>1</v>
      </c>
      <c r="AC26" s="1909">
        <f t="shared" si="5"/>
        <v>1</v>
      </c>
    </row>
    <row r="27" spans="1:29" s="35" customFormat="1" ht="15">
      <c r="A27" s="412"/>
      <c r="B27" s="432" t="s">
        <v>2457</v>
      </c>
      <c r="C27" s="2463"/>
      <c r="D27" s="444">
        <v>100</v>
      </c>
      <c r="E27" s="2463"/>
      <c r="F27" s="446">
        <f>SUMIF(90:90,E27,91:91)-SUMIF(90:90,C27,91:91)+100</f>
        <v>100</v>
      </c>
      <c r="G27" s="2463"/>
      <c r="H27" s="444">
        <f>SUMIF(90:90,G27,91:91)-SUMIF(90:90,C27,91:91)+100</f>
        <v>100</v>
      </c>
      <c r="I27" s="2463"/>
      <c r="J27" s="444">
        <f>SUMIF(90:90,I27,91:91)-SUMIF(90:90,C27,91:91)+100</f>
        <v>100</v>
      </c>
      <c r="K27" s="597"/>
      <c r="L27" s="1247"/>
      <c r="M27" s="1248"/>
      <c r="N27" s="1248"/>
      <c r="O27" s="1248"/>
      <c r="P27" s="3016"/>
      <c r="Q27" s="1893" t="str">
        <f t="shared" si="11"/>
        <v>人流量</v>
      </c>
      <c r="R27" s="750" t="s">
        <v>25</v>
      </c>
      <c r="S27" s="751">
        <f>F27</f>
        <v>100</v>
      </c>
      <c r="T27" s="750" t="s">
        <v>25</v>
      </c>
      <c r="U27" s="751">
        <f>H27</f>
        <v>100</v>
      </c>
      <c r="V27" s="750" t="s">
        <v>25</v>
      </c>
      <c r="W27" s="751">
        <f>J27</f>
        <v>100</v>
      </c>
      <c r="X27" s="752"/>
      <c r="Y27" s="300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16"/>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03"/>
      <c r="Z28" s="1908" t="str">
        <f t="shared" ref="Z28:Z46" si="15">Q28</f>
        <v>楼层</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16"/>
      <c r="Q29" s="1905">
        <f t="shared" si="11"/>
        <v>111</v>
      </c>
      <c r="R29" s="754" t="s">
        <v>25</v>
      </c>
      <c r="S29" s="755">
        <f t="shared" si="12"/>
        <v>100</v>
      </c>
      <c r="T29" s="754" t="s">
        <v>25</v>
      </c>
      <c r="U29" s="755">
        <f t="shared" si="13"/>
        <v>100</v>
      </c>
      <c r="V29" s="754" t="s">
        <v>25</v>
      </c>
      <c r="W29" s="755">
        <f t="shared" si="14"/>
        <v>100</v>
      </c>
      <c r="X29" s="1906"/>
      <c r="Y29" s="3003"/>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16"/>
      <c r="Q30" s="1905">
        <f t="shared" si="11"/>
        <v>111</v>
      </c>
      <c r="R30" s="754" t="s">
        <v>25</v>
      </c>
      <c r="S30" s="755">
        <f t="shared" si="12"/>
        <v>100</v>
      </c>
      <c r="T30" s="754" t="s">
        <v>25</v>
      </c>
      <c r="U30" s="755">
        <f t="shared" si="13"/>
        <v>100</v>
      </c>
      <c r="V30" s="754" t="s">
        <v>25</v>
      </c>
      <c r="W30" s="755">
        <f t="shared" si="14"/>
        <v>100</v>
      </c>
      <c r="X30" s="1906"/>
      <c r="Y30" s="3003"/>
      <c r="Z30" s="1908">
        <f t="shared" si="15"/>
        <v>111</v>
      </c>
      <c r="AA30" s="1909">
        <f t="shared" si="3"/>
        <v>1</v>
      </c>
      <c r="AB30" s="1909">
        <f t="shared" si="4"/>
        <v>1</v>
      </c>
      <c r="AC30" s="1909">
        <f t="shared" si="5"/>
        <v>1</v>
      </c>
    </row>
    <row r="31" spans="1:29" ht="15.75" thickBot="1">
      <c r="A31" s="417"/>
      <c r="B31" s="2417">
        <v>111</v>
      </c>
      <c r="C31" s="2407"/>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16"/>
      <c r="Q31" s="1905">
        <f t="shared" si="11"/>
        <v>111</v>
      </c>
      <c r="R31" s="754" t="s">
        <v>25</v>
      </c>
      <c r="S31" s="755">
        <f t="shared" si="12"/>
        <v>100</v>
      </c>
      <c r="T31" s="754" t="s">
        <v>25</v>
      </c>
      <c r="U31" s="755">
        <f t="shared" si="13"/>
        <v>100</v>
      </c>
      <c r="V31" s="754" t="s">
        <v>25</v>
      </c>
      <c r="W31" s="755">
        <f t="shared" si="14"/>
        <v>100</v>
      </c>
      <c r="X31" s="1906"/>
      <c r="Y31" s="3003"/>
      <c r="Z31" s="1908">
        <f t="shared" si="15"/>
        <v>111</v>
      </c>
      <c r="AA31" s="1909">
        <f t="shared" si="3"/>
        <v>1</v>
      </c>
      <c r="AB31" s="1909">
        <f t="shared" si="4"/>
        <v>1</v>
      </c>
      <c r="AC31" s="1909">
        <f t="shared" si="5"/>
        <v>1</v>
      </c>
    </row>
    <row r="32" spans="1:29" ht="15">
      <c r="A32" s="420" t="s">
        <v>2371</v>
      </c>
      <c r="B32" s="28" t="s">
        <v>2459</v>
      </c>
      <c r="C32" s="2418"/>
      <c r="D32" s="449">
        <v>100</v>
      </c>
      <c r="E32" s="2418"/>
      <c r="F32" s="443">
        <f>SUMIF(100:100,E32,101:101)-SUMIF(100:100,C32,101:101)+100</f>
        <v>100</v>
      </c>
      <c r="G32" s="2418"/>
      <c r="H32" s="416">
        <f>SUMIF(100:100,G32,101:101)-SUMIF(100:100,C32,101:101)+100</f>
        <v>100</v>
      </c>
      <c r="I32" s="2418"/>
      <c r="J32" s="449">
        <f>SUMIF(100:100,I32,101:101)-SUMIF(100:100,C32,101:101)+100</f>
        <v>100</v>
      </c>
      <c r="K32" s="597"/>
      <c r="L32" s="1255"/>
      <c r="M32" s="1246"/>
      <c r="N32" s="1246"/>
      <c r="O32" s="1246"/>
      <c r="P32" s="3004" t="s">
        <v>2373</v>
      </c>
      <c r="Q32" s="1905" t="str">
        <f t="shared" si="11"/>
        <v>商业类型</v>
      </c>
      <c r="R32" s="754" t="s">
        <v>25</v>
      </c>
      <c r="S32" s="755">
        <f t="shared" si="12"/>
        <v>100</v>
      </c>
      <c r="T32" s="754" t="s">
        <v>25</v>
      </c>
      <c r="U32" s="755">
        <f t="shared" si="13"/>
        <v>100</v>
      </c>
      <c r="V32" s="754" t="s">
        <v>25</v>
      </c>
      <c r="W32" s="755">
        <f t="shared" si="14"/>
        <v>100</v>
      </c>
      <c r="X32" s="1906"/>
      <c r="Y32" s="300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05"/>
      <c r="Q33" s="756" t="str">
        <f t="shared" si="11"/>
        <v>项目建筑规模</v>
      </c>
      <c r="R33" s="757" t="s">
        <v>25</v>
      </c>
      <c r="S33" s="758" t="e">
        <f t="shared" si="12"/>
        <v>#N/A</v>
      </c>
      <c r="T33" s="757" t="s">
        <v>25</v>
      </c>
      <c r="U33" s="758" t="e">
        <f t="shared" si="13"/>
        <v>#N/A</v>
      </c>
      <c r="V33" s="757" t="s">
        <v>25</v>
      </c>
      <c r="W33" s="758" t="e">
        <f t="shared" si="14"/>
        <v>#N/A</v>
      </c>
      <c r="X33" s="759"/>
      <c r="Y33" s="3007"/>
      <c r="Z33" s="760" t="str">
        <f t="shared" si="15"/>
        <v>项目建筑规模</v>
      </c>
      <c r="AA33" s="1909" t="e">
        <f t="shared" si="3"/>
        <v>#N/A</v>
      </c>
      <c r="AB33" s="1909" t="e">
        <f t="shared" si="4"/>
        <v>#N/A</v>
      </c>
      <c r="AC33" s="1909" t="e">
        <f t="shared" si="5"/>
        <v>#N/A</v>
      </c>
    </row>
    <row r="34" spans="1:29" ht="15">
      <c r="A34" s="454"/>
      <c r="B34" s="403" t="s">
        <v>2375</v>
      </c>
      <c r="C34" s="2420"/>
      <c r="D34" s="416">
        <v>100</v>
      </c>
      <c r="E34" s="2421"/>
      <c r="F34" s="443">
        <f>SUMIF(105:105,E34,106:106)-SUMIF(105:105,C34,106:106)+100</f>
        <v>100</v>
      </c>
      <c r="G34" s="2420"/>
      <c r="H34" s="416">
        <f>SUMIF(105:105,G34,106:106)-SUMIF(105:105,C34,106:106)+100</f>
        <v>100</v>
      </c>
      <c r="I34" s="2420"/>
      <c r="J34" s="416">
        <f>SUMIF(105:105,I34,106:106)-SUMIF(105:105,C34,106:106)+100</f>
        <v>100</v>
      </c>
      <c r="K34" s="597"/>
      <c r="L34" s="1255"/>
      <c r="M34" s="1246"/>
      <c r="N34" s="1246"/>
      <c r="O34" s="1246"/>
      <c r="P34" s="3005"/>
      <c r="Q34" s="1905" t="str">
        <f t="shared" si="11"/>
        <v>建筑结构</v>
      </c>
      <c r="R34" s="754" t="s">
        <v>25</v>
      </c>
      <c r="S34" s="755">
        <f t="shared" si="12"/>
        <v>100</v>
      </c>
      <c r="T34" s="754" t="s">
        <v>25</v>
      </c>
      <c r="U34" s="755">
        <f t="shared" si="13"/>
        <v>100</v>
      </c>
      <c r="V34" s="754" t="s">
        <v>25</v>
      </c>
      <c r="W34" s="755">
        <f t="shared" si="14"/>
        <v>100</v>
      </c>
      <c r="X34" s="1906"/>
      <c r="Y34" s="3007"/>
      <c r="Z34" s="1908" t="str">
        <f t="shared" si="15"/>
        <v>建筑结构</v>
      </c>
      <c r="AA34" s="1909">
        <f t="shared" si="3"/>
        <v>1</v>
      </c>
      <c r="AB34" s="1909">
        <f t="shared" si="4"/>
        <v>1</v>
      </c>
      <c r="AC34" s="1909">
        <f t="shared" si="5"/>
        <v>1</v>
      </c>
    </row>
    <row r="35" spans="1:29" ht="15">
      <c r="A35" s="454"/>
      <c r="B35" s="403" t="s">
        <v>2460</v>
      </c>
      <c r="C35" s="2416"/>
      <c r="D35" s="416">
        <v>100</v>
      </c>
      <c r="E35" s="2416"/>
      <c r="F35" s="443">
        <f>SUMIF(107:107,E35,108:108)-SUMIF(107:107,C35,108:108)+100</f>
        <v>100</v>
      </c>
      <c r="G35" s="2416"/>
      <c r="H35" s="416">
        <f>SUMIF(107:107,G35,108:108)-SUMIF(107:107,C35,108:108)+100</f>
        <v>100</v>
      </c>
      <c r="I35" s="2416"/>
      <c r="J35" s="416">
        <f>SUMIF(107:107,I35,108:108)-SUMIF(107:107,C35,108:108)+100</f>
        <v>100</v>
      </c>
      <c r="K35" s="597"/>
      <c r="L35" s="1255"/>
      <c r="M35" s="1246"/>
      <c r="N35" s="1246"/>
      <c r="O35" s="1246"/>
      <c r="P35" s="3005"/>
      <c r="Q35" s="1905" t="str">
        <f t="shared" si="11"/>
        <v>公共部分装修</v>
      </c>
      <c r="R35" s="754" t="s">
        <v>25</v>
      </c>
      <c r="S35" s="755">
        <f t="shared" si="12"/>
        <v>100</v>
      </c>
      <c r="T35" s="754" t="s">
        <v>25</v>
      </c>
      <c r="U35" s="755">
        <f t="shared" si="13"/>
        <v>100</v>
      </c>
      <c r="V35" s="754" t="s">
        <v>25</v>
      </c>
      <c r="W35" s="755">
        <f t="shared" si="14"/>
        <v>100</v>
      </c>
      <c r="X35" s="1906"/>
      <c r="Y35" s="300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05"/>
      <c r="Q36" s="1905" t="str">
        <f t="shared" si="11"/>
        <v>成新度</v>
      </c>
      <c r="R36" s="754" t="s">
        <v>25</v>
      </c>
      <c r="S36" s="755" t="e">
        <f t="shared" si="12"/>
        <v>#N/A</v>
      </c>
      <c r="T36" s="754" t="s">
        <v>25</v>
      </c>
      <c r="U36" s="755" t="e">
        <f t="shared" si="13"/>
        <v>#N/A</v>
      </c>
      <c r="V36" s="754" t="s">
        <v>25</v>
      </c>
      <c r="W36" s="755" t="e">
        <f t="shared" si="14"/>
        <v>#N/A</v>
      </c>
      <c r="X36" s="1906"/>
      <c r="Y36" s="3007"/>
      <c r="Z36" s="1908" t="str">
        <f t="shared" si="15"/>
        <v>成新度</v>
      </c>
      <c r="AA36" s="1909" t="e">
        <f t="shared" si="3"/>
        <v>#N/A</v>
      </c>
      <c r="AB36" s="1909" t="e">
        <f t="shared" si="4"/>
        <v>#N/A</v>
      </c>
      <c r="AC36" s="1909" t="e">
        <f t="shared" si="5"/>
        <v>#N/A</v>
      </c>
    </row>
    <row r="37" spans="1:29" s="35" customFormat="1" ht="15">
      <c r="A37" s="455"/>
      <c r="B37" s="403" t="s">
        <v>2462</v>
      </c>
      <c r="C37" s="2416"/>
      <c r="D37" s="52">
        <v>100</v>
      </c>
      <c r="E37" s="2416"/>
      <c r="F37" s="443">
        <f>SUMIF(112:112,E37,113:113)-SUMIF(112:112,C37,113:113)+100</f>
        <v>100</v>
      </c>
      <c r="G37" s="2416"/>
      <c r="H37" s="416">
        <f>SUMIF(112:112,G37,113:113)-SUMIF(112:112,C37,113:113)+100</f>
        <v>100</v>
      </c>
      <c r="I37" s="2416"/>
      <c r="J37" s="416">
        <f>SUMIF(112:112,I37,113:113)-SUMIF(112:112,C37,113:113)+100</f>
        <v>100</v>
      </c>
      <c r="K37" s="597"/>
      <c r="L37" s="1247"/>
      <c r="M37" s="1248"/>
      <c r="N37" s="1248"/>
      <c r="O37" s="1248"/>
      <c r="P37" s="3005"/>
      <c r="Q37" s="1893" t="str">
        <f t="shared" si="11"/>
        <v>市政基础设施</v>
      </c>
      <c r="R37" s="750" t="s">
        <v>25</v>
      </c>
      <c r="S37" s="751">
        <f t="shared" si="12"/>
        <v>100</v>
      </c>
      <c r="T37" s="750" t="s">
        <v>25</v>
      </c>
      <c r="U37" s="751">
        <f t="shared" si="13"/>
        <v>100</v>
      </c>
      <c r="V37" s="750" t="s">
        <v>25</v>
      </c>
      <c r="W37" s="751">
        <f t="shared" si="14"/>
        <v>100</v>
      </c>
      <c r="X37" s="752"/>
      <c r="Y37" s="3007"/>
      <c r="Z37" s="23" t="str">
        <f t="shared" si="15"/>
        <v>市政基础设施</v>
      </c>
      <c r="AA37" s="753">
        <f t="shared" si="3"/>
        <v>1</v>
      </c>
      <c r="AB37" s="753">
        <f t="shared" si="4"/>
        <v>1</v>
      </c>
      <c r="AC37" s="753">
        <f t="shared" si="5"/>
        <v>1</v>
      </c>
    </row>
    <row r="38" spans="1:29" ht="15">
      <c r="A38" s="454"/>
      <c r="B38" s="403" t="s">
        <v>2463</v>
      </c>
      <c r="C38" s="2416"/>
      <c r="D38" s="416">
        <v>100</v>
      </c>
      <c r="E38" s="2416"/>
      <c r="F38" s="443">
        <f>SUMIF(114:114,E38,115:115)-SUMIF(114:114,C38,115:115)+100</f>
        <v>100</v>
      </c>
      <c r="G38" s="2416"/>
      <c r="H38" s="416">
        <f>SUMIF(114:114,G38,115:115)-SUMIF(114:114,C38,115:115)+100</f>
        <v>100</v>
      </c>
      <c r="I38" s="2416"/>
      <c r="J38" s="416">
        <f>SUMIF(114:114,I38,115:115)-SUMIF(114:114,C38,115:115)+100</f>
        <v>100</v>
      </c>
      <c r="K38" s="597"/>
      <c r="L38" s="1255"/>
      <c r="M38" s="1246"/>
      <c r="N38" s="1246"/>
      <c r="O38" s="1246"/>
      <c r="P38" s="3005" t="s">
        <v>2373</v>
      </c>
      <c r="Q38" s="1905" t="str">
        <f t="shared" si="11"/>
        <v>业态</v>
      </c>
      <c r="R38" s="754" t="s">
        <v>25</v>
      </c>
      <c r="S38" s="755">
        <f t="shared" si="12"/>
        <v>100</v>
      </c>
      <c r="T38" s="754" t="s">
        <v>25</v>
      </c>
      <c r="U38" s="755">
        <f t="shared" si="13"/>
        <v>100</v>
      </c>
      <c r="V38" s="754" t="s">
        <v>25</v>
      </c>
      <c r="W38" s="755">
        <f t="shared" si="14"/>
        <v>100</v>
      </c>
      <c r="X38" s="1906"/>
      <c r="Y38" s="3007" t="s">
        <v>2373</v>
      </c>
      <c r="Z38" s="1908" t="str">
        <f t="shared" si="15"/>
        <v>业态</v>
      </c>
      <c r="AA38" s="1909">
        <f t="shared" si="3"/>
        <v>1</v>
      </c>
      <c r="AB38" s="1909">
        <f t="shared" si="4"/>
        <v>1</v>
      </c>
      <c r="AC38" s="1909">
        <f t="shared" si="5"/>
        <v>1</v>
      </c>
    </row>
    <row r="39" spans="1:29" ht="15">
      <c r="A39" s="454"/>
      <c r="B39" s="403" t="s">
        <v>2464</v>
      </c>
      <c r="C39" s="2416"/>
      <c r="D39" s="416">
        <v>100</v>
      </c>
      <c r="E39" s="2416"/>
      <c r="F39" s="443">
        <f>SUMIF(116:116,E39,117:117)-SUMIF(116:116,C39,117:117)+100</f>
        <v>100</v>
      </c>
      <c r="G39" s="2416"/>
      <c r="H39" s="416">
        <f>SUMIF(116:116,G39,117:117)-SUMIF(116:116,C39,117:117)+100</f>
        <v>100</v>
      </c>
      <c r="I39" s="2416"/>
      <c r="J39" s="416">
        <f>SUMIF(116:116,I39,117:117)-SUMIF(116:116,C39,117:117)+100</f>
        <v>100</v>
      </c>
      <c r="K39" s="597"/>
      <c r="L39" s="1255"/>
      <c r="M39" s="1246"/>
      <c r="N39" s="1246"/>
      <c r="O39" s="1246"/>
      <c r="P39" s="3005"/>
      <c r="Q39" s="1905" t="str">
        <f t="shared" si="11"/>
        <v>层高</v>
      </c>
      <c r="R39" s="754" t="s">
        <v>25</v>
      </c>
      <c r="S39" s="755">
        <f t="shared" si="12"/>
        <v>100</v>
      </c>
      <c r="T39" s="754" t="s">
        <v>25</v>
      </c>
      <c r="U39" s="755">
        <f t="shared" si="13"/>
        <v>100</v>
      </c>
      <c r="V39" s="754" t="s">
        <v>25</v>
      </c>
      <c r="W39" s="755">
        <f t="shared" si="14"/>
        <v>100</v>
      </c>
      <c r="X39" s="1906"/>
      <c r="Y39" s="300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05"/>
      <c r="Q40" s="1905" t="str">
        <f t="shared" si="11"/>
        <v>单套建筑面积</v>
      </c>
      <c r="R40" s="754" t="s">
        <v>25</v>
      </c>
      <c r="S40" s="755">
        <f t="shared" si="12"/>
        <v>100</v>
      </c>
      <c r="T40" s="754" t="s">
        <v>25</v>
      </c>
      <c r="U40" s="755">
        <f t="shared" si="13"/>
        <v>100</v>
      </c>
      <c r="V40" s="754" t="s">
        <v>25</v>
      </c>
      <c r="W40" s="755">
        <f t="shared" si="14"/>
        <v>100</v>
      </c>
      <c r="X40" s="1906"/>
      <c r="Y40" s="300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05"/>
      <c r="Q41" s="756" t="str">
        <f t="shared" si="11"/>
        <v>进深比</v>
      </c>
      <c r="R41" s="757" t="s">
        <v>25</v>
      </c>
      <c r="S41" s="758">
        <f t="shared" si="12"/>
        <v>100</v>
      </c>
      <c r="T41" s="757" t="s">
        <v>25</v>
      </c>
      <c r="U41" s="758">
        <f t="shared" si="13"/>
        <v>100</v>
      </c>
      <c r="V41" s="757" t="s">
        <v>25</v>
      </c>
      <c r="W41" s="758">
        <f t="shared" si="14"/>
        <v>100</v>
      </c>
      <c r="X41" s="759"/>
      <c r="Y41" s="3007"/>
      <c r="Z41" s="760" t="str">
        <f t="shared" si="15"/>
        <v>进深比</v>
      </c>
      <c r="AA41" s="1909">
        <f t="shared" si="3"/>
        <v>1</v>
      </c>
      <c r="AB41" s="1909">
        <f t="shared" si="4"/>
        <v>1</v>
      </c>
      <c r="AC41" s="1909">
        <f t="shared" si="5"/>
        <v>1</v>
      </c>
    </row>
    <row r="42" spans="1:29" ht="15">
      <c r="A42" s="454"/>
      <c r="B42" s="403" t="s">
        <v>2467</v>
      </c>
      <c r="C42" s="2416"/>
      <c r="D42" s="416">
        <v>100</v>
      </c>
      <c r="E42" s="2416"/>
      <c r="F42" s="443">
        <f>SUMIF(122:122,E42,123:123)-SUMIF(122:122,C42,123:123)+100</f>
        <v>100</v>
      </c>
      <c r="G42" s="2416"/>
      <c r="H42" s="416">
        <f>SUMIF(122:122,G42,123:123)-SUMIF(122:122,C42,123:123)+100</f>
        <v>100</v>
      </c>
      <c r="I42" s="2416"/>
      <c r="J42" s="416">
        <f>SUMIF(122:122,I42,123:123)-SUMIF(122:122,C42,123:123)+100</f>
        <v>100</v>
      </c>
      <c r="K42" s="597"/>
      <c r="L42" s="1255"/>
      <c r="M42" s="1246"/>
      <c r="N42" s="1246"/>
      <c r="O42" s="1246"/>
      <c r="P42" s="3005"/>
      <c r="Q42" s="1905" t="str">
        <f t="shared" si="11"/>
        <v>内部装修</v>
      </c>
      <c r="R42" s="754" t="s">
        <v>25</v>
      </c>
      <c r="S42" s="755">
        <f t="shared" si="12"/>
        <v>100</v>
      </c>
      <c r="T42" s="754" t="s">
        <v>25</v>
      </c>
      <c r="U42" s="755">
        <f t="shared" si="13"/>
        <v>100</v>
      </c>
      <c r="V42" s="754" t="s">
        <v>25</v>
      </c>
      <c r="W42" s="755">
        <f t="shared" si="14"/>
        <v>100</v>
      </c>
      <c r="X42" s="1906"/>
      <c r="Y42" s="3007"/>
      <c r="Z42" s="1908" t="str">
        <f t="shared" si="15"/>
        <v>内部装修</v>
      </c>
      <c r="AA42" s="1909">
        <f t="shared" si="3"/>
        <v>1</v>
      </c>
      <c r="AB42" s="1909">
        <f t="shared" si="4"/>
        <v>1</v>
      </c>
      <c r="AC42" s="1909">
        <f t="shared" si="5"/>
        <v>1</v>
      </c>
    </row>
    <row r="43" spans="1:29" ht="15">
      <c r="A43" s="454"/>
      <c r="B43" s="403" t="s">
        <v>2384</v>
      </c>
      <c r="C43" s="2416"/>
      <c r="D43" s="416">
        <v>100</v>
      </c>
      <c r="E43" s="2416"/>
      <c r="F43" s="443">
        <f>SUMIF(124:124,E43,125:125)-SUMIF(124:124,C43,125:125)+100</f>
        <v>100</v>
      </c>
      <c r="G43" s="2416"/>
      <c r="H43" s="416">
        <f>SUMIF(124:124,G43,125:125)-SUMIF(124:124,C43,125:125)+100</f>
        <v>100</v>
      </c>
      <c r="I43" s="2416"/>
      <c r="J43" s="416">
        <f>SUMIF(124:124,I43,125:125)-SUMIF(124:124,C43,125:125)+100</f>
        <v>100</v>
      </c>
      <c r="K43" s="597"/>
      <c r="L43" s="1255"/>
      <c r="M43" s="1246"/>
      <c r="N43" s="1246"/>
      <c r="O43" s="1246"/>
      <c r="P43" s="3005"/>
      <c r="Q43" s="1905" t="str">
        <f t="shared" si="11"/>
        <v>内部装修维护情况</v>
      </c>
      <c r="R43" s="754" t="s">
        <v>25</v>
      </c>
      <c r="S43" s="755">
        <f t="shared" si="12"/>
        <v>100</v>
      </c>
      <c r="T43" s="754" t="s">
        <v>25</v>
      </c>
      <c r="U43" s="755">
        <f t="shared" si="13"/>
        <v>100</v>
      </c>
      <c r="V43" s="754" t="s">
        <v>25</v>
      </c>
      <c r="W43" s="755">
        <f t="shared" si="14"/>
        <v>100</v>
      </c>
      <c r="X43" s="1906"/>
      <c r="Y43" s="3007"/>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05"/>
      <c r="Q44" s="1893">
        <f t="shared" si="11"/>
        <v>111</v>
      </c>
      <c r="R44" s="750" t="s">
        <v>25</v>
      </c>
      <c r="S44" s="751">
        <f t="shared" si="12"/>
        <v>100</v>
      </c>
      <c r="T44" s="750" t="s">
        <v>25</v>
      </c>
      <c r="U44" s="751">
        <f t="shared" si="13"/>
        <v>100</v>
      </c>
      <c r="V44" s="750" t="s">
        <v>25</v>
      </c>
      <c r="W44" s="751">
        <f t="shared" si="14"/>
        <v>100</v>
      </c>
      <c r="X44" s="752"/>
      <c r="Y44" s="3007"/>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05"/>
      <c r="Q45" s="1905">
        <f t="shared" si="11"/>
        <v>111</v>
      </c>
      <c r="R45" s="754" t="s">
        <v>25</v>
      </c>
      <c r="S45" s="755">
        <f t="shared" si="12"/>
        <v>100</v>
      </c>
      <c r="T45" s="754" t="s">
        <v>25</v>
      </c>
      <c r="U45" s="755">
        <f t="shared" si="13"/>
        <v>100</v>
      </c>
      <c r="V45" s="754" t="s">
        <v>25</v>
      </c>
      <c r="W45" s="755">
        <f t="shared" si="14"/>
        <v>100</v>
      </c>
      <c r="X45" s="1906"/>
      <c r="Y45" s="3007"/>
      <c r="Z45" s="1908">
        <f t="shared" si="15"/>
        <v>111</v>
      </c>
      <c r="AA45" s="1909">
        <f t="shared" si="3"/>
        <v>1</v>
      </c>
      <c r="AB45" s="1909">
        <f t="shared" si="4"/>
        <v>1</v>
      </c>
      <c r="AC45" s="1909">
        <f t="shared" si="5"/>
        <v>1</v>
      </c>
    </row>
    <row r="46" spans="1:29" ht="15.75" thickBot="1">
      <c r="A46" s="460"/>
      <c r="B46" s="2406">
        <v>111</v>
      </c>
      <c r="C46" s="2407"/>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06"/>
      <c r="Q46" s="1905">
        <f t="shared" si="11"/>
        <v>111</v>
      </c>
      <c r="R46" s="754" t="s">
        <v>25</v>
      </c>
      <c r="S46" s="755">
        <f t="shared" si="12"/>
        <v>100</v>
      </c>
      <c r="T46" s="754" t="s">
        <v>25</v>
      </c>
      <c r="U46" s="755">
        <f t="shared" si="13"/>
        <v>100</v>
      </c>
      <c r="V46" s="754" t="s">
        <v>25</v>
      </c>
      <c r="W46" s="755">
        <f t="shared" si="14"/>
        <v>100</v>
      </c>
      <c r="X46" s="1906"/>
      <c r="Y46" s="300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13" t="str">
        <f>A47</f>
        <v>成交单价（元/平方米）</v>
      </c>
      <c r="Q47" s="3013"/>
      <c r="R47" s="3014">
        <f>E47</f>
        <v>0</v>
      </c>
      <c r="S47" s="3014"/>
      <c r="T47" s="3014">
        <f>G47</f>
        <v>0</v>
      </c>
      <c r="U47" s="3014"/>
      <c r="V47" s="3014">
        <f>I47</f>
        <v>0</v>
      </c>
      <c r="W47" s="3014"/>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13" t="str">
        <f>A48</f>
        <v>比较价值（元/平方米）</v>
      </c>
      <c r="Q48" s="3013"/>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19" t="str">
        <f>A49</f>
        <v>估价对象XX用房的比较价值（楼面单价，元/平方米）</v>
      </c>
      <c r="Q49" s="3020"/>
      <c r="R49" s="3021" t="e">
        <f>IF(E1="售价",ROUND(AVERAGE(R48:V48),0),ROUND(AVERAGE(R48:V48),1))</f>
        <v>#DIV/0!</v>
      </c>
      <c r="S49" s="3021"/>
      <c r="T49" s="3021"/>
      <c r="U49" s="3021"/>
      <c r="V49" s="3021"/>
      <c r="W49" s="3021"/>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4"/>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4"/>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4"/>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4"/>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5"/>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5"/>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4"/>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6"/>
      <c r="Q57" s="2467"/>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28"/>
    </row>
    <row r="59" spans="1:29" s="35" customFormat="1" ht="15">
      <c r="A59" s="491"/>
      <c r="B59" s="492"/>
      <c r="C59" s="624">
        <v>100</v>
      </c>
      <c r="D59" s="494"/>
      <c r="E59" s="494"/>
      <c r="F59" s="494"/>
      <c r="G59" s="494"/>
      <c r="H59" s="494"/>
      <c r="I59" s="494"/>
      <c r="J59" s="494"/>
      <c r="K59" s="494"/>
      <c r="L59" s="494"/>
      <c r="M59" s="495"/>
      <c r="N59" s="494"/>
      <c r="O59" s="495"/>
      <c r="P59" s="2429"/>
    </row>
    <row r="60" spans="1:29" s="35" customFormat="1" ht="15.75" thickBot="1">
      <c r="A60" s="497" t="s">
        <v>2393</v>
      </c>
      <c r="B60" s="498"/>
      <c r="C60" s="499"/>
      <c r="D60" s="500"/>
      <c r="E60" s="500"/>
      <c r="F60" s="500"/>
      <c r="G60" s="500"/>
      <c r="H60" s="500"/>
      <c r="I60" s="500"/>
      <c r="J60" s="500"/>
      <c r="K60" s="500"/>
      <c r="L60" s="500"/>
      <c r="M60" s="501"/>
      <c r="N60" s="500"/>
      <c r="O60" s="501"/>
      <c r="P60" s="2429"/>
      <c r="Q60" s="486"/>
    </row>
    <row r="61" spans="1:29" s="35" customFormat="1" ht="15">
      <c r="A61" s="503" t="s">
        <v>2357</v>
      </c>
      <c r="B61" s="492"/>
      <c r="C61" s="504" t="s">
        <v>2358</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2396</v>
      </c>
      <c r="B63" s="510" t="s">
        <v>2361</v>
      </c>
      <c r="C63" s="511">
        <f>C9</f>
        <v>0</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1"/>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1"/>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1"/>
      <c r="Q67" s="486"/>
    </row>
    <row r="68" spans="1:17" ht="15">
      <c r="A68" s="517"/>
      <c r="B68" s="532"/>
      <c r="C68" s="533"/>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19"/>
      <c r="E73" s="519"/>
      <c r="F73" s="519"/>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2474</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1"/>
      <c r="Q87" s="486"/>
    </row>
    <row r="88" spans="1:17" s="35" customFormat="1" ht="15.75" thickTop="1">
      <c r="A88" s="564"/>
      <c r="B88" s="522" t="str">
        <f>B26</f>
        <v>平面位置/可视性</v>
      </c>
      <c r="C88" s="538"/>
      <c r="D88" s="538"/>
      <c r="E88" s="538"/>
      <c r="F88" s="2436"/>
      <c r="G88" s="538"/>
      <c r="H88" s="538"/>
      <c r="I88" s="538"/>
      <c r="J88" s="538"/>
      <c r="K88" s="538"/>
      <c r="L88" s="538"/>
      <c r="M88" s="566"/>
      <c r="N88" s="1268"/>
      <c r="O88" s="1268"/>
      <c r="P88" s="2431"/>
      <c r="Q88" s="486"/>
    </row>
    <row r="89" spans="1:17" s="35" customFormat="1" ht="15.75" thickBot="1">
      <c r="A89" s="564"/>
      <c r="B89" s="527"/>
      <c r="C89" s="545"/>
      <c r="D89" s="519"/>
      <c r="E89" s="519"/>
      <c r="F89" s="519"/>
      <c r="G89" s="519"/>
      <c r="H89" s="519"/>
      <c r="I89" s="519"/>
      <c r="J89" s="519"/>
      <c r="K89" s="519"/>
      <c r="L89" s="519"/>
      <c r="M89" s="519"/>
      <c r="N89" s="1270"/>
      <c r="O89" s="1270"/>
      <c r="P89" s="2431"/>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2"/>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2"/>
      <c r="Q91" s="544"/>
    </row>
    <row r="92" spans="1:17" ht="15.75" thickTop="1">
      <c r="A92" s="517"/>
      <c r="B92" s="522" t="str">
        <f>B28</f>
        <v>楼层</v>
      </c>
      <c r="C92" s="538"/>
      <c r="D92" s="538"/>
      <c r="E92" s="538"/>
      <c r="F92" s="538"/>
      <c r="G92" s="538"/>
      <c r="H92" s="538"/>
      <c r="I92" s="538"/>
      <c r="J92" s="538"/>
      <c r="K92" s="538"/>
      <c r="L92" s="565"/>
      <c r="M92" s="566"/>
      <c r="N92" s="1269"/>
      <c r="O92" s="1269"/>
      <c r="P92" s="2431"/>
      <c r="Q92" s="486"/>
    </row>
    <row r="93" spans="1:17" ht="15.75" thickBot="1">
      <c r="A93" s="517"/>
      <c r="B93" s="527"/>
      <c r="C93" s="519"/>
      <c r="D93" s="519"/>
      <c r="E93" s="519"/>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19"/>
      <c r="E95" s="519"/>
      <c r="F95" s="519"/>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45"/>
      <c r="D97" s="519"/>
      <c r="E97" s="519"/>
      <c r="F97" s="519"/>
      <c r="G97" s="519"/>
      <c r="H97" s="519"/>
      <c r="I97" s="519"/>
      <c r="J97" s="519"/>
      <c r="K97" s="519"/>
      <c r="L97" s="519"/>
      <c r="M97" s="520"/>
      <c r="N97" s="1270"/>
      <c r="O97" s="1270"/>
      <c r="P97" s="2431"/>
      <c r="Q97" s="486"/>
    </row>
    <row r="98" spans="1:17" ht="15.75" thickTop="1">
      <c r="A98" s="517"/>
      <c r="B98" s="530">
        <f>B31</f>
        <v>111</v>
      </c>
      <c r="C98" s="538"/>
      <c r="D98" s="538"/>
      <c r="E98" s="538"/>
      <c r="F98" s="538"/>
      <c r="G98" s="572"/>
      <c r="H98" s="572"/>
      <c r="I98" s="572"/>
      <c r="J98" s="572"/>
      <c r="K98" s="573"/>
      <c r="L98" s="574"/>
      <c r="M98" s="575"/>
      <c r="N98" s="1269"/>
      <c r="O98" s="1269"/>
      <c r="P98" s="2431"/>
      <c r="Q98" s="486"/>
    </row>
    <row r="99" spans="1:17" ht="15.75" thickBot="1">
      <c r="A99" s="2437"/>
      <c r="B99" s="554"/>
      <c r="C99" s="555"/>
      <c r="D99" s="555"/>
      <c r="E99" s="555"/>
      <c r="F99" s="555"/>
      <c r="G99" s="576"/>
      <c r="H99" s="576"/>
      <c r="I99" s="576"/>
      <c r="J99" s="576"/>
      <c r="K99" s="576"/>
      <c r="L99" s="576"/>
      <c r="M99" s="577"/>
      <c r="N99" s="1270"/>
      <c r="O99" s="1270"/>
      <c r="P99" s="2431"/>
      <c r="Q99" s="486"/>
    </row>
    <row r="100" spans="1:17">
      <c r="A100" s="509" t="s">
        <v>2371</v>
      </c>
      <c r="B100" s="510" t="s">
        <v>2475</v>
      </c>
      <c r="C100" s="512"/>
      <c r="D100" s="512"/>
      <c r="E100" s="512"/>
      <c r="F100" s="512"/>
      <c r="G100" s="512"/>
      <c r="H100" s="512"/>
      <c r="I100" s="512"/>
      <c r="J100" s="512"/>
      <c r="K100" s="513"/>
      <c r="L100" s="514"/>
      <c r="M100" s="515"/>
      <c r="N100" s="1269"/>
      <c r="O100" s="1269"/>
      <c r="P100" s="2431"/>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1"/>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1"/>
      <c r="Q102" s="486"/>
    </row>
    <row r="103" spans="1:17" s="453" customFormat="1">
      <c r="A103" s="578"/>
      <c r="B103" s="579"/>
      <c r="C103" s="580"/>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2"/>
      <c r="Q104" s="544"/>
    </row>
    <row r="105" spans="1:17" ht="15" thickTop="1">
      <c r="A105" s="584"/>
      <c r="B105" s="522" t="s">
        <v>2422</v>
      </c>
      <c r="C105" s="538"/>
      <c r="D105" s="538"/>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1"/>
      <c r="Q106" s="486"/>
    </row>
    <row r="107" spans="1:17" ht="15" thickTop="1">
      <c r="A107" s="584"/>
      <c r="B107" s="522" t="s">
        <v>2424</v>
      </c>
      <c r="C107" s="538"/>
      <c r="D107" s="538"/>
      <c r="E107" s="53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1"/>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1"/>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1"/>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1"/>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2"/>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2"/>
      <c r="Q113" s="544"/>
    </row>
    <row r="114" spans="1:17" ht="15" thickTop="1">
      <c r="A114" s="584"/>
      <c r="B114" s="522" t="s">
        <v>2476</v>
      </c>
      <c r="C114" s="538"/>
      <c r="D114" s="538"/>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1"/>
      <c r="Q115" s="486"/>
    </row>
    <row r="116" spans="1:17" ht="15" thickTop="1">
      <c r="A116" s="584"/>
      <c r="B116" s="522" t="s">
        <v>2477</v>
      </c>
      <c r="C116" s="538"/>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2478</v>
      </c>
      <c r="C118" s="612"/>
      <c r="D118" s="612"/>
      <c r="E118" s="612"/>
      <c r="F118" s="612"/>
      <c r="G118" s="612"/>
      <c r="H118" s="539"/>
      <c r="I118" s="539"/>
      <c r="J118" s="539"/>
      <c r="K118" s="539"/>
      <c r="L118" s="540"/>
      <c r="M118" s="541"/>
      <c r="N118" s="1269"/>
      <c r="O118" s="1269"/>
      <c r="P118" s="2431"/>
      <c r="Q118" s="486"/>
    </row>
    <row r="119" spans="1:17" ht="15.75" thickBot="1">
      <c r="A119" s="517"/>
      <c r="B119" s="527"/>
      <c r="C119" s="545"/>
      <c r="D119" s="519"/>
      <c r="E119" s="519"/>
      <c r="F119" s="519"/>
      <c r="G119" s="519"/>
      <c r="H119" s="519"/>
      <c r="I119" s="519"/>
      <c r="J119" s="519"/>
      <c r="K119" s="519"/>
      <c r="L119" s="519"/>
      <c r="M119" s="520"/>
      <c r="N119" s="1270"/>
      <c r="O119" s="1270"/>
      <c r="P119" s="2431"/>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2"/>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2"/>
      <c r="Q121" s="544"/>
    </row>
    <row r="122" spans="1:17" ht="15" thickTop="1">
      <c r="A122" s="584"/>
      <c r="B122" s="522" t="s">
        <v>2429</v>
      </c>
      <c r="C122" s="538"/>
      <c r="D122" s="538"/>
      <c r="E122" s="538"/>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1"/>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19"/>
      <c r="E129" s="519"/>
      <c r="F129" s="519"/>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7"/>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68"/>
      <c r="AC1" s="1742"/>
    </row>
    <row r="2" spans="1:29" s="378" customFormat="1" ht="28.5" customHeight="1" thickTop="1">
      <c r="A2" s="1733" t="s">
        <v>2008</v>
      </c>
      <c r="B2" s="1731" t="e">
        <f ca="1">IF(D2="——",IF(C2="元",ROUND(C50*D3,0),ROUND(C50*D3/10000,0)),IF(C2="元",ROUND(C50*D3,0),ROUND(C50*D3/10000,0))-E2)</f>
        <v>#DIV/0!</v>
      </c>
      <c r="C2" s="164" t="str">
        <f>'数据-取费表'!B3</f>
        <v>元</v>
      </c>
      <c r="D2" s="2389"/>
      <c r="E2" s="1848"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2469"/>
      <c r="AC2" s="762"/>
    </row>
    <row r="3" spans="1:29" s="378" customFormat="1" ht="28.5" customHeight="1" thickBot="1">
      <c r="A3" s="168" t="s">
        <v>2009</v>
      </c>
      <c r="B3" s="594" t="e">
        <f ca="1">ROUND(IF(D2="——",C50,IF(C2="万元",B2*10000/D3,B2/D3)),0)</f>
        <v>#DIV/0!</v>
      </c>
      <c r="C3" s="380" t="s">
        <v>2341</v>
      </c>
      <c r="D3" s="379">
        <f>IF(C1="仅计算典型户型",'数据-取费表'!E5,'数据-取费表'!B5)</f>
        <v>339.05</v>
      </c>
      <c r="E3" s="2461"/>
      <c r="F3" s="983"/>
      <c r="G3" s="982"/>
      <c r="H3" s="982"/>
      <c r="I3" s="982"/>
      <c r="J3" s="982"/>
      <c r="K3" s="984"/>
      <c r="L3" s="1243"/>
      <c r="M3" s="1244"/>
      <c r="N3" s="1244"/>
      <c r="O3" s="1244"/>
      <c r="P3" s="738"/>
      <c r="Q3" s="738"/>
      <c r="R3" s="738"/>
      <c r="S3" s="738"/>
      <c r="T3" s="738"/>
      <c r="U3" s="738"/>
      <c r="V3" s="738"/>
      <c r="W3" s="738"/>
      <c r="X3" s="748"/>
      <c r="Y3" s="738"/>
      <c r="Z3" s="738"/>
      <c r="AA3" s="738"/>
      <c r="AB3" s="2470"/>
      <c r="AC3" s="762"/>
    </row>
    <row r="4" spans="1:29" ht="15">
      <c r="A4" s="381" t="s">
        <v>2342</v>
      </c>
      <c r="B4" s="382"/>
      <c r="C4" s="2977" t="s">
        <v>2343</v>
      </c>
      <c r="D4" s="2978"/>
      <c r="E4" s="2979" t="s">
        <v>2344</v>
      </c>
      <c r="F4" s="2980"/>
      <c r="G4" s="2977" t="s">
        <v>2345</v>
      </c>
      <c r="H4" s="2978"/>
      <c r="I4" s="2977" t="s">
        <v>2346</v>
      </c>
      <c r="J4" s="2978"/>
      <c r="K4" s="595" t="s">
        <v>2347</v>
      </c>
      <c r="L4" s="1245"/>
      <c r="M4" s="1246"/>
      <c r="N4" s="1246"/>
      <c r="O4" s="1246"/>
      <c r="P4" s="3022" t="s">
        <v>2348</v>
      </c>
      <c r="Q4" s="2982"/>
      <c r="R4" s="2987" t="s">
        <v>2344</v>
      </c>
      <c r="S4" s="2988"/>
      <c r="T4" s="2987" t="s">
        <v>2345</v>
      </c>
      <c r="U4" s="2988"/>
      <c r="V4" s="2993" t="s">
        <v>2346</v>
      </c>
      <c r="W4" s="2993"/>
      <c r="X4" s="1906"/>
      <c r="Y4" s="2987" t="s">
        <v>2348</v>
      </c>
      <c r="Z4" s="2988"/>
      <c r="AA4" s="2974" t="s">
        <v>2344</v>
      </c>
      <c r="AB4" s="2974" t="s">
        <v>2345</v>
      </c>
      <c r="AC4" s="2974" t="s">
        <v>2346</v>
      </c>
    </row>
    <row r="5" spans="1:29" ht="15">
      <c r="A5" s="384"/>
      <c r="B5" s="385"/>
      <c r="C5" s="2996" t="s">
        <v>2349</v>
      </c>
      <c r="D5" s="2997"/>
      <c r="E5" s="2994" t="s">
        <v>2350</v>
      </c>
      <c r="F5" s="2995"/>
      <c r="G5" s="2996" t="s">
        <v>2351</v>
      </c>
      <c r="H5" s="2997"/>
      <c r="I5" s="2996" t="s">
        <v>2352</v>
      </c>
      <c r="J5" s="2997"/>
      <c r="K5" s="595"/>
      <c r="L5" s="1245"/>
      <c r="M5" s="1246"/>
      <c r="N5" s="1246"/>
      <c r="O5" s="1246"/>
      <c r="P5" s="3023"/>
      <c r="Q5" s="2984"/>
      <c r="R5" s="2989"/>
      <c r="S5" s="2990"/>
      <c r="T5" s="2989"/>
      <c r="U5" s="2990"/>
      <c r="V5" s="2993"/>
      <c r="W5" s="2993"/>
      <c r="X5" s="1906"/>
      <c r="Y5" s="2989"/>
      <c r="Z5" s="2990"/>
      <c r="AA5" s="2975"/>
      <c r="AB5" s="2975"/>
      <c r="AC5" s="2975"/>
    </row>
    <row r="6" spans="1:29" ht="15.75" thickBot="1">
      <c r="A6" s="386"/>
      <c r="B6" s="387"/>
      <c r="C6" s="2998" t="s">
        <v>2353</v>
      </c>
      <c r="D6" s="2999"/>
      <c r="E6" s="3000" t="s">
        <v>2353</v>
      </c>
      <c r="F6" s="3001"/>
      <c r="G6" s="2998" t="s">
        <v>2353</v>
      </c>
      <c r="H6" s="2999"/>
      <c r="I6" s="2998" t="s">
        <v>2353</v>
      </c>
      <c r="J6" s="2999"/>
      <c r="K6" s="595" t="s">
        <v>2354</v>
      </c>
      <c r="L6" s="1245"/>
      <c r="M6" s="1246"/>
      <c r="N6" s="1246"/>
      <c r="O6" s="1246"/>
      <c r="P6" s="3024"/>
      <c r="Q6" s="2986"/>
      <c r="R6" s="2989"/>
      <c r="S6" s="2990"/>
      <c r="T6" s="2991"/>
      <c r="U6" s="2992"/>
      <c r="V6" s="2993"/>
      <c r="W6" s="2993"/>
      <c r="X6" s="1906"/>
      <c r="Y6" s="2991"/>
      <c r="Z6" s="2992"/>
      <c r="AA6" s="2976"/>
      <c r="AB6" s="2976"/>
      <c r="AC6" s="2976"/>
    </row>
    <row r="7" spans="1:29" s="35" customFormat="1" ht="15.75" thickBot="1">
      <c r="A7" s="388" t="s">
        <v>2355</v>
      </c>
      <c r="B7" s="389"/>
      <c r="C7" s="390">
        <f>'数据-取费表'!B2</f>
        <v>42990</v>
      </c>
      <c r="D7" s="391">
        <v>100</v>
      </c>
      <c r="E7" s="392"/>
      <c r="F7" s="393">
        <f>SUMIF(59:59,YEAR(E7)&amp;"-"&amp;MONTH(E7),60:60)</f>
        <v>0</v>
      </c>
      <c r="G7" s="2471"/>
      <c r="H7" s="391">
        <f>SUMIF(59:59,YEAR(G7)&amp;"-"&amp;MONTH(G7),60:60)</f>
        <v>0</v>
      </c>
      <c r="I7" s="2471"/>
      <c r="J7" s="391">
        <f>SUMIF(59:59,YEAR(I7)&amp;"-"&amp;MONTH(I7),60:60)</f>
        <v>0</v>
      </c>
      <c r="K7" s="596"/>
      <c r="L7" s="1247"/>
      <c r="M7" s="1248"/>
      <c r="N7" s="1248"/>
      <c r="O7" s="1248"/>
      <c r="P7" s="3011" t="s">
        <v>2356</v>
      </c>
      <c r="Q7" s="3011"/>
      <c r="R7" s="750" t="s">
        <v>25</v>
      </c>
      <c r="S7" s="751">
        <f t="shared" ref="S7:S15" si="0">F7</f>
        <v>0</v>
      </c>
      <c r="T7" s="750" t="s">
        <v>25</v>
      </c>
      <c r="U7" s="751">
        <f t="shared" ref="U7:U15" si="1">H7</f>
        <v>0</v>
      </c>
      <c r="V7" s="750" t="s">
        <v>25</v>
      </c>
      <c r="W7" s="751">
        <f t="shared" ref="W7:W15" si="2">J7</f>
        <v>0</v>
      </c>
      <c r="X7" s="752"/>
      <c r="Y7" s="3009" t="s">
        <v>2356</v>
      </c>
      <c r="Z7" s="3010"/>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11" t="s">
        <v>2359</v>
      </c>
      <c r="Q8" s="3010"/>
      <c r="R8" s="750" t="s">
        <v>25</v>
      </c>
      <c r="S8" s="751">
        <f t="shared" si="0"/>
        <v>0</v>
      </c>
      <c r="T8" s="750" t="s">
        <v>25</v>
      </c>
      <c r="U8" s="751">
        <f t="shared" si="1"/>
        <v>0</v>
      </c>
      <c r="V8" s="750" t="s">
        <v>25</v>
      </c>
      <c r="W8" s="751">
        <f t="shared" si="2"/>
        <v>0</v>
      </c>
      <c r="X8" s="752"/>
      <c r="Y8" s="3009" t="s">
        <v>2359</v>
      </c>
      <c r="Z8" s="3010"/>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0" t="s">
        <v>2362</v>
      </c>
      <c r="Q9" s="1893" t="str">
        <f t="shared" ref="Q9:Q15" si="6">B9</f>
        <v>用途</v>
      </c>
      <c r="R9" s="750" t="s">
        <v>25</v>
      </c>
      <c r="S9" s="751">
        <f t="shared" si="0"/>
        <v>100</v>
      </c>
      <c r="T9" s="750" t="s">
        <v>25</v>
      </c>
      <c r="U9" s="751">
        <f t="shared" si="1"/>
        <v>100</v>
      </c>
      <c r="V9" s="750" t="s">
        <v>25</v>
      </c>
      <c r="W9" s="751">
        <f t="shared" si="2"/>
        <v>100</v>
      </c>
      <c r="X9" s="752"/>
      <c r="Y9" s="282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0"/>
      <c r="Q10" s="1893" t="str">
        <f t="shared" si="6"/>
        <v>土地使用年限（年）</v>
      </c>
      <c r="R10" s="750" t="s">
        <v>25</v>
      </c>
      <c r="S10" s="751">
        <f t="shared" si="0"/>
        <v>100</v>
      </c>
      <c r="T10" s="750" t="s">
        <v>25</v>
      </c>
      <c r="U10" s="751">
        <f t="shared" si="1"/>
        <v>100</v>
      </c>
      <c r="V10" s="750" t="s">
        <v>25</v>
      </c>
      <c r="W10" s="751">
        <f t="shared" si="2"/>
        <v>100</v>
      </c>
      <c r="X10" s="752"/>
      <c r="Y10" s="282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0"/>
      <c r="Q11" s="1893" t="str">
        <f t="shared" si="6"/>
        <v>容积率</v>
      </c>
      <c r="R11" s="750" t="s">
        <v>25</v>
      </c>
      <c r="S11" s="751" t="e">
        <f t="shared" si="0"/>
        <v>#N/A</v>
      </c>
      <c r="T11" s="750" t="s">
        <v>25</v>
      </c>
      <c r="U11" s="751" t="e">
        <f t="shared" si="1"/>
        <v>#N/A</v>
      </c>
      <c r="V11" s="750" t="s">
        <v>25</v>
      </c>
      <c r="W11" s="751" t="e">
        <f t="shared" si="2"/>
        <v>#N/A</v>
      </c>
      <c r="X11" s="752"/>
      <c r="Y11" s="2825"/>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0"/>
      <c r="Q12" s="1893">
        <f t="shared" si="6"/>
        <v>111</v>
      </c>
      <c r="R12" s="750" t="s">
        <v>25</v>
      </c>
      <c r="S12" s="751">
        <f t="shared" si="0"/>
        <v>100</v>
      </c>
      <c r="T12" s="750" t="s">
        <v>25</v>
      </c>
      <c r="U12" s="751">
        <f t="shared" si="1"/>
        <v>100</v>
      </c>
      <c r="V12" s="750" t="s">
        <v>25</v>
      </c>
      <c r="W12" s="751">
        <f t="shared" si="2"/>
        <v>100</v>
      </c>
      <c r="X12" s="752"/>
      <c r="Y12" s="2825"/>
      <c r="Z12" s="23">
        <f t="shared" si="7"/>
        <v>111</v>
      </c>
      <c r="AA12" s="753">
        <f>D12/F12</f>
        <v>1</v>
      </c>
      <c r="AB12" s="753">
        <f>D12/H12</f>
        <v>1</v>
      </c>
      <c r="AC12" s="753">
        <f>D12/J12</f>
        <v>1</v>
      </c>
    </row>
    <row r="13" spans="1:29" ht="15">
      <c r="A13" s="409"/>
      <c r="B13" s="2404">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0"/>
      <c r="Q13" s="1893">
        <f t="shared" si="6"/>
        <v>111</v>
      </c>
      <c r="R13" s="750" t="s">
        <v>25</v>
      </c>
      <c r="S13" s="751">
        <f t="shared" si="0"/>
        <v>100</v>
      </c>
      <c r="T13" s="750" t="s">
        <v>25</v>
      </c>
      <c r="U13" s="751">
        <f t="shared" si="1"/>
        <v>100</v>
      </c>
      <c r="V13" s="750" t="s">
        <v>25</v>
      </c>
      <c r="W13" s="751">
        <f t="shared" si="2"/>
        <v>100</v>
      </c>
      <c r="X13" s="752"/>
      <c r="Y13" s="2825"/>
      <c r="Z13" s="23">
        <f t="shared" si="7"/>
        <v>111</v>
      </c>
      <c r="AA13" s="753">
        <f t="shared" si="3"/>
        <v>1</v>
      </c>
      <c r="AB13" s="753">
        <f t="shared" si="4"/>
        <v>1</v>
      </c>
      <c r="AC13" s="753">
        <f t="shared" si="5"/>
        <v>1</v>
      </c>
    </row>
    <row r="14" spans="1:29" ht="15.75" thickBot="1">
      <c r="A14" s="417"/>
      <c r="B14" s="2406">
        <v>111</v>
      </c>
      <c r="C14" s="2407"/>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0"/>
      <c r="Q14" s="1893">
        <f t="shared" si="6"/>
        <v>111</v>
      </c>
      <c r="R14" s="750" t="s">
        <v>25</v>
      </c>
      <c r="S14" s="751">
        <f t="shared" si="0"/>
        <v>100</v>
      </c>
      <c r="T14" s="750" t="s">
        <v>25</v>
      </c>
      <c r="U14" s="751">
        <f t="shared" si="1"/>
        <v>100</v>
      </c>
      <c r="V14" s="750" t="s">
        <v>25</v>
      </c>
      <c r="W14" s="751">
        <f t="shared" si="2"/>
        <v>100</v>
      </c>
      <c r="X14" s="752"/>
      <c r="Y14" s="2825"/>
      <c r="Z14" s="23">
        <f t="shared" si="7"/>
        <v>111</v>
      </c>
      <c r="AA14" s="753">
        <f t="shared" si="3"/>
        <v>1</v>
      </c>
      <c r="AB14" s="753">
        <f t="shared" si="4"/>
        <v>1</v>
      </c>
      <c r="AC14" s="753">
        <f t="shared" si="5"/>
        <v>1</v>
      </c>
    </row>
    <row r="15" spans="1:29" ht="71.25">
      <c r="A15" s="420" t="s">
        <v>2366</v>
      </c>
      <c r="B15" s="614" t="s">
        <v>2481</v>
      </c>
      <c r="C15" s="2472"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2982" t="s">
        <v>2367</v>
      </c>
      <c r="Q15" s="1905" t="str">
        <f t="shared" si="6"/>
        <v>办公集聚程度</v>
      </c>
      <c r="R15" s="754" t="s">
        <v>25</v>
      </c>
      <c r="S15" s="755">
        <f t="shared" si="0"/>
        <v>100</v>
      </c>
      <c r="T15" s="754" t="s">
        <v>25</v>
      </c>
      <c r="U15" s="755">
        <f t="shared" si="1"/>
        <v>100</v>
      </c>
      <c r="V15" s="754" t="s">
        <v>25</v>
      </c>
      <c r="W15" s="755">
        <f t="shared" si="2"/>
        <v>100</v>
      </c>
      <c r="X15" s="1906"/>
      <c r="Y15" s="300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2984"/>
      <c r="Q16" s="1905"/>
      <c r="R16" s="754"/>
      <c r="S16" s="755"/>
      <c r="T16" s="754"/>
      <c r="U16" s="755"/>
      <c r="V16" s="754"/>
      <c r="W16" s="755"/>
      <c r="X16" s="1906"/>
      <c r="Y16" s="3003"/>
      <c r="Z16" s="1908"/>
      <c r="AA16" s="1909">
        <v>1</v>
      </c>
      <c r="AB16" s="1909">
        <v>1</v>
      </c>
      <c r="AC16" s="1909">
        <v>1</v>
      </c>
    </row>
    <row r="17" spans="1:29" ht="85.5">
      <c r="A17" s="409"/>
      <c r="B17" s="616" t="s">
        <v>1751</v>
      </c>
      <c r="C17" s="2473" t="str">
        <f>估价对象房地状况!C6</f>
        <v>估价对象紧邻城市支道路——新街口四条，有22路、47路、86路、409路等多条公交线路及地铁2号线（积水潭站）、地铁6号线（新街口站)通过，交通便捷度较好。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2984"/>
      <c r="Q17" s="1905" t="str">
        <f>B17</f>
        <v>交通便捷度</v>
      </c>
      <c r="R17" s="754" t="s">
        <v>25</v>
      </c>
      <c r="S17" s="755">
        <f>F17</f>
        <v>100</v>
      </c>
      <c r="T17" s="754" t="s">
        <v>25</v>
      </c>
      <c r="U17" s="755">
        <f>H17</f>
        <v>100</v>
      </c>
      <c r="V17" s="754" t="s">
        <v>25</v>
      </c>
      <c r="W17" s="755">
        <f>J17</f>
        <v>100</v>
      </c>
      <c r="X17" s="1906"/>
      <c r="Y17" s="3003"/>
      <c r="Z17" s="1908" t="str">
        <f>Q17</f>
        <v>交通便捷度</v>
      </c>
      <c r="AA17" s="1909">
        <f t="shared" si="3"/>
        <v>1</v>
      </c>
      <c r="AB17" s="1909">
        <f t="shared" si="4"/>
        <v>1</v>
      </c>
      <c r="AC17" s="1909">
        <f t="shared" si="5"/>
        <v>1</v>
      </c>
    </row>
    <row r="18" spans="1:29" ht="15">
      <c r="A18" s="409"/>
      <c r="B18" s="617"/>
      <c r="C18" s="2474"/>
      <c r="D18" s="431"/>
      <c r="E18" s="2412"/>
      <c r="F18" s="431"/>
      <c r="G18" s="1470"/>
      <c r="H18" s="428"/>
      <c r="I18" s="1470"/>
      <c r="J18" s="428"/>
      <c r="K18" s="600"/>
      <c r="L18" s="1255"/>
      <c r="M18" s="1246"/>
      <c r="N18" s="1246"/>
      <c r="O18" s="1246"/>
      <c r="P18" s="2984"/>
      <c r="Q18" s="1905"/>
      <c r="R18" s="754"/>
      <c r="S18" s="755"/>
      <c r="T18" s="754"/>
      <c r="U18" s="755"/>
      <c r="V18" s="754"/>
      <c r="W18" s="755"/>
      <c r="X18" s="1906"/>
      <c r="Y18" s="3003"/>
      <c r="Z18" s="1908"/>
      <c r="AA18" s="1909">
        <v>1</v>
      </c>
      <c r="AB18" s="1909">
        <v>1</v>
      </c>
      <c r="AC18" s="1909">
        <v>1</v>
      </c>
    </row>
    <row r="19" spans="1:29" ht="42.75">
      <c r="A19" s="409"/>
      <c r="B19" s="616" t="s">
        <v>2482</v>
      </c>
      <c r="C19" s="2473" t="str">
        <f>估价对象房地状况!C7</f>
        <v>估价对象所在区域公共配套设施好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2984"/>
      <c r="Q19" s="1905" t="str">
        <f>B19</f>
        <v>公共配套设施</v>
      </c>
      <c r="R19" s="754" t="s">
        <v>25</v>
      </c>
      <c r="S19" s="755">
        <f>F19</f>
        <v>100</v>
      </c>
      <c r="T19" s="754" t="s">
        <v>25</v>
      </c>
      <c r="U19" s="755">
        <f>H19</f>
        <v>100</v>
      </c>
      <c r="V19" s="754" t="s">
        <v>25</v>
      </c>
      <c r="W19" s="755">
        <f>J19</f>
        <v>100</v>
      </c>
      <c r="X19" s="1906"/>
      <c r="Y19" s="3003"/>
      <c r="Z19" s="1908" t="str">
        <f>Q19</f>
        <v>公共配套设施</v>
      </c>
      <c r="AA19" s="1909">
        <f t="shared" si="3"/>
        <v>1</v>
      </c>
      <c r="AB19" s="1909">
        <f t="shared" si="4"/>
        <v>1</v>
      </c>
      <c r="AC19" s="1909">
        <f t="shared" si="5"/>
        <v>1</v>
      </c>
    </row>
    <row r="20" spans="1:29" ht="15">
      <c r="A20" s="409"/>
      <c r="B20" s="617"/>
      <c r="C20" s="1474"/>
      <c r="D20" s="428"/>
      <c r="E20" s="2409"/>
      <c r="F20" s="428"/>
      <c r="G20" s="429"/>
      <c r="H20" s="428"/>
      <c r="I20" s="429"/>
      <c r="J20" s="428"/>
      <c r="K20" s="600"/>
      <c r="L20" s="1255"/>
      <c r="M20" s="1246"/>
      <c r="N20" s="1246"/>
      <c r="O20" s="1246"/>
      <c r="P20" s="2984"/>
      <c r="Q20" s="1905"/>
      <c r="R20" s="754"/>
      <c r="S20" s="755"/>
      <c r="T20" s="754"/>
      <c r="U20" s="755"/>
      <c r="V20" s="754"/>
      <c r="W20" s="755"/>
      <c r="X20" s="1906"/>
      <c r="Y20" s="3003"/>
      <c r="Z20" s="1908"/>
      <c r="AA20" s="1909">
        <v>1</v>
      </c>
      <c r="AB20" s="1909">
        <v>1</v>
      </c>
      <c r="AC20" s="1909">
        <v>1</v>
      </c>
    </row>
    <row r="21" spans="1:29" ht="28.5">
      <c r="A21" s="409"/>
      <c r="B21" s="618" t="s">
        <v>2483</v>
      </c>
      <c r="C21" s="2473"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2984"/>
      <c r="Q21" s="1905" t="str">
        <f>B21</f>
        <v>基础设施水平</v>
      </c>
      <c r="R21" s="754" t="s">
        <v>25</v>
      </c>
      <c r="S21" s="755">
        <f>F21</f>
        <v>100</v>
      </c>
      <c r="T21" s="754" t="s">
        <v>25</v>
      </c>
      <c r="U21" s="755">
        <f>H21</f>
        <v>100</v>
      </c>
      <c r="V21" s="754" t="s">
        <v>25</v>
      </c>
      <c r="W21" s="755">
        <f>J21</f>
        <v>100</v>
      </c>
      <c r="X21" s="1906"/>
      <c r="Y21" s="3003"/>
      <c r="Z21" s="1908" t="str">
        <f>Q21</f>
        <v>基础设施水平</v>
      </c>
      <c r="AA21" s="1909">
        <f t="shared" ref="AA21" si="8">D21/F21</f>
        <v>1</v>
      </c>
      <c r="AB21" s="1909">
        <f t="shared" ref="AB21" si="9">D21/H21</f>
        <v>1</v>
      </c>
      <c r="AC21" s="1909">
        <f t="shared" ref="AC21" si="10">D21/J21</f>
        <v>1</v>
      </c>
    </row>
    <row r="22" spans="1:29" ht="15">
      <c r="A22" s="409"/>
      <c r="B22" s="618"/>
      <c r="C22" s="2474"/>
      <c r="D22" s="428"/>
      <c r="E22" s="427"/>
      <c r="F22" s="428"/>
      <c r="G22" s="1474"/>
      <c r="H22" s="428"/>
      <c r="I22" s="1474"/>
      <c r="J22" s="428"/>
      <c r="K22" s="1471"/>
      <c r="L22" s="1255"/>
      <c r="M22" s="1246"/>
      <c r="N22" s="1246"/>
      <c r="O22" s="1246"/>
      <c r="P22" s="2984"/>
      <c r="Q22" s="1905"/>
      <c r="R22" s="754"/>
      <c r="S22" s="755"/>
      <c r="T22" s="754"/>
      <c r="U22" s="755"/>
      <c r="V22" s="754"/>
      <c r="W22" s="755"/>
      <c r="X22" s="1906"/>
      <c r="Y22" s="3003"/>
      <c r="Z22" s="1908"/>
      <c r="AA22" s="1909">
        <v>1</v>
      </c>
      <c r="AB22" s="1909">
        <v>1</v>
      </c>
      <c r="AC22" s="1909">
        <v>1</v>
      </c>
    </row>
    <row r="23" spans="1:29" ht="57">
      <c r="A23" s="409"/>
      <c r="B23" s="616" t="s">
        <v>2484</v>
      </c>
      <c r="C23" s="2473" t="str">
        <f>估价对象房地状况!C9</f>
        <v>自然环境：什刹海公园、官园公园、护城河；人文环境：西城区青少年儿童图书馆、西城区图书馆（总馆）、恭王府、北京古代钱币博物馆、北京工艺美术博物馆；综合评价环境状况好。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2984"/>
      <c r="Q23" s="1905" t="str">
        <f>B23</f>
        <v>环境质量</v>
      </c>
      <c r="R23" s="754" t="s">
        <v>25</v>
      </c>
      <c r="S23" s="755">
        <f>F23</f>
        <v>100</v>
      </c>
      <c r="T23" s="754" t="s">
        <v>25</v>
      </c>
      <c r="U23" s="755">
        <f>H23</f>
        <v>100</v>
      </c>
      <c r="V23" s="754" t="s">
        <v>25</v>
      </c>
      <c r="W23" s="755">
        <f>J23</f>
        <v>100</v>
      </c>
      <c r="X23" s="1906"/>
      <c r="Y23" s="3003"/>
      <c r="Z23" s="1908" t="str">
        <f>Q23</f>
        <v>环境质量</v>
      </c>
      <c r="AA23" s="1909">
        <f t="shared" si="3"/>
        <v>1</v>
      </c>
      <c r="AB23" s="1909">
        <f t="shared" si="4"/>
        <v>1</v>
      </c>
      <c r="AC23" s="1909">
        <f t="shared" si="5"/>
        <v>1</v>
      </c>
    </row>
    <row r="24" spans="1:29" ht="15">
      <c r="A24" s="409"/>
      <c r="B24" s="618"/>
      <c r="C24" s="1474"/>
      <c r="D24" s="428"/>
      <c r="E24" s="2409"/>
      <c r="F24" s="428"/>
      <c r="G24" s="429"/>
      <c r="H24" s="428"/>
      <c r="I24" s="429"/>
      <c r="J24" s="428"/>
      <c r="K24" s="600"/>
      <c r="L24" s="1255"/>
      <c r="M24" s="1246"/>
      <c r="N24" s="1246"/>
      <c r="O24" s="1246"/>
      <c r="P24" s="2984"/>
      <c r="Q24" s="1905"/>
      <c r="R24" s="754"/>
      <c r="S24" s="755"/>
      <c r="T24" s="754"/>
      <c r="U24" s="755"/>
      <c r="V24" s="754"/>
      <c r="W24" s="755"/>
      <c r="X24" s="1906"/>
      <c r="Y24" s="3003"/>
      <c r="Z24" s="1908"/>
      <c r="AA24" s="1909">
        <v>1</v>
      </c>
      <c r="AB24" s="1909">
        <v>1</v>
      </c>
      <c r="AC24" s="1909">
        <v>1</v>
      </c>
    </row>
    <row r="25" spans="1:29" ht="27">
      <c r="A25" s="384"/>
      <c r="B25" s="616" t="s">
        <v>2485</v>
      </c>
      <c r="C25" s="2475"/>
      <c r="D25" s="416">
        <v>100</v>
      </c>
      <c r="E25" s="415"/>
      <c r="F25" s="416">
        <f>SUMIF(87:87,E26,88:88)-SUMIF(87:87,C26,88:88)+100</f>
        <v>100</v>
      </c>
      <c r="G25" s="2475"/>
      <c r="H25" s="416">
        <f>SUMIF(87:87,G26,88:88)-SUMIF(87:87,C26,88:88)+100</f>
        <v>100</v>
      </c>
      <c r="I25" s="415"/>
      <c r="J25" s="416">
        <f>SUMIF(87:87,I26,88:88)-SUMIF(87:87,C26,88:88)+100</f>
        <v>100</v>
      </c>
      <c r="K25" s="599"/>
      <c r="L25" s="1255"/>
      <c r="M25" s="1246"/>
      <c r="N25" s="1246"/>
      <c r="O25" s="1246"/>
      <c r="P25" s="2984"/>
      <c r="Q25" s="1905" t="str">
        <f>B25</f>
        <v>毗邻道路的类型与等级</v>
      </c>
      <c r="R25" s="754" t="s">
        <v>25</v>
      </c>
      <c r="S25" s="755">
        <f>F25</f>
        <v>100</v>
      </c>
      <c r="T25" s="754" t="s">
        <v>25</v>
      </c>
      <c r="U25" s="755">
        <f>H25</f>
        <v>100</v>
      </c>
      <c r="V25" s="754" t="s">
        <v>25</v>
      </c>
      <c r="W25" s="755">
        <f>J25</f>
        <v>100</v>
      </c>
      <c r="X25" s="1906"/>
      <c r="Y25" s="300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2984"/>
      <c r="Q26" s="1905"/>
      <c r="R26" s="754"/>
      <c r="S26" s="755"/>
      <c r="T26" s="754"/>
      <c r="U26" s="755"/>
      <c r="V26" s="754"/>
      <c r="W26" s="755"/>
      <c r="X26" s="1906"/>
      <c r="Y26" s="300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2984"/>
      <c r="Q27" s="1905" t="str">
        <f t="shared" ref="Q27:Q47" si="11">B27</f>
        <v>楼层</v>
      </c>
      <c r="R27" s="754" t="s">
        <v>25</v>
      </c>
      <c r="S27" s="755">
        <f>F27</f>
        <v>100</v>
      </c>
      <c r="T27" s="754" t="s">
        <v>25</v>
      </c>
      <c r="U27" s="755">
        <f>H27</f>
        <v>100</v>
      </c>
      <c r="V27" s="754" t="s">
        <v>25</v>
      </c>
      <c r="W27" s="755">
        <f>J27</f>
        <v>100</v>
      </c>
      <c r="X27" s="1906"/>
      <c r="Y27" s="3003"/>
      <c r="Z27" s="1908" t="str">
        <f>Q27</f>
        <v>楼层</v>
      </c>
      <c r="AA27" s="1909">
        <f t="shared" si="3"/>
        <v>1</v>
      </c>
      <c r="AB27" s="1909">
        <f t="shared" si="4"/>
        <v>1</v>
      </c>
      <c r="AC27" s="1909">
        <f t="shared" si="5"/>
        <v>1</v>
      </c>
    </row>
    <row r="28" spans="1:29" s="35" customFormat="1" ht="15">
      <c r="A28" s="412"/>
      <c r="B28" s="616" t="s">
        <v>2486</v>
      </c>
      <c r="C28" s="2476"/>
      <c r="D28" s="444">
        <v>100</v>
      </c>
      <c r="E28" s="2463"/>
      <c r="F28" s="444">
        <f>SUMIF(91:91,E28,92:92)-SUMIF(91:91,C28,92:92)+100</f>
        <v>100</v>
      </c>
      <c r="G28" s="2476"/>
      <c r="H28" s="444">
        <f>SUMIF(91:91,G28,92:92)-SUMIF(91:91,C28,92:92)+100</f>
        <v>100</v>
      </c>
      <c r="I28" s="2463"/>
      <c r="J28" s="444">
        <f>SUMIF(91:91,I28,92:92)-SUMIF(91:91,C28,92:92)+100</f>
        <v>100</v>
      </c>
      <c r="K28" s="597"/>
      <c r="L28" s="1247"/>
      <c r="M28" s="1248"/>
      <c r="N28" s="1248"/>
      <c r="O28" s="1248"/>
      <c r="P28" s="2984"/>
      <c r="Q28" s="1893" t="str">
        <f t="shared" si="11"/>
        <v>朝向</v>
      </c>
      <c r="R28" s="750" t="s">
        <v>25</v>
      </c>
      <c r="S28" s="751">
        <f>F28</f>
        <v>100</v>
      </c>
      <c r="T28" s="750" t="s">
        <v>25</v>
      </c>
      <c r="U28" s="751">
        <f>H28</f>
        <v>100</v>
      </c>
      <c r="V28" s="750" t="s">
        <v>25</v>
      </c>
      <c r="W28" s="751">
        <f>J28</f>
        <v>100</v>
      </c>
      <c r="X28" s="752"/>
      <c r="Y28" s="3003"/>
      <c r="Z28" s="23" t="str">
        <f>Q28</f>
        <v>朝向</v>
      </c>
      <c r="AA28" s="1909">
        <f>D28/F28</f>
        <v>1</v>
      </c>
      <c r="AB28" s="1909">
        <f>D28/H28</f>
        <v>1</v>
      </c>
      <c r="AC28" s="1909">
        <f>D28/J28</f>
        <v>1</v>
      </c>
    </row>
    <row r="29" spans="1:29" ht="15">
      <c r="A29" s="409"/>
      <c r="B29" s="2477">
        <v>111</v>
      </c>
      <c r="C29" s="2475"/>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2984"/>
      <c r="Q29" s="1905">
        <f t="shared" si="11"/>
        <v>111</v>
      </c>
      <c r="R29" s="754" t="s">
        <v>25</v>
      </c>
      <c r="S29" s="755">
        <f t="shared" ref="S29:S47" si="12">F29</f>
        <v>100</v>
      </c>
      <c r="T29" s="754" t="s">
        <v>25</v>
      </c>
      <c r="U29" s="755">
        <f t="shared" ref="U29:U47" si="13">H29</f>
        <v>100</v>
      </c>
      <c r="V29" s="754" t="s">
        <v>25</v>
      </c>
      <c r="W29" s="755">
        <f t="shared" ref="W29:W47" si="14">J29</f>
        <v>100</v>
      </c>
      <c r="X29" s="1906"/>
      <c r="Y29" s="3003"/>
      <c r="Z29" s="1908">
        <f t="shared" ref="Z29:Z47" si="15">Q29</f>
        <v>111</v>
      </c>
      <c r="AA29" s="1909">
        <f t="shared" si="3"/>
        <v>1</v>
      </c>
      <c r="AB29" s="1909">
        <f t="shared" si="4"/>
        <v>1</v>
      </c>
      <c r="AC29" s="1909">
        <f t="shared" si="5"/>
        <v>1</v>
      </c>
    </row>
    <row r="30" spans="1:29" ht="15">
      <c r="A30" s="409"/>
      <c r="B30" s="2477">
        <v>111</v>
      </c>
      <c r="C30" s="2475"/>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2984"/>
      <c r="Q30" s="1905">
        <f t="shared" si="11"/>
        <v>111</v>
      </c>
      <c r="R30" s="754" t="s">
        <v>25</v>
      </c>
      <c r="S30" s="755">
        <f t="shared" si="12"/>
        <v>100</v>
      </c>
      <c r="T30" s="754" t="s">
        <v>25</v>
      </c>
      <c r="U30" s="755">
        <f t="shared" si="13"/>
        <v>100</v>
      </c>
      <c r="V30" s="754" t="s">
        <v>25</v>
      </c>
      <c r="W30" s="755">
        <f t="shared" si="14"/>
        <v>100</v>
      </c>
      <c r="X30" s="1906"/>
      <c r="Y30" s="3003"/>
      <c r="Z30" s="1908">
        <f t="shared" si="15"/>
        <v>111</v>
      </c>
      <c r="AA30" s="1909">
        <f t="shared" si="3"/>
        <v>1</v>
      </c>
      <c r="AB30" s="1909">
        <f t="shared" si="4"/>
        <v>1</v>
      </c>
      <c r="AC30" s="1909">
        <f t="shared" si="5"/>
        <v>1</v>
      </c>
    </row>
    <row r="31" spans="1:29" ht="15">
      <c r="A31" s="409"/>
      <c r="B31" s="2477">
        <v>111</v>
      </c>
      <c r="C31" s="2475"/>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2984"/>
      <c r="Q31" s="1905">
        <f t="shared" si="11"/>
        <v>111</v>
      </c>
      <c r="R31" s="754" t="s">
        <v>25</v>
      </c>
      <c r="S31" s="755">
        <f t="shared" si="12"/>
        <v>100</v>
      </c>
      <c r="T31" s="754" t="s">
        <v>25</v>
      </c>
      <c r="U31" s="755">
        <f t="shared" si="13"/>
        <v>100</v>
      </c>
      <c r="V31" s="754" t="s">
        <v>25</v>
      </c>
      <c r="W31" s="755">
        <f t="shared" si="14"/>
        <v>100</v>
      </c>
      <c r="X31" s="1906"/>
      <c r="Y31" s="300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2984"/>
      <c r="Q32" s="1905">
        <f t="shared" si="11"/>
        <v>111</v>
      </c>
      <c r="R32" s="754" t="s">
        <v>25</v>
      </c>
      <c r="S32" s="755">
        <f t="shared" si="12"/>
        <v>100</v>
      </c>
      <c r="T32" s="754" t="s">
        <v>25</v>
      </c>
      <c r="U32" s="755">
        <f t="shared" si="13"/>
        <v>100</v>
      </c>
      <c r="V32" s="754" t="s">
        <v>25</v>
      </c>
      <c r="W32" s="755">
        <f t="shared" si="14"/>
        <v>100</v>
      </c>
      <c r="X32" s="1906"/>
      <c r="Y32" s="3003"/>
      <c r="Z32" s="1908">
        <f t="shared" si="15"/>
        <v>111</v>
      </c>
      <c r="AA32" s="1909">
        <f t="shared" si="3"/>
        <v>1</v>
      </c>
      <c r="AB32" s="1909">
        <f t="shared" si="4"/>
        <v>1</v>
      </c>
      <c r="AC32" s="1909">
        <f t="shared" si="5"/>
        <v>1</v>
      </c>
    </row>
    <row r="33" spans="1:29" ht="15">
      <c r="A33" s="420" t="s">
        <v>2371</v>
      </c>
      <c r="B33" s="28" t="s">
        <v>2487</v>
      </c>
      <c r="C33" s="2478"/>
      <c r="D33" s="449">
        <v>100</v>
      </c>
      <c r="E33" s="2478"/>
      <c r="F33" s="443">
        <f>SUMIF(101:101,E33,102:102)-SUMIF(101:101,C33,102:102)+100</f>
        <v>100</v>
      </c>
      <c r="G33" s="2478"/>
      <c r="H33" s="416">
        <f>SUMIF(101:101,G33,102:102)-SUMIF(101:101,C33,102:102)+100</f>
        <v>100</v>
      </c>
      <c r="I33" s="2478"/>
      <c r="J33" s="449">
        <f>SUMIF(101:101,I33,102:102)-SUMIF(101:101,C33,102:102)+100</f>
        <v>100</v>
      </c>
      <c r="K33" s="597"/>
      <c r="L33" s="1255"/>
      <c r="M33" s="1246"/>
      <c r="N33" s="1246"/>
      <c r="O33" s="1246"/>
      <c r="P33" s="3025" t="s">
        <v>2373</v>
      </c>
      <c r="Q33" s="1905" t="str">
        <f t="shared" si="11"/>
        <v>建筑类型</v>
      </c>
      <c r="R33" s="754" t="s">
        <v>25</v>
      </c>
      <c r="S33" s="755">
        <f t="shared" si="12"/>
        <v>100</v>
      </c>
      <c r="T33" s="754" t="s">
        <v>25</v>
      </c>
      <c r="U33" s="755">
        <f t="shared" si="13"/>
        <v>100</v>
      </c>
      <c r="V33" s="754" t="s">
        <v>25</v>
      </c>
      <c r="W33" s="755">
        <f t="shared" si="14"/>
        <v>100</v>
      </c>
      <c r="X33" s="1906"/>
      <c r="Y33" s="300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26"/>
      <c r="Q34" s="756" t="str">
        <f t="shared" si="11"/>
        <v>项目建筑规模</v>
      </c>
      <c r="R34" s="757" t="s">
        <v>25</v>
      </c>
      <c r="S34" s="758" t="e">
        <f t="shared" si="12"/>
        <v>#N/A</v>
      </c>
      <c r="T34" s="757" t="s">
        <v>25</v>
      </c>
      <c r="U34" s="758" t="e">
        <f t="shared" si="13"/>
        <v>#N/A</v>
      </c>
      <c r="V34" s="757" t="s">
        <v>25</v>
      </c>
      <c r="W34" s="758" t="e">
        <f t="shared" si="14"/>
        <v>#N/A</v>
      </c>
      <c r="X34" s="759"/>
      <c r="Y34" s="300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26"/>
      <c r="Q35" s="1905" t="str">
        <f t="shared" si="11"/>
        <v>建筑结构</v>
      </c>
      <c r="R35" s="754" t="s">
        <v>25</v>
      </c>
      <c r="S35" s="755">
        <f t="shared" si="12"/>
        <v>100</v>
      </c>
      <c r="T35" s="754" t="s">
        <v>25</v>
      </c>
      <c r="U35" s="755">
        <f t="shared" si="13"/>
        <v>100</v>
      </c>
      <c r="V35" s="754" t="s">
        <v>25</v>
      </c>
      <c r="W35" s="755">
        <f t="shared" si="14"/>
        <v>100</v>
      </c>
      <c r="X35" s="1906"/>
      <c r="Y35" s="300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26"/>
      <c r="Q36" s="1905" t="str">
        <f t="shared" si="11"/>
        <v>公共部分装修</v>
      </c>
      <c r="R36" s="754" t="s">
        <v>25</v>
      </c>
      <c r="S36" s="755">
        <f t="shared" si="12"/>
        <v>100</v>
      </c>
      <c r="T36" s="754" t="s">
        <v>25</v>
      </c>
      <c r="U36" s="755">
        <f t="shared" si="13"/>
        <v>100</v>
      </c>
      <c r="V36" s="754" t="s">
        <v>25</v>
      </c>
      <c r="W36" s="755">
        <f t="shared" si="14"/>
        <v>100</v>
      </c>
      <c r="X36" s="1906"/>
      <c r="Y36" s="300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26"/>
      <c r="Q37" s="1905" t="str">
        <f t="shared" si="11"/>
        <v>成新度</v>
      </c>
      <c r="R37" s="754" t="s">
        <v>25</v>
      </c>
      <c r="S37" s="755" t="e">
        <f t="shared" si="12"/>
        <v>#N/A</v>
      </c>
      <c r="T37" s="754" t="s">
        <v>25</v>
      </c>
      <c r="U37" s="755" t="e">
        <f t="shared" si="13"/>
        <v>#N/A</v>
      </c>
      <c r="V37" s="754" t="s">
        <v>25</v>
      </c>
      <c r="W37" s="755" t="e">
        <f t="shared" si="14"/>
        <v>#N/A</v>
      </c>
      <c r="X37" s="1906"/>
      <c r="Y37" s="300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26"/>
      <c r="Q38" s="1893" t="str">
        <f t="shared" si="11"/>
        <v>写字楼等级</v>
      </c>
      <c r="R38" s="750" t="s">
        <v>25</v>
      </c>
      <c r="S38" s="751">
        <f t="shared" si="12"/>
        <v>100</v>
      </c>
      <c r="T38" s="750" t="s">
        <v>25</v>
      </c>
      <c r="U38" s="751">
        <f t="shared" si="13"/>
        <v>100</v>
      </c>
      <c r="V38" s="750" t="s">
        <v>25</v>
      </c>
      <c r="W38" s="751">
        <f t="shared" si="14"/>
        <v>100</v>
      </c>
      <c r="X38" s="752"/>
      <c r="Y38" s="300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26" t="s">
        <v>2373</v>
      </c>
      <c r="Q39" s="1905" t="str">
        <f t="shared" si="11"/>
        <v>物业管理</v>
      </c>
      <c r="R39" s="754" t="s">
        <v>25</v>
      </c>
      <c r="S39" s="755">
        <f t="shared" si="12"/>
        <v>100</v>
      </c>
      <c r="T39" s="754" t="s">
        <v>25</v>
      </c>
      <c r="U39" s="755">
        <f t="shared" si="13"/>
        <v>100</v>
      </c>
      <c r="V39" s="754" t="s">
        <v>25</v>
      </c>
      <c r="W39" s="755">
        <f t="shared" si="14"/>
        <v>100</v>
      </c>
      <c r="X39" s="1906"/>
      <c r="Y39" s="300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26"/>
      <c r="Q40" s="1905" t="str">
        <f t="shared" si="11"/>
        <v>市政基础设施</v>
      </c>
      <c r="R40" s="754" t="s">
        <v>25</v>
      </c>
      <c r="S40" s="755">
        <f t="shared" si="12"/>
        <v>100</v>
      </c>
      <c r="T40" s="754" t="s">
        <v>25</v>
      </c>
      <c r="U40" s="755">
        <f t="shared" si="13"/>
        <v>100</v>
      </c>
      <c r="V40" s="754" t="s">
        <v>25</v>
      </c>
      <c r="W40" s="755">
        <f t="shared" si="14"/>
        <v>100</v>
      </c>
      <c r="X40" s="1906"/>
      <c r="Y40" s="300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26"/>
      <c r="Q41" s="1905" t="str">
        <f t="shared" si="11"/>
        <v>层高</v>
      </c>
      <c r="R41" s="754" t="s">
        <v>25</v>
      </c>
      <c r="S41" s="755">
        <f t="shared" si="12"/>
        <v>100</v>
      </c>
      <c r="T41" s="754" t="s">
        <v>25</v>
      </c>
      <c r="U41" s="755">
        <f t="shared" si="13"/>
        <v>100</v>
      </c>
      <c r="V41" s="754" t="s">
        <v>25</v>
      </c>
      <c r="W41" s="755">
        <f t="shared" si="14"/>
        <v>100</v>
      </c>
      <c r="X41" s="1906"/>
      <c r="Y41" s="300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26"/>
      <c r="Q42" s="756" t="str">
        <f t="shared" si="11"/>
        <v>单套建筑面积</v>
      </c>
      <c r="R42" s="757" t="s">
        <v>25</v>
      </c>
      <c r="S42" s="758">
        <f t="shared" si="12"/>
        <v>100</v>
      </c>
      <c r="T42" s="757" t="s">
        <v>25</v>
      </c>
      <c r="U42" s="758">
        <f t="shared" si="13"/>
        <v>100</v>
      </c>
      <c r="V42" s="757" t="s">
        <v>25</v>
      </c>
      <c r="W42" s="758">
        <f t="shared" si="14"/>
        <v>100</v>
      </c>
      <c r="X42" s="759"/>
      <c r="Y42" s="300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26"/>
      <c r="Q43" s="1905" t="str">
        <f t="shared" si="11"/>
        <v>内部装修</v>
      </c>
      <c r="R43" s="754" t="s">
        <v>25</v>
      </c>
      <c r="S43" s="755">
        <f t="shared" si="12"/>
        <v>100</v>
      </c>
      <c r="T43" s="754" t="s">
        <v>25</v>
      </c>
      <c r="U43" s="755">
        <f t="shared" si="13"/>
        <v>100</v>
      </c>
      <c r="V43" s="754" t="s">
        <v>25</v>
      </c>
      <c r="W43" s="755">
        <f t="shared" si="14"/>
        <v>100</v>
      </c>
      <c r="X43" s="1906"/>
      <c r="Y43" s="3007"/>
      <c r="Z43" s="1908" t="str">
        <f t="shared" si="15"/>
        <v>内部装修</v>
      </c>
      <c r="AA43" s="1909">
        <f t="shared" si="3"/>
        <v>1</v>
      </c>
      <c r="AB43" s="1909">
        <f t="shared" si="4"/>
        <v>1</v>
      </c>
      <c r="AC43" s="1909">
        <f t="shared" si="5"/>
        <v>1</v>
      </c>
    </row>
    <row r="44" spans="1:29" ht="15">
      <c r="A44" s="454"/>
      <c r="B44" s="403" t="s">
        <v>2384</v>
      </c>
      <c r="C44" s="442"/>
      <c r="D44" s="416">
        <v>100</v>
      </c>
      <c r="E44" s="2416"/>
      <c r="F44" s="443">
        <f>SUMIF(125:125,E44,126:126)-SUMIF(125:125,C44,126:126)+100</f>
        <v>100</v>
      </c>
      <c r="G44" s="2416"/>
      <c r="H44" s="416">
        <f>SUMIF(125:125,G44,126:126)-SUMIF(125:125,C44,126:126)+100</f>
        <v>100</v>
      </c>
      <c r="I44" s="2416"/>
      <c r="J44" s="416">
        <f>SUMIF(125:125,I44,126:126)-SUMIF(125:125,C44,126:126)+100</f>
        <v>100</v>
      </c>
      <c r="K44" s="597"/>
      <c r="L44" s="1255"/>
      <c r="M44" s="1246"/>
      <c r="N44" s="1246"/>
      <c r="O44" s="1246"/>
      <c r="P44" s="3026"/>
      <c r="Q44" s="1905" t="str">
        <f t="shared" si="11"/>
        <v>内部装修维护情况</v>
      </c>
      <c r="R44" s="754" t="s">
        <v>25</v>
      </c>
      <c r="S44" s="755">
        <f t="shared" si="12"/>
        <v>100</v>
      </c>
      <c r="T44" s="754" t="s">
        <v>25</v>
      </c>
      <c r="U44" s="755">
        <f t="shared" si="13"/>
        <v>100</v>
      </c>
      <c r="V44" s="754" t="s">
        <v>25</v>
      </c>
      <c r="W44" s="755">
        <f t="shared" si="14"/>
        <v>100</v>
      </c>
      <c r="X44" s="1906"/>
      <c r="Y44" s="3007"/>
      <c r="Z44" s="1908" t="str">
        <f t="shared" si="15"/>
        <v>内部装修维护情况</v>
      </c>
      <c r="AA44" s="1909">
        <f t="shared" si="3"/>
        <v>1</v>
      </c>
      <c r="AB44" s="1909">
        <f t="shared" si="4"/>
        <v>1</v>
      </c>
      <c r="AC44" s="1909">
        <f t="shared" si="5"/>
        <v>1</v>
      </c>
    </row>
    <row r="45" spans="1:29" s="35" customFormat="1" ht="15">
      <c r="A45" s="455"/>
      <c r="B45" s="2417">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26"/>
      <c r="Q45" s="1893">
        <f t="shared" si="11"/>
        <v>111</v>
      </c>
      <c r="R45" s="750" t="s">
        <v>25</v>
      </c>
      <c r="S45" s="751">
        <f t="shared" si="12"/>
        <v>100</v>
      </c>
      <c r="T45" s="750" t="s">
        <v>25</v>
      </c>
      <c r="U45" s="751">
        <f t="shared" si="13"/>
        <v>100</v>
      </c>
      <c r="V45" s="750" t="s">
        <v>25</v>
      </c>
      <c r="W45" s="751">
        <f t="shared" si="14"/>
        <v>100</v>
      </c>
      <c r="X45" s="752"/>
      <c r="Y45" s="3007"/>
      <c r="Z45" s="23">
        <f t="shared" si="15"/>
        <v>111</v>
      </c>
      <c r="AA45" s="753">
        <f t="shared" si="3"/>
        <v>1</v>
      </c>
      <c r="AB45" s="753">
        <f t="shared" si="4"/>
        <v>1</v>
      </c>
      <c r="AC45" s="753">
        <f t="shared" si="5"/>
        <v>1</v>
      </c>
    </row>
    <row r="46" spans="1:29" ht="15">
      <c r="A46" s="454"/>
      <c r="B46" s="2417">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26"/>
      <c r="Q46" s="1905">
        <f t="shared" si="11"/>
        <v>111</v>
      </c>
      <c r="R46" s="754" t="s">
        <v>25</v>
      </c>
      <c r="S46" s="755">
        <f t="shared" si="12"/>
        <v>100</v>
      </c>
      <c r="T46" s="754" t="s">
        <v>25</v>
      </c>
      <c r="U46" s="755">
        <f t="shared" si="13"/>
        <v>100</v>
      </c>
      <c r="V46" s="754" t="s">
        <v>25</v>
      </c>
      <c r="W46" s="755">
        <f t="shared" si="14"/>
        <v>100</v>
      </c>
      <c r="X46" s="1906"/>
      <c r="Y46" s="3007"/>
      <c r="Z46" s="1908">
        <f t="shared" si="15"/>
        <v>111</v>
      </c>
      <c r="AA46" s="1909">
        <f t="shared" si="3"/>
        <v>1</v>
      </c>
      <c r="AB46" s="1909">
        <f t="shared" si="4"/>
        <v>1</v>
      </c>
      <c r="AC46" s="1909">
        <f t="shared" si="5"/>
        <v>1</v>
      </c>
    </row>
    <row r="47" spans="1:29" ht="15.75" thickBot="1">
      <c r="A47" s="460"/>
      <c r="B47" s="2406">
        <v>111</v>
      </c>
      <c r="C47" s="2407"/>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27"/>
      <c r="Q47" s="1905">
        <f t="shared" si="11"/>
        <v>111</v>
      </c>
      <c r="R47" s="754" t="s">
        <v>25</v>
      </c>
      <c r="S47" s="755">
        <f t="shared" si="12"/>
        <v>100</v>
      </c>
      <c r="T47" s="754" t="s">
        <v>25</v>
      </c>
      <c r="U47" s="755">
        <f t="shared" si="13"/>
        <v>100</v>
      </c>
      <c r="V47" s="754" t="s">
        <v>25</v>
      </c>
      <c r="W47" s="755">
        <f t="shared" si="14"/>
        <v>100</v>
      </c>
      <c r="X47" s="1906"/>
      <c r="Y47" s="300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20" t="str">
        <f>A48</f>
        <v>成交单价（元/平方米）</v>
      </c>
      <c r="Q48" s="3013"/>
      <c r="R48" s="3014">
        <f>E48</f>
        <v>0</v>
      </c>
      <c r="S48" s="3014"/>
      <c r="T48" s="3014">
        <f>G48</f>
        <v>0</v>
      </c>
      <c r="U48" s="3014"/>
      <c r="V48" s="3014">
        <f>I48</f>
        <v>0</v>
      </c>
      <c r="W48" s="3014"/>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20" t="str">
        <f>A49</f>
        <v>比较价值（元/平方米）</v>
      </c>
      <c r="Q49" s="3013"/>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28" t="str">
        <f>A50</f>
        <v>估价对象XX用房的比较价值（楼面单价，元/平方米）</v>
      </c>
      <c r="Q50" s="3020"/>
      <c r="R50" s="3021" t="e">
        <f>IF(E1="售价",ROUND(AVERAGE(R49:V49),0),ROUND(AVERAGE(R49:V49),1))</f>
        <v>#DIV/0!</v>
      </c>
      <c r="S50" s="3021"/>
      <c r="T50" s="3021"/>
      <c r="U50" s="3021"/>
      <c r="V50" s="3021"/>
      <c r="W50" s="3021"/>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2017-9</v>
      </c>
      <c r="D59" s="1685">
        <f>EDATE(C59,-1)</f>
        <v>42948</v>
      </c>
      <c r="E59" s="1685">
        <f t="shared" ref="E59:O59" si="16">EDATE(D59,-1)</f>
        <v>42917</v>
      </c>
      <c r="F59" s="1685">
        <f t="shared" si="16"/>
        <v>42887</v>
      </c>
      <c r="G59" s="1685">
        <f t="shared" si="16"/>
        <v>42856</v>
      </c>
      <c r="H59" s="1685">
        <f t="shared" si="16"/>
        <v>42826</v>
      </c>
      <c r="I59" s="1685">
        <f t="shared" si="16"/>
        <v>42795</v>
      </c>
      <c r="J59" s="1685">
        <f t="shared" si="16"/>
        <v>42767</v>
      </c>
      <c r="K59" s="1685">
        <f t="shared" si="16"/>
        <v>42736</v>
      </c>
      <c r="L59" s="1685">
        <f t="shared" si="16"/>
        <v>42705</v>
      </c>
      <c r="M59" s="1685">
        <f t="shared" si="16"/>
        <v>42675</v>
      </c>
      <c r="N59" s="1685">
        <f t="shared" si="16"/>
        <v>42644</v>
      </c>
      <c r="O59" s="1685">
        <f t="shared" si="16"/>
        <v>42614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6"/>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7"/>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79"/>
      <c r="M119" s="2480"/>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1"/>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7"/>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89"/>
      <c r="E2" s="2482"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339.05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2977" t="s">
        <v>2343</v>
      </c>
      <c r="D4" s="2978"/>
      <c r="E4" s="2979" t="s">
        <v>2344</v>
      </c>
      <c r="F4" s="2980"/>
      <c r="G4" s="2977" t="s">
        <v>2345</v>
      </c>
      <c r="H4" s="2978"/>
      <c r="I4" s="2977" t="s">
        <v>2346</v>
      </c>
      <c r="J4" s="2978"/>
      <c r="K4" s="595" t="s">
        <v>2347</v>
      </c>
      <c r="L4" s="1245"/>
      <c r="M4" s="1246"/>
      <c r="N4" s="1246"/>
      <c r="O4" s="1246"/>
      <c r="P4" s="2981" t="s">
        <v>2348</v>
      </c>
      <c r="Q4" s="2982"/>
      <c r="R4" s="2987" t="s">
        <v>2344</v>
      </c>
      <c r="S4" s="2988"/>
      <c r="T4" s="2987" t="s">
        <v>2345</v>
      </c>
      <c r="U4" s="2988"/>
      <c r="V4" s="2993" t="s">
        <v>2346</v>
      </c>
      <c r="W4" s="2993"/>
      <c r="X4" s="1906"/>
      <c r="Y4" s="2987" t="s">
        <v>2348</v>
      </c>
      <c r="Z4" s="2988"/>
      <c r="AA4" s="2974" t="s">
        <v>2344</v>
      </c>
      <c r="AB4" s="2975" t="s">
        <v>2345</v>
      </c>
      <c r="AC4" s="2974" t="s">
        <v>2346</v>
      </c>
    </row>
    <row r="5" spans="1:29" ht="15">
      <c r="A5" s="384"/>
      <c r="B5" s="385"/>
      <c r="C5" s="2996" t="s">
        <v>2349</v>
      </c>
      <c r="D5" s="2997"/>
      <c r="E5" s="2994" t="s">
        <v>2350</v>
      </c>
      <c r="F5" s="2995"/>
      <c r="G5" s="2996" t="s">
        <v>2351</v>
      </c>
      <c r="H5" s="2997"/>
      <c r="I5" s="2996" t="s">
        <v>2352</v>
      </c>
      <c r="J5" s="2997"/>
      <c r="K5" s="595"/>
      <c r="L5" s="1245"/>
      <c r="M5" s="1246"/>
      <c r="N5" s="1246"/>
      <c r="O5" s="1246"/>
      <c r="P5" s="2983"/>
      <c r="Q5" s="2984"/>
      <c r="R5" s="2989"/>
      <c r="S5" s="2990"/>
      <c r="T5" s="2989"/>
      <c r="U5" s="2990"/>
      <c r="V5" s="2993"/>
      <c r="W5" s="2993"/>
      <c r="X5" s="1906"/>
      <c r="Y5" s="2989"/>
      <c r="Z5" s="2990"/>
      <c r="AA5" s="2975"/>
      <c r="AB5" s="2975"/>
      <c r="AC5" s="2975"/>
    </row>
    <row r="6" spans="1:29" ht="15.75" thickBot="1">
      <c r="A6" s="386"/>
      <c r="B6" s="387"/>
      <c r="C6" s="2998" t="s">
        <v>2353</v>
      </c>
      <c r="D6" s="2999"/>
      <c r="E6" s="3000" t="s">
        <v>2353</v>
      </c>
      <c r="F6" s="3001"/>
      <c r="G6" s="2998" t="s">
        <v>2353</v>
      </c>
      <c r="H6" s="2999"/>
      <c r="I6" s="2998" t="s">
        <v>2353</v>
      </c>
      <c r="J6" s="2999"/>
      <c r="K6" s="595" t="s">
        <v>2354</v>
      </c>
      <c r="L6" s="1245"/>
      <c r="M6" s="1246"/>
      <c r="N6" s="1246"/>
      <c r="O6" s="1246"/>
      <c r="P6" s="2985"/>
      <c r="Q6" s="2986"/>
      <c r="R6" s="2989"/>
      <c r="S6" s="2990"/>
      <c r="T6" s="2991"/>
      <c r="U6" s="2992"/>
      <c r="V6" s="2993"/>
      <c r="W6" s="2993"/>
      <c r="X6" s="1906"/>
      <c r="Y6" s="2991"/>
      <c r="Z6" s="2992"/>
      <c r="AA6" s="2976"/>
      <c r="AB6" s="2976"/>
      <c r="AC6" s="2976"/>
    </row>
    <row r="7" spans="1:29" s="35" customFormat="1" ht="15.75" thickBot="1">
      <c r="A7" s="388" t="s">
        <v>2355</v>
      </c>
      <c r="B7" s="389"/>
      <c r="C7" s="390">
        <f>'数据-取费表'!B2</f>
        <v>42990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09" t="s">
        <v>2356</v>
      </c>
      <c r="Q7" s="3011"/>
      <c r="R7" s="750" t="s">
        <v>25</v>
      </c>
      <c r="S7" s="751">
        <f t="shared" ref="S7:S15" si="0">F7</f>
        <v>0</v>
      </c>
      <c r="T7" s="750" t="s">
        <v>25</v>
      </c>
      <c r="U7" s="751">
        <f t="shared" ref="U7:U15" si="1">H7</f>
        <v>0</v>
      </c>
      <c r="V7" s="750" t="s">
        <v>25</v>
      </c>
      <c r="W7" s="751">
        <f t="shared" ref="W7:W15" si="2">J7</f>
        <v>0</v>
      </c>
      <c r="X7" s="752"/>
      <c r="Y7" s="3009" t="s">
        <v>2356</v>
      </c>
      <c r="Z7" s="3010"/>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09" t="s">
        <v>2359</v>
      </c>
      <c r="Q8" s="3010"/>
      <c r="R8" s="750" t="s">
        <v>25</v>
      </c>
      <c r="S8" s="751">
        <f t="shared" si="0"/>
        <v>100</v>
      </c>
      <c r="T8" s="750" t="s">
        <v>25</v>
      </c>
      <c r="U8" s="751">
        <f t="shared" si="1"/>
        <v>100</v>
      </c>
      <c r="V8" s="750" t="s">
        <v>25</v>
      </c>
      <c r="W8" s="751">
        <f t="shared" si="2"/>
        <v>100</v>
      </c>
      <c r="X8" s="752"/>
      <c r="Y8" s="3009" t="s">
        <v>2359</v>
      </c>
      <c r="Z8" s="3010"/>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13" t="s">
        <v>2362</v>
      </c>
      <c r="Q9" s="1893" t="str">
        <f t="shared" ref="Q9:Q15" si="6">B9</f>
        <v>用途</v>
      </c>
      <c r="R9" s="750" t="s">
        <v>25</v>
      </c>
      <c r="S9" s="751">
        <f t="shared" si="0"/>
        <v>100</v>
      </c>
      <c r="T9" s="750" t="s">
        <v>25</v>
      </c>
      <c r="U9" s="751">
        <f t="shared" si="1"/>
        <v>100</v>
      </c>
      <c r="V9" s="750" t="s">
        <v>25</v>
      </c>
      <c r="W9" s="751">
        <f t="shared" si="2"/>
        <v>100</v>
      </c>
      <c r="X9" s="752"/>
      <c r="Y9" s="282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13"/>
      <c r="Q10" s="1893" t="str">
        <f t="shared" si="6"/>
        <v>土地使用年限（年）</v>
      </c>
      <c r="R10" s="750" t="s">
        <v>25</v>
      </c>
      <c r="S10" s="751">
        <f t="shared" si="0"/>
        <v>100</v>
      </c>
      <c r="T10" s="750" t="s">
        <v>25</v>
      </c>
      <c r="U10" s="751">
        <f t="shared" si="1"/>
        <v>100</v>
      </c>
      <c r="V10" s="750" t="s">
        <v>25</v>
      </c>
      <c r="W10" s="751">
        <f t="shared" si="2"/>
        <v>100</v>
      </c>
      <c r="X10" s="752"/>
      <c r="Y10" s="282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13"/>
      <c r="Q11" s="1893" t="str">
        <f t="shared" si="6"/>
        <v>容积率</v>
      </c>
      <c r="R11" s="750" t="s">
        <v>25</v>
      </c>
      <c r="S11" s="751" t="e">
        <f t="shared" si="0"/>
        <v>#N/A</v>
      </c>
      <c r="T11" s="750" t="s">
        <v>25</v>
      </c>
      <c r="U11" s="751" t="e">
        <f t="shared" si="1"/>
        <v>#N/A</v>
      </c>
      <c r="V11" s="750" t="s">
        <v>25</v>
      </c>
      <c r="W11" s="751" t="e">
        <f t="shared" si="2"/>
        <v>#N/A</v>
      </c>
      <c r="X11" s="752"/>
      <c r="Y11" s="2825"/>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52">
        <f>SUMIF(64:64,E12,65:65)-SUMIF(64:64,C12,65:65)+100</f>
        <v>100</v>
      </c>
      <c r="G12" s="2483"/>
      <c r="H12" s="52">
        <f>SUMIF(64:64,G12,65:65)-SUMIF(64:64,C12,65:65)+100</f>
        <v>100</v>
      </c>
      <c r="I12" s="451"/>
      <c r="J12" s="52">
        <f>SUMIF(64:64,I12,65:65)-SUMIF(64:64,C12,65:65)+100</f>
        <v>100</v>
      </c>
      <c r="K12" s="598"/>
      <c r="L12" s="1247"/>
      <c r="M12" s="1248"/>
      <c r="N12" s="1248"/>
      <c r="O12" s="1249"/>
      <c r="P12" s="3013"/>
      <c r="Q12" s="1893">
        <f t="shared" si="6"/>
        <v>111</v>
      </c>
      <c r="R12" s="750" t="s">
        <v>25</v>
      </c>
      <c r="S12" s="751">
        <f t="shared" si="0"/>
        <v>100</v>
      </c>
      <c r="T12" s="750" t="s">
        <v>25</v>
      </c>
      <c r="U12" s="751">
        <f t="shared" si="1"/>
        <v>100</v>
      </c>
      <c r="V12" s="750" t="s">
        <v>25</v>
      </c>
      <c r="W12" s="751">
        <f t="shared" si="2"/>
        <v>100</v>
      </c>
      <c r="X12" s="752"/>
      <c r="Y12" s="2825"/>
      <c r="Z12" s="23">
        <f t="shared" si="7"/>
        <v>111</v>
      </c>
      <c r="AA12" s="753">
        <f>D12/F12</f>
        <v>1</v>
      </c>
      <c r="AB12" s="753">
        <f>D12/H12</f>
        <v>1</v>
      </c>
      <c r="AC12" s="753">
        <f>D12/J12</f>
        <v>1</v>
      </c>
    </row>
    <row r="13" spans="1:29" ht="15">
      <c r="A13" s="409"/>
      <c r="B13" s="2404">
        <v>111</v>
      </c>
      <c r="C13" s="415"/>
      <c r="D13" s="416">
        <v>100</v>
      </c>
      <c r="E13" s="415"/>
      <c r="F13" s="52">
        <f>SUMIF(66:66,E13,67:67)-SUMIF(66:66,C13,67:67)+100</f>
        <v>100</v>
      </c>
      <c r="G13" s="2483"/>
      <c r="H13" s="416">
        <f>SUMIF(66:66,G13,67:67)-SUMIF(66:66,C13,67:67)+100</f>
        <v>100</v>
      </c>
      <c r="I13" s="451"/>
      <c r="J13" s="416">
        <f>SUMIF(66:66,I13,67:67)-SUMIF(66:66,C13,67:67)+100</f>
        <v>100</v>
      </c>
      <c r="K13" s="598"/>
      <c r="L13" s="1255"/>
      <c r="M13" s="1246"/>
      <c r="N13" s="1246"/>
      <c r="O13" s="1254"/>
      <c r="P13" s="3013"/>
      <c r="Q13" s="1893">
        <f t="shared" si="6"/>
        <v>111</v>
      </c>
      <c r="R13" s="750" t="s">
        <v>25</v>
      </c>
      <c r="S13" s="751">
        <f t="shared" si="0"/>
        <v>100</v>
      </c>
      <c r="T13" s="750" t="s">
        <v>25</v>
      </c>
      <c r="U13" s="751">
        <f t="shared" si="1"/>
        <v>100</v>
      </c>
      <c r="V13" s="750" t="s">
        <v>25</v>
      </c>
      <c r="W13" s="751">
        <f t="shared" si="2"/>
        <v>100</v>
      </c>
      <c r="X13" s="752"/>
      <c r="Y13" s="2825"/>
      <c r="Z13" s="23">
        <f t="shared" si="7"/>
        <v>111</v>
      </c>
      <c r="AA13" s="753">
        <f t="shared" si="3"/>
        <v>1</v>
      </c>
      <c r="AB13" s="753">
        <f t="shared" si="4"/>
        <v>1</v>
      </c>
      <c r="AC13" s="753">
        <f t="shared" si="5"/>
        <v>1</v>
      </c>
    </row>
    <row r="14" spans="1:29" ht="15.75" thickBot="1">
      <c r="A14" s="417"/>
      <c r="B14" s="2406">
        <v>111</v>
      </c>
      <c r="C14" s="2407"/>
      <c r="D14" s="418">
        <v>100</v>
      </c>
      <c r="E14" s="2407"/>
      <c r="F14" s="418">
        <f>SUMIF(68:68,E14,69:69)-SUMIF(68:68,C14,69:69)+100</f>
        <v>100</v>
      </c>
      <c r="G14" s="2483"/>
      <c r="H14" s="418">
        <f>SUMIF(68:68,G14,69:69)-SUMIF(68:68,C14,69:69)+100</f>
        <v>100</v>
      </c>
      <c r="I14" s="451"/>
      <c r="J14" s="418">
        <f>SUMIF(68:68,I14,69:69)-SUMIF(68:68,C14,69:69)+100</f>
        <v>100</v>
      </c>
      <c r="K14" s="598"/>
      <c r="L14" s="1255"/>
      <c r="M14" s="1246"/>
      <c r="N14" s="1246"/>
      <c r="O14" s="1254"/>
      <c r="P14" s="3013"/>
      <c r="Q14" s="1893">
        <f t="shared" si="6"/>
        <v>111</v>
      </c>
      <c r="R14" s="750" t="s">
        <v>25</v>
      </c>
      <c r="S14" s="751">
        <f t="shared" si="0"/>
        <v>100</v>
      </c>
      <c r="T14" s="750" t="s">
        <v>25</v>
      </c>
      <c r="U14" s="751">
        <f t="shared" si="1"/>
        <v>100</v>
      </c>
      <c r="V14" s="750" t="s">
        <v>25</v>
      </c>
      <c r="W14" s="751">
        <f t="shared" si="2"/>
        <v>100</v>
      </c>
      <c r="X14" s="752"/>
      <c r="Y14" s="2825"/>
      <c r="Z14" s="23">
        <f t="shared" si="7"/>
        <v>111</v>
      </c>
      <c r="AA14" s="753">
        <f t="shared" si="3"/>
        <v>1</v>
      </c>
      <c r="AB14" s="753">
        <f t="shared" si="4"/>
        <v>1</v>
      </c>
      <c r="AC14" s="753">
        <f t="shared" si="5"/>
        <v>1</v>
      </c>
    </row>
    <row r="15" spans="1:29" ht="57">
      <c r="A15" s="420" t="s">
        <v>2366</v>
      </c>
      <c r="B15" s="26" t="s">
        <v>2498</v>
      </c>
      <c r="C15" s="2484"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02" t="s">
        <v>2367</v>
      </c>
      <c r="Q15" s="1905" t="str">
        <f t="shared" si="6"/>
        <v>产业集聚程度</v>
      </c>
      <c r="R15" s="754" t="s">
        <v>25</v>
      </c>
      <c r="S15" s="755">
        <f t="shared" si="0"/>
        <v>100</v>
      </c>
      <c r="T15" s="754" t="s">
        <v>25</v>
      </c>
      <c r="U15" s="755">
        <f t="shared" si="1"/>
        <v>100</v>
      </c>
      <c r="V15" s="754" t="s">
        <v>25</v>
      </c>
      <c r="W15" s="755">
        <f t="shared" si="2"/>
        <v>100</v>
      </c>
      <c r="X15" s="1906"/>
      <c r="Y15" s="300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03"/>
      <c r="Q16" s="1905"/>
      <c r="R16" s="754"/>
      <c r="S16" s="755"/>
      <c r="T16" s="754"/>
      <c r="U16" s="755"/>
      <c r="V16" s="754"/>
      <c r="W16" s="755"/>
      <c r="X16" s="1906"/>
      <c r="Y16" s="3003"/>
      <c r="Z16" s="1908"/>
      <c r="AA16" s="1909">
        <v>1</v>
      </c>
      <c r="AB16" s="1909">
        <v>1</v>
      </c>
      <c r="AC16" s="1909">
        <v>1</v>
      </c>
    </row>
    <row r="17" spans="1:29" ht="85.5">
      <c r="A17" s="409"/>
      <c r="B17" s="432" t="s">
        <v>1751</v>
      </c>
      <c r="C17" s="2411"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03"/>
      <c r="Q17" s="1905" t="str">
        <f>B17</f>
        <v>交通便捷度</v>
      </c>
      <c r="R17" s="754" t="s">
        <v>25</v>
      </c>
      <c r="S17" s="755">
        <f>F17</f>
        <v>100</v>
      </c>
      <c r="T17" s="754" t="s">
        <v>25</v>
      </c>
      <c r="U17" s="755">
        <f>H17</f>
        <v>100</v>
      </c>
      <c r="V17" s="754" t="s">
        <v>25</v>
      </c>
      <c r="W17" s="755">
        <f>J17</f>
        <v>100</v>
      </c>
      <c r="X17" s="1906"/>
      <c r="Y17" s="3003"/>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54"/>
      <c r="P18" s="3003"/>
      <c r="Q18" s="1905"/>
      <c r="R18" s="754"/>
      <c r="S18" s="755"/>
      <c r="T18" s="754"/>
      <c r="U18" s="755"/>
      <c r="V18" s="754"/>
      <c r="W18" s="755"/>
      <c r="X18" s="1906"/>
      <c r="Y18" s="3003"/>
      <c r="Z18" s="1908"/>
      <c r="AA18" s="1909">
        <v>1</v>
      </c>
      <c r="AB18" s="1909">
        <v>1</v>
      </c>
      <c r="AC18" s="1909">
        <v>1</v>
      </c>
    </row>
    <row r="19" spans="1:29" ht="42.75">
      <c r="A19" s="409"/>
      <c r="B19" s="616" t="s">
        <v>2482</v>
      </c>
      <c r="C19" s="2411"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03"/>
      <c r="Q19" s="1905" t="str">
        <f>B19</f>
        <v>公共配套设施</v>
      </c>
      <c r="R19" s="754" t="s">
        <v>25</v>
      </c>
      <c r="S19" s="755">
        <f>F19</f>
        <v>100</v>
      </c>
      <c r="T19" s="754" t="s">
        <v>25</v>
      </c>
      <c r="U19" s="755">
        <f>H19</f>
        <v>100</v>
      </c>
      <c r="V19" s="754" t="s">
        <v>25</v>
      </c>
      <c r="W19" s="755">
        <f>J19</f>
        <v>100</v>
      </c>
      <c r="X19" s="1906"/>
      <c r="Y19" s="3003"/>
      <c r="Z19" s="1908" t="str">
        <f>Q19</f>
        <v>公共配套设施</v>
      </c>
      <c r="AA19" s="1909">
        <f t="shared" si="3"/>
        <v>1</v>
      </c>
      <c r="AB19" s="1909">
        <f t="shared" si="4"/>
        <v>1</v>
      </c>
      <c r="AC19" s="1909">
        <f t="shared" si="5"/>
        <v>1</v>
      </c>
    </row>
    <row r="20" spans="1:29" ht="15">
      <c r="A20" s="409"/>
      <c r="B20" s="617"/>
      <c r="C20" s="427"/>
      <c r="D20" s="428"/>
      <c r="E20" s="429"/>
      <c r="F20" s="430"/>
      <c r="G20" s="2409"/>
      <c r="H20" s="428"/>
      <c r="I20" s="429"/>
      <c r="J20" s="428"/>
      <c r="K20" s="600"/>
      <c r="L20" s="1255"/>
      <c r="M20" s="1246"/>
      <c r="N20" s="1246"/>
      <c r="O20" s="1254"/>
      <c r="P20" s="3003"/>
      <c r="Q20" s="1905"/>
      <c r="R20" s="754"/>
      <c r="S20" s="755"/>
      <c r="T20" s="754"/>
      <c r="U20" s="755"/>
      <c r="V20" s="754"/>
      <c r="W20" s="755"/>
      <c r="X20" s="1906"/>
      <c r="Y20" s="3003"/>
      <c r="Z20" s="1908"/>
      <c r="AA20" s="1909">
        <v>1</v>
      </c>
      <c r="AB20" s="1909">
        <v>1</v>
      </c>
      <c r="AC20" s="1909">
        <v>1</v>
      </c>
    </row>
    <row r="21" spans="1:29" ht="28.5">
      <c r="A21" s="409"/>
      <c r="B21" s="618" t="s">
        <v>2483</v>
      </c>
      <c r="C21" s="2411"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03"/>
      <c r="Q21" s="1905" t="str">
        <f>B21</f>
        <v>基础设施水平</v>
      </c>
      <c r="R21" s="754" t="s">
        <v>25</v>
      </c>
      <c r="S21" s="755">
        <f>F21</f>
        <v>100</v>
      </c>
      <c r="T21" s="754" t="s">
        <v>25</v>
      </c>
      <c r="U21" s="755">
        <f>H21</f>
        <v>100</v>
      </c>
      <c r="V21" s="754" t="s">
        <v>25</v>
      </c>
      <c r="W21" s="755">
        <f>J21</f>
        <v>100</v>
      </c>
      <c r="X21" s="1906"/>
      <c r="Y21" s="3003"/>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54"/>
      <c r="P22" s="3003"/>
      <c r="Q22" s="1905"/>
      <c r="R22" s="754"/>
      <c r="S22" s="755"/>
      <c r="T22" s="754"/>
      <c r="U22" s="755"/>
      <c r="V22" s="754"/>
      <c r="W22" s="755"/>
      <c r="X22" s="1906"/>
      <c r="Y22" s="3003"/>
      <c r="Z22" s="1908"/>
      <c r="AA22" s="1909">
        <v>1</v>
      </c>
      <c r="AB22" s="1909">
        <v>1</v>
      </c>
      <c r="AC22" s="1909">
        <v>1</v>
      </c>
    </row>
    <row r="23" spans="1:29" ht="71.25">
      <c r="A23" s="409"/>
      <c r="B23" s="432" t="s">
        <v>2484</v>
      </c>
      <c r="C23" s="2411"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03"/>
      <c r="Q23" s="1905" t="str">
        <f>B23</f>
        <v>环境质量</v>
      </c>
      <c r="R23" s="754" t="s">
        <v>25</v>
      </c>
      <c r="S23" s="755">
        <f>F23</f>
        <v>100</v>
      </c>
      <c r="T23" s="754" t="s">
        <v>25</v>
      </c>
      <c r="U23" s="755">
        <f>H23</f>
        <v>100</v>
      </c>
      <c r="V23" s="754" t="s">
        <v>25</v>
      </c>
      <c r="W23" s="755">
        <f>J23</f>
        <v>100</v>
      </c>
      <c r="X23" s="1906"/>
      <c r="Y23" s="3003"/>
      <c r="Z23" s="1908" t="str">
        <f>Q23</f>
        <v>环境质量</v>
      </c>
      <c r="AA23" s="1909">
        <f t="shared" si="3"/>
        <v>1</v>
      </c>
      <c r="AB23" s="1909">
        <f t="shared" si="4"/>
        <v>1</v>
      </c>
      <c r="AC23" s="1909">
        <f t="shared" si="5"/>
        <v>1</v>
      </c>
    </row>
    <row r="24" spans="1:29" ht="15">
      <c r="A24" s="409"/>
      <c r="B24" s="2413"/>
      <c r="C24" s="427"/>
      <c r="D24" s="428"/>
      <c r="E24" s="429"/>
      <c r="F24" s="430"/>
      <c r="G24" s="2409"/>
      <c r="H24" s="428"/>
      <c r="I24" s="429"/>
      <c r="J24" s="428"/>
      <c r="K24" s="600"/>
      <c r="L24" s="1255"/>
      <c r="M24" s="1246"/>
      <c r="N24" s="1246"/>
      <c r="O24" s="1254"/>
      <c r="P24" s="3003"/>
      <c r="Q24" s="1905"/>
      <c r="R24" s="754"/>
      <c r="S24" s="755"/>
      <c r="T24" s="754"/>
      <c r="U24" s="755"/>
      <c r="V24" s="754"/>
      <c r="W24" s="755"/>
      <c r="X24" s="1906"/>
      <c r="Y24" s="3003"/>
      <c r="Z24" s="1908"/>
      <c r="AA24" s="1909">
        <v>1</v>
      </c>
      <c r="AB24" s="1909">
        <v>1</v>
      </c>
      <c r="AC24" s="1909">
        <v>1</v>
      </c>
    </row>
    <row r="25" spans="1:29" ht="15">
      <c r="A25" s="384"/>
      <c r="B25" s="2417">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03"/>
      <c r="Q25" s="1905">
        <f>B25</f>
        <v>111</v>
      </c>
      <c r="R25" s="754" t="s">
        <v>25</v>
      </c>
      <c r="S25" s="755">
        <f>F25</f>
        <v>100</v>
      </c>
      <c r="T25" s="754" t="s">
        <v>25</v>
      </c>
      <c r="U25" s="755">
        <f>H25</f>
        <v>100</v>
      </c>
      <c r="V25" s="754" t="s">
        <v>25</v>
      </c>
      <c r="W25" s="755">
        <f>J25</f>
        <v>100</v>
      </c>
      <c r="X25" s="1906"/>
      <c r="Y25" s="3003"/>
      <c r="Z25" s="1908">
        <f>Q25</f>
        <v>111</v>
      </c>
      <c r="AA25" s="1909">
        <f t="shared" si="3"/>
        <v>1</v>
      </c>
      <c r="AB25" s="1909">
        <f t="shared" si="4"/>
        <v>1</v>
      </c>
      <c r="AC25" s="1909">
        <f t="shared" si="5"/>
        <v>1</v>
      </c>
    </row>
    <row r="26" spans="1:29" ht="15">
      <c r="A26" s="409"/>
      <c r="B26" s="2417">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03"/>
      <c r="Q26" s="1905">
        <f t="shared" ref="Q26:Q40" si="11">B26</f>
        <v>111</v>
      </c>
      <c r="R26" s="754" t="s">
        <v>25</v>
      </c>
      <c r="S26" s="755">
        <f>F26</f>
        <v>100</v>
      </c>
      <c r="T26" s="754" t="s">
        <v>25</v>
      </c>
      <c r="U26" s="755">
        <f>H26</f>
        <v>100</v>
      </c>
      <c r="V26" s="754" t="s">
        <v>25</v>
      </c>
      <c r="W26" s="755">
        <f>J26</f>
        <v>100</v>
      </c>
      <c r="X26" s="1906"/>
      <c r="Y26" s="3003"/>
      <c r="Z26" s="1908">
        <f>Q26</f>
        <v>111</v>
      </c>
      <c r="AA26" s="1909">
        <f t="shared" si="3"/>
        <v>1</v>
      </c>
      <c r="AB26" s="1909">
        <f t="shared" si="4"/>
        <v>1</v>
      </c>
      <c r="AC26" s="1909">
        <f t="shared" si="5"/>
        <v>1</v>
      </c>
    </row>
    <row r="27" spans="1:29" s="35" customFormat="1" ht="15">
      <c r="A27" s="412"/>
      <c r="B27" s="2417">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03"/>
      <c r="Q27" s="1893">
        <f t="shared" si="11"/>
        <v>111</v>
      </c>
      <c r="R27" s="750" t="s">
        <v>25</v>
      </c>
      <c r="S27" s="751">
        <f>F27</f>
        <v>100</v>
      </c>
      <c r="T27" s="750" t="s">
        <v>25</v>
      </c>
      <c r="U27" s="751">
        <f>H27</f>
        <v>100</v>
      </c>
      <c r="V27" s="750" t="s">
        <v>25</v>
      </c>
      <c r="W27" s="751">
        <f>J27</f>
        <v>100</v>
      </c>
      <c r="X27" s="752"/>
      <c r="Y27" s="3003"/>
      <c r="Z27" s="23">
        <f>Q27</f>
        <v>111</v>
      </c>
      <c r="AA27" s="1909">
        <f>D27/F27</f>
        <v>1</v>
      </c>
      <c r="AB27" s="1909">
        <f>D27/H27</f>
        <v>1</v>
      </c>
      <c r="AC27" s="1909">
        <f>D27/J27</f>
        <v>1</v>
      </c>
    </row>
    <row r="28" spans="1:29" ht="15.75" thickBot="1">
      <c r="A28" s="417"/>
      <c r="B28" s="2417">
        <v>111</v>
      </c>
      <c r="C28" s="2407"/>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03"/>
      <c r="Q28" s="1905">
        <f t="shared" si="11"/>
        <v>111</v>
      </c>
      <c r="R28" s="754" t="s">
        <v>25</v>
      </c>
      <c r="S28" s="755">
        <f t="shared" ref="S28:S40" si="12">F28</f>
        <v>100</v>
      </c>
      <c r="T28" s="754" t="s">
        <v>25</v>
      </c>
      <c r="U28" s="755">
        <f t="shared" ref="U28:U40" si="13">H28</f>
        <v>100</v>
      </c>
      <c r="V28" s="754" t="s">
        <v>25</v>
      </c>
      <c r="W28" s="755">
        <f t="shared" ref="W28:W40" si="14">J28</f>
        <v>100</v>
      </c>
      <c r="X28" s="1906"/>
      <c r="Y28" s="3003"/>
      <c r="Z28" s="1908">
        <f t="shared" ref="Z28:Z40" si="15">Q28</f>
        <v>111</v>
      </c>
      <c r="AA28" s="1909">
        <f t="shared" si="3"/>
        <v>1</v>
      </c>
      <c r="AB28" s="1909">
        <f t="shared" si="4"/>
        <v>1</v>
      </c>
      <c r="AC28" s="1909">
        <f t="shared" si="5"/>
        <v>1</v>
      </c>
    </row>
    <row r="29" spans="1:29" ht="15">
      <c r="A29" s="448" t="s">
        <v>2371</v>
      </c>
      <c r="B29" s="28" t="s">
        <v>2487</v>
      </c>
      <c r="C29" s="2478" t="s">
        <v>2499</v>
      </c>
      <c r="D29" s="449">
        <v>100</v>
      </c>
      <c r="E29" s="2478"/>
      <c r="F29" s="443">
        <f>SUMIF(88:88,E29,89:89)-SUMIF(88:88,C29,89:89)+100</f>
        <v>100</v>
      </c>
      <c r="G29" s="2478"/>
      <c r="H29" s="416">
        <f>SUMIF(88:88,G29,89:89)-SUMIF(88:88,C29,89:89)+100</f>
        <v>100</v>
      </c>
      <c r="I29" s="2478"/>
      <c r="J29" s="449">
        <f>SUMIF(88:88,I29,89:89)-SUMIF(88:88,C29,89:89)+100</f>
        <v>100</v>
      </c>
      <c r="K29" s="597"/>
      <c r="L29" s="1255"/>
      <c r="M29" s="1246"/>
      <c r="N29" s="1246"/>
      <c r="O29" s="1254"/>
      <c r="P29" s="3029" t="s">
        <v>2373</v>
      </c>
      <c r="Q29" s="1905" t="str">
        <f t="shared" si="11"/>
        <v>建筑类型</v>
      </c>
      <c r="R29" s="754" t="s">
        <v>25</v>
      </c>
      <c r="S29" s="755">
        <f t="shared" si="12"/>
        <v>100</v>
      </c>
      <c r="T29" s="754" t="s">
        <v>25</v>
      </c>
      <c r="U29" s="755">
        <f t="shared" si="13"/>
        <v>100</v>
      </c>
      <c r="V29" s="754" t="s">
        <v>25</v>
      </c>
      <c r="W29" s="755">
        <f t="shared" si="14"/>
        <v>100</v>
      </c>
      <c r="X29" s="1906"/>
      <c r="Y29" s="300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07"/>
      <c r="Q30" s="756" t="str">
        <f t="shared" si="11"/>
        <v>项目建筑规模</v>
      </c>
      <c r="R30" s="757" t="s">
        <v>25</v>
      </c>
      <c r="S30" s="758" t="e">
        <f t="shared" si="12"/>
        <v>#N/A</v>
      </c>
      <c r="T30" s="757" t="s">
        <v>25</v>
      </c>
      <c r="U30" s="758" t="e">
        <f t="shared" si="13"/>
        <v>#N/A</v>
      </c>
      <c r="V30" s="757" t="s">
        <v>25</v>
      </c>
      <c r="W30" s="758" t="e">
        <f t="shared" si="14"/>
        <v>#N/A</v>
      </c>
      <c r="X30" s="759"/>
      <c r="Y30" s="300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07"/>
      <c r="Q31" s="1905" t="str">
        <f t="shared" si="11"/>
        <v>建筑结构</v>
      </c>
      <c r="R31" s="754" t="s">
        <v>25</v>
      </c>
      <c r="S31" s="755">
        <f t="shared" si="12"/>
        <v>100</v>
      </c>
      <c r="T31" s="754" t="s">
        <v>25</v>
      </c>
      <c r="U31" s="755">
        <f t="shared" si="13"/>
        <v>100</v>
      </c>
      <c r="V31" s="754" t="s">
        <v>25</v>
      </c>
      <c r="W31" s="755">
        <f t="shared" si="14"/>
        <v>100</v>
      </c>
      <c r="X31" s="1906"/>
      <c r="Y31" s="300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07"/>
      <c r="Q32" s="1905" t="str">
        <f t="shared" si="11"/>
        <v>公共部分装修</v>
      </c>
      <c r="R32" s="754" t="s">
        <v>25</v>
      </c>
      <c r="S32" s="755">
        <f t="shared" si="12"/>
        <v>100</v>
      </c>
      <c r="T32" s="754" t="s">
        <v>25</v>
      </c>
      <c r="U32" s="755">
        <f t="shared" si="13"/>
        <v>100</v>
      </c>
      <c r="V32" s="754" t="s">
        <v>25</v>
      </c>
      <c r="W32" s="755">
        <f t="shared" si="14"/>
        <v>100</v>
      </c>
      <c r="X32" s="1906"/>
      <c r="Y32" s="300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07"/>
      <c r="Q33" s="1905" t="str">
        <f t="shared" si="11"/>
        <v>成新度</v>
      </c>
      <c r="R33" s="754" t="s">
        <v>25</v>
      </c>
      <c r="S33" s="755" t="e">
        <f t="shared" si="12"/>
        <v>#N/A</v>
      </c>
      <c r="T33" s="754" t="s">
        <v>25</v>
      </c>
      <c r="U33" s="755" t="e">
        <f t="shared" si="13"/>
        <v>#N/A</v>
      </c>
      <c r="V33" s="754" t="s">
        <v>25</v>
      </c>
      <c r="W33" s="755" t="e">
        <f t="shared" si="14"/>
        <v>#N/A</v>
      </c>
      <c r="X33" s="1906"/>
      <c r="Y33" s="300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07"/>
      <c r="Q34" s="1893" t="str">
        <f t="shared" si="11"/>
        <v>物业管理</v>
      </c>
      <c r="R34" s="750" t="s">
        <v>25</v>
      </c>
      <c r="S34" s="751">
        <f t="shared" si="12"/>
        <v>100</v>
      </c>
      <c r="T34" s="750" t="s">
        <v>25</v>
      </c>
      <c r="U34" s="751">
        <f t="shared" si="13"/>
        <v>100</v>
      </c>
      <c r="V34" s="750" t="s">
        <v>25</v>
      </c>
      <c r="W34" s="751">
        <f t="shared" si="14"/>
        <v>100</v>
      </c>
      <c r="X34" s="752"/>
      <c r="Y34" s="300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07" t="s">
        <v>2373</v>
      </c>
      <c r="Q35" s="1905" t="str">
        <f t="shared" si="11"/>
        <v>市政基础设施</v>
      </c>
      <c r="R35" s="754" t="s">
        <v>25</v>
      </c>
      <c r="S35" s="755">
        <f t="shared" si="12"/>
        <v>100</v>
      </c>
      <c r="T35" s="754" t="s">
        <v>25</v>
      </c>
      <c r="U35" s="755">
        <f t="shared" si="13"/>
        <v>100</v>
      </c>
      <c r="V35" s="754" t="s">
        <v>25</v>
      </c>
      <c r="W35" s="755">
        <f t="shared" si="14"/>
        <v>100</v>
      </c>
      <c r="X35" s="1906"/>
      <c r="Y35" s="300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07"/>
      <c r="Q36" s="1905" t="str">
        <f t="shared" si="11"/>
        <v>内部装修</v>
      </c>
      <c r="R36" s="754" t="s">
        <v>25</v>
      </c>
      <c r="S36" s="755">
        <f t="shared" si="12"/>
        <v>100</v>
      </c>
      <c r="T36" s="754" t="s">
        <v>25</v>
      </c>
      <c r="U36" s="755">
        <f t="shared" si="13"/>
        <v>100</v>
      </c>
      <c r="V36" s="754" t="s">
        <v>25</v>
      </c>
      <c r="W36" s="755">
        <f t="shared" si="14"/>
        <v>100</v>
      </c>
      <c r="X36" s="1906"/>
      <c r="Y36" s="300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07"/>
      <c r="Q37" s="1905" t="str">
        <f t="shared" si="11"/>
        <v>内部装修状况</v>
      </c>
      <c r="R37" s="754" t="s">
        <v>25</v>
      </c>
      <c r="S37" s="755">
        <f t="shared" si="12"/>
        <v>0</v>
      </c>
      <c r="T37" s="754" t="s">
        <v>25</v>
      </c>
      <c r="U37" s="755">
        <f t="shared" si="13"/>
        <v>0</v>
      </c>
      <c r="V37" s="754" t="s">
        <v>25</v>
      </c>
      <c r="W37" s="755">
        <f t="shared" si="14"/>
        <v>0</v>
      </c>
      <c r="X37" s="1906"/>
      <c r="Y37" s="3007"/>
      <c r="Z37" s="1908" t="str">
        <f t="shared" si="15"/>
        <v>内部装修状况</v>
      </c>
      <c r="AA37" s="1909" t="e">
        <f t="shared" si="3"/>
        <v>#DIV/0!</v>
      </c>
      <c r="AB37" s="1909" t="e">
        <f t="shared" si="4"/>
        <v>#DIV/0!</v>
      </c>
      <c r="AC37" s="1909" t="e">
        <f t="shared" si="5"/>
        <v>#DIV/0!</v>
      </c>
    </row>
    <row r="38" spans="1:29" s="453" customFormat="1" ht="15">
      <c r="A38" s="450"/>
      <c r="B38" s="2417">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07"/>
      <c r="Q38" s="756">
        <f t="shared" si="11"/>
        <v>111</v>
      </c>
      <c r="R38" s="757" t="s">
        <v>25</v>
      </c>
      <c r="S38" s="758">
        <f t="shared" si="12"/>
        <v>100</v>
      </c>
      <c r="T38" s="757" t="s">
        <v>25</v>
      </c>
      <c r="U38" s="758">
        <f t="shared" si="13"/>
        <v>100</v>
      </c>
      <c r="V38" s="757" t="s">
        <v>25</v>
      </c>
      <c r="W38" s="758">
        <f t="shared" si="14"/>
        <v>100</v>
      </c>
      <c r="X38" s="759"/>
      <c r="Y38" s="3007"/>
      <c r="Z38" s="760">
        <f t="shared" si="15"/>
        <v>111</v>
      </c>
      <c r="AA38" s="1909">
        <f t="shared" si="3"/>
        <v>1</v>
      </c>
      <c r="AB38" s="1909">
        <f t="shared" si="4"/>
        <v>1</v>
      </c>
      <c r="AC38" s="1909">
        <f t="shared" si="5"/>
        <v>1</v>
      </c>
    </row>
    <row r="39" spans="1:29" ht="15">
      <c r="A39" s="454"/>
      <c r="B39" s="2417">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07"/>
      <c r="Q39" s="1905">
        <f t="shared" si="11"/>
        <v>111</v>
      </c>
      <c r="R39" s="754" t="s">
        <v>25</v>
      </c>
      <c r="S39" s="755">
        <f t="shared" si="12"/>
        <v>100</v>
      </c>
      <c r="T39" s="754" t="s">
        <v>25</v>
      </c>
      <c r="U39" s="755">
        <f t="shared" si="13"/>
        <v>100</v>
      </c>
      <c r="V39" s="754" t="s">
        <v>25</v>
      </c>
      <c r="W39" s="755">
        <f t="shared" si="14"/>
        <v>100</v>
      </c>
      <c r="X39" s="1906"/>
      <c r="Y39" s="3007"/>
      <c r="Z39" s="1908">
        <f t="shared" si="15"/>
        <v>111</v>
      </c>
      <c r="AA39" s="1909">
        <f t="shared" si="3"/>
        <v>1</v>
      </c>
      <c r="AB39" s="1909">
        <f t="shared" si="4"/>
        <v>1</v>
      </c>
      <c r="AC39" s="1909">
        <f t="shared" si="5"/>
        <v>1</v>
      </c>
    </row>
    <row r="40" spans="1:29" ht="15.75" thickBot="1">
      <c r="A40" s="460"/>
      <c r="B40" s="2406">
        <v>111</v>
      </c>
      <c r="C40" s="2407">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08"/>
      <c r="Q40" s="1905">
        <f t="shared" si="11"/>
        <v>111</v>
      </c>
      <c r="R40" s="754" t="s">
        <v>25</v>
      </c>
      <c r="S40" s="755">
        <f t="shared" si="12"/>
        <v>100</v>
      </c>
      <c r="T40" s="754" t="s">
        <v>25</v>
      </c>
      <c r="U40" s="755">
        <f t="shared" si="13"/>
        <v>100</v>
      </c>
      <c r="V40" s="754" t="s">
        <v>25</v>
      </c>
      <c r="W40" s="755">
        <f t="shared" si="14"/>
        <v>100</v>
      </c>
      <c r="X40" s="1906"/>
      <c r="Y40" s="300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13" t="str">
        <f>A41</f>
        <v>成交单价（元/平方米）</v>
      </c>
      <c r="Q41" s="3013"/>
      <c r="R41" s="3014">
        <f>E41</f>
        <v>0</v>
      </c>
      <c r="S41" s="3014"/>
      <c r="T41" s="3014">
        <f>G41</f>
        <v>0</v>
      </c>
      <c r="U41" s="3014"/>
      <c r="V41" s="3014">
        <f>I41</f>
        <v>0</v>
      </c>
      <c r="W41" s="3014"/>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19" t="str">
        <f>A43</f>
        <v>估价对象XX用房的比较价值（楼面单价，元/平方米）</v>
      </c>
      <c r="Q43" s="3020"/>
      <c r="R43" s="3021" t="e">
        <f>IF(E1="售价",ROUND(AVERAGE(R42:V42),0),ROUND(AVERAGE(R42:V42),1))</f>
        <v>#DIV/0!</v>
      </c>
      <c r="S43" s="3021"/>
      <c r="T43" s="3021"/>
      <c r="U43" s="3021"/>
      <c r="V43" s="3021"/>
      <c r="W43" s="3021"/>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2017-9</v>
      </c>
      <c r="D52" s="1685">
        <f>EDATE(C52,-1)</f>
        <v>42948</v>
      </c>
      <c r="E52" s="1686">
        <f t="shared" ref="E52:O52" si="16">EDATE(D52,-1)</f>
        <v>42917</v>
      </c>
      <c r="F52" s="1686">
        <f t="shared" si="16"/>
        <v>42887</v>
      </c>
      <c r="G52" s="1686">
        <f t="shared" si="16"/>
        <v>42856</v>
      </c>
      <c r="H52" s="1686">
        <f t="shared" si="16"/>
        <v>42826</v>
      </c>
      <c r="I52" s="1686">
        <f t="shared" si="16"/>
        <v>42795</v>
      </c>
      <c r="J52" s="1686">
        <f t="shared" si="16"/>
        <v>42767</v>
      </c>
      <c r="K52" s="1686">
        <f t="shared" si="16"/>
        <v>42736</v>
      </c>
      <c r="L52" s="1686">
        <f t="shared" si="16"/>
        <v>42705</v>
      </c>
      <c r="M52" s="1686">
        <f t="shared" si="16"/>
        <v>42675</v>
      </c>
      <c r="N52" s="1686">
        <f t="shared" si="16"/>
        <v>42644</v>
      </c>
      <c r="O52" s="1686">
        <f t="shared" si="16"/>
        <v>42614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7"/>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7"/>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5"/>
      <c r="C1" s="1735"/>
      <c r="D1" s="1736"/>
      <c r="E1" s="2387"/>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89"/>
      <c r="E2" s="1216" t="e">
        <f ca="1">SUMIF(INDIRECT("'"&amp;G2&amp;"'"&amp;"!A:A"),"承租人权益价值",INDIRECT("'"&amp;G2&amp;"'"&amp;"!c:c"))</f>
        <v>#REF!</v>
      </c>
      <c r="F2" s="2390" t="str">
        <f>C2</f>
        <v>元</v>
      </c>
      <c r="G2" s="2391"/>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339.05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2977" t="s">
        <v>2343</v>
      </c>
      <c r="D4" s="2978"/>
      <c r="E4" s="2979" t="s">
        <v>2344</v>
      </c>
      <c r="F4" s="2980"/>
      <c r="G4" s="2977" t="s">
        <v>2345</v>
      </c>
      <c r="H4" s="2978"/>
      <c r="I4" s="2977" t="s">
        <v>2346</v>
      </c>
      <c r="J4" s="2978"/>
      <c r="K4" s="595" t="s">
        <v>2347</v>
      </c>
      <c r="L4" s="1516"/>
      <c r="M4" s="426"/>
      <c r="N4" s="426"/>
      <c r="O4" s="426"/>
      <c r="P4" s="2981" t="s">
        <v>2348</v>
      </c>
      <c r="Q4" s="2982"/>
      <c r="R4" s="2987" t="s">
        <v>2344</v>
      </c>
      <c r="S4" s="2988"/>
      <c r="T4" s="2987" t="s">
        <v>2345</v>
      </c>
      <c r="U4" s="2988"/>
      <c r="V4" s="2993" t="s">
        <v>2346</v>
      </c>
      <c r="W4" s="2993"/>
      <c r="X4" s="1906"/>
      <c r="Y4" s="2987" t="s">
        <v>2348</v>
      </c>
      <c r="Z4" s="2988"/>
      <c r="AA4" s="2974" t="s">
        <v>2344</v>
      </c>
      <c r="AB4" s="2975" t="s">
        <v>2345</v>
      </c>
      <c r="AC4" s="2974" t="s">
        <v>2346</v>
      </c>
    </row>
    <row r="5" spans="1:29" ht="15">
      <c r="A5" s="384"/>
      <c r="B5" s="385"/>
      <c r="C5" s="2996" t="s">
        <v>2349</v>
      </c>
      <c r="D5" s="2997"/>
      <c r="E5" s="2994" t="s">
        <v>2350</v>
      </c>
      <c r="F5" s="2995"/>
      <c r="G5" s="2996" t="s">
        <v>2351</v>
      </c>
      <c r="H5" s="2997"/>
      <c r="I5" s="2996" t="s">
        <v>2352</v>
      </c>
      <c r="J5" s="2997"/>
      <c r="K5" s="595"/>
      <c r="L5" s="1516"/>
      <c r="M5" s="426"/>
      <c r="N5" s="426"/>
      <c r="O5" s="426"/>
      <c r="P5" s="2983"/>
      <c r="Q5" s="2984"/>
      <c r="R5" s="2989"/>
      <c r="S5" s="2990"/>
      <c r="T5" s="2989"/>
      <c r="U5" s="2990"/>
      <c r="V5" s="2993"/>
      <c r="W5" s="2993"/>
      <c r="X5" s="1906"/>
      <c r="Y5" s="2989"/>
      <c r="Z5" s="2990"/>
      <c r="AA5" s="2975"/>
      <c r="AB5" s="2975"/>
      <c r="AC5" s="2975"/>
    </row>
    <row r="6" spans="1:29" ht="15.75" thickBot="1">
      <c r="A6" s="386"/>
      <c r="B6" s="387"/>
      <c r="C6" s="2998" t="s">
        <v>2353</v>
      </c>
      <c r="D6" s="2999"/>
      <c r="E6" s="3000" t="s">
        <v>2353</v>
      </c>
      <c r="F6" s="3001"/>
      <c r="G6" s="2998" t="s">
        <v>2353</v>
      </c>
      <c r="H6" s="2999"/>
      <c r="I6" s="2998" t="s">
        <v>2353</v>
      </c>
      <c r="J6" s="2999"/>
      <c r="K6" s="595" t="s">
        <v>2354</v>
      </c>
      <c r="L6" s="1516"/>
      <c r="M6" s="426"/>
      <c r="N6" s="426"/>
      <c r="O6" s="426"/>
      <c r="P6" s="2985"/>
      <c r="Q6" s="2986"/>
      <c r="R6" s="2989"/>
      <c r="S6" s="2990"/>
      <c r="T6" s="2991"/>
      <c r="U6" s="2992"/>
      <c r="V6" s="2993"/>
      <c r="W6" s="2993"/>
      <c r="X6" s="1906"/>
      <c r="Y6" s="2991"/>
      <c r="Z6" s="2992"/>
      <c r="AA6" s="2976"/>
      <c r="AB6" s="2976"/>
      <c r="AC6" s="2976"/>
    </row>
    <row r="7" spans="1:29" s="35" customFormat="1" ht="15.75" thickBot="1">
      <c r="A7" s="388" t="s">
        <v>2355</v>
      </c>
      <c r="B7" s="389"/>
      <c r="C7" s="390">
        <f>'数据-取费表'!B2</f>
        <v>42990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09" t="s">
        <v>2356</v>
      </c>
      <c r="Q7" s="3011"/>
      <c r="R7" s="750" t="s">
        <v>25</v>
      </c>
      <c r="S7" s="751">
        <f t="shared" ref="S7:S14" si="0">F7</f>
        <v>0</v>
      </c>
      <c r="T7" s="750" t="s">
        <v>25</v>
      </c>
      <c r="U7" s="751">
        <f t="shared" ref="U7:U14" si="1">H7</f>
        <v>0</v>
      </c>
      <c r="V7" s="750" t="s">
        <v>25</v>
      </c>
      <c r="W7" s="751">
        <f t="shared" ref="W7:W14" si="2">J7</f>
        <v>0</v>
      </c>
      <c r="X7" s="752"/>
      <c r="Y7" s="3009" t="s">
        <v>2356</v>
      </c>
      <c r="Z7" s="3010"/>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09" t="s">
        <v>2359</v>
      </c>
      <c r="Q8" s="3010"/>
      <c r="R8" s="750" t="s">
        <v>25</v>
      </c>
      <c r="S8" s="751">
        <f t="shared" si="0"/>
        <v>0</v>
      </c>
      <c r="T8" s="750" t="s">
        <v>25</v>
      </c>
      <c r="U8" s="751">
        <f t="shared" si="1"/>
        <v>0</v>
      </c>
      <c r="V8" s="750" t="s">
        <v>25</v>
      </c>
      <c r="W8" s="751">
        <f t="shared" si="2"/>
        <v>0</v>
      </c>
      <c r="X8" s="752"/>
      <c r="Y8" s="3009" t="s">
        <v>2359</v>
      </c>
      <c r="Z8" s="3010"/>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13" t="s">
        <v>2362</v>
      </c>
      <c r="Q9" s="1893" t="str">
        <f t="shared" ref="Q9:Q14" si="6">B9</f>
        <v>用途</v>
      </c>
      <c r="R9" s="750" t="s">
        <v>25</v>
      </c>
      <c r="S9" s="751">
        <f t="shared" si="0"/>
        <v>100</v>
      </c>
      <c r="T9" s="750" t="s">
        <v>25</v>
      </c>
      <c r="U9" s="751">
        <f t="shared" si="1"/>
        <v>100</v>
      </c>
      <c r="V9" s="750" t="s">
        <v>25</v>
      </c>
      <c r="W9" s="751">
        <f t="shared" si="2"/>
        <v>100</v>
      </c>
      <c r="X9" s="752"/>
      <c r="Y9" s="282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13"/>
      <c r="Q10" s="1893" t="str">
        <f t="shared" si="6"/>
        <v>土地使用年限（年）</v>
      </c>
      <c r="R10" s="750" t="s">
        <v>25</v>
      </c>
      <c r="S10" s="751">
        <f t="shared" si="0"/>
        <v>100</v>
      </c>
      <c r="T10" s="750" t="s">
        <v>25</v>
      </c>
      <c r="U10" s="751">
        <f t="shared" si="1"/>
        <v>100</v>
      </c>
      <c r="V10" s="750" t="s">
        <v>25</v>
      </c>
      <c r="W10" s="751">
        <f t="shared" si="2"/>
        <v>100</v>
      </c>
      <c r="X10" s="752"/>
      <c r="Y10" s="282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13"/>
      <c r="Q11" s="1893">
        <f t="shared" si="6"/>
        <v>111</v>
      </c>
      <c r="R11" s="750" t="s">
        <v>25</v>
      </c>
      <c r="S11" s="751">
        <f t="shared" si="0"/>
        <v>100</v>
      </c>
      <c r="T11" s="750" t="s">
        <v>25</v>
      </c>
      <c r="U11" s="751">
        <f t="shared" si="1"/>
        <v>100</v>
      </c>
      <c r="V11" s="750" t="s">
        <v>25</v>
      </c>
      <c r="W11" s="751">
        <f t="shared" si="2"/>
        <v>100</v>
      </c>
      <c r="X11" s="752"/>
      <c r="Y11" s="282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13"/>
      <c r="Q12" s="1893">
        <f t="shared" si="6"/>
        <v>111</v>
      </c>
      <c r="R12" s="750" t="s">
        <v>25</v>
      </c>
      <c r="S12" s="751">
        <f t="shared" si="0"/>
        <v>100</v>
      </c>
      <c r="T12" s="750" t="s">
        <v>25</v>
      </c>
      <c r="U12" s="751">
        <f t="shared" si="1"/>
        <v>100</v>
      </c>
      <c r="V12" s="750" t="s">
        <v>25</v>
      </c>
      <c r="W12" s="751">
        <f t="shared" si="2"/>
        <v>100</v>
      </c>
      <c r="X12" s="752"/>
      <c r="Y12" s="282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13"/>
      <c r="Q13" s="1893">
        <f t="shared" si="6"/>
        <v>111</v>
      </c>
      <c r="R13" s="750" t="s">
        <v>25</v>
      </c>
      <c r="S13" s="751">
        <f t="shared" si="0"/>
        <v>100</v>
      </c>
      <c r="T13" s="750" t="s">
        <v>25</v>
      </c>
      <c r="U13" s="751">
        <f t="shared" si="1"/>
        <v>100</v>
      </c>
      <c r="V13" s="750" t="s">
        <v>25</v>
      </c>
      <c r="W13" s="751">
        <f t="shared" si="2"/>
        <v>100</v>
      </c>
      <c r="X13" s="752"/>
      <c r="Y13" s="2825"/>
      <c r="Z13" s="23">
        <f t="shared" si="7"/>
        <v>111</v>
      </c>
      <c r="AA13" s="753">
        <f t="shared" si="3"/>
        <v>1</v>
      </c>
      <c r="AB13" s="753">
        <f t="shared" si="4"/>
        <v>1</v>
      </c>
      <c r="AC13" s="753">
        <f t="shared" si="5"/>
        <v>1</v>
      </c>
    </row>
    <row r="14" spans="1:29" ht="85.5">
      <c r="A14" s="381" t="s">
        <v>2366</v>
      </c>
      <c r="B14" s="614" t="s">
        <v>2510</v>
      </c>
      <c r="C14" s="1482" t="str">
        <f>IF(B1="工业",估价对象房地状况!G4,估价对象房地状况!C6)</f>
        <v>估价对象紧邻城市支道路——新街口四条，有22路、47路、86路、409路等多条公交线路及地铁2号线（积水潭站）、地铁6号线（新街口站)通过，交通便捷度较好。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02" t="s">
        <v>2367</v>
      </c>
      <c r="Q14" s="1905" t="str">
        <f t="shared" si="6"/>
        <v>交通便捷度</v>
      </c>
      <c r="R14" s="754" t="s">
        <v>25</v>
      </c>
      <c r="S14" s="755">
        <f t="shared" si="0"/>
        <v>100</v>
      </c>
      <c r="T14" s="754" t="s">
        <v>25</v>
      </c>
      <c r="U14" s="755">
        <f t="shared" si="1"/>
        <v>100</v>
      </c>
      <c r="V14" s="754" t="s">
        <v>25</v>
      </c>
      <c r="W14" s="755">
        <f t="shared" si="2"/>
        <v>100</v>
      </c>
      <c r="X14" s="1906"/>
      <c r="Y14" s="300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03"/>
      <c r="Q15" s="1905"/>
      <c r="R15" s="754"/>
      <c r="S15" s="755"/>
      <c r="T15" s="754"/>
      <c r="U15" s="755"/>
      <c r="V15" s="754"/>
      <c r="W15" s="755"/>
      <c r="X15" s="1906"/>
      <c r="Y15" s="3003"/>
      <c r="Z15" s="1908"/>
      <c r="AA15" s="1909">
        <v>1</v>
      </c>
      <c r="AB15" s="1909">
        <v>1</v>
      </c>
      <c r="AC15" s="1909">
        <v>1</v>
      </c>
    </row>
    <row r="16" spans="1:29" ht="42.75">
      <c r="A16" s="384"/>
      <c r="B16" s="616" t="s">
        <v>2482</v>
      </c>
      <c r="C16" s="1484" t="str">
        <f>IF(B1="工业",估价对象房地状况!G5,估价对象房地状况!C7)</f>
        <v>估价对象所在区域公共配套设施好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03"/>
      <c r="Q16" s="1905" t="str">
        <f>B16</f>
        <v>公共配套设施</v>
      </c>
      <c r="R16" s="754" t="s">
        <v>25</v>
      </c>
      <c r="S16" s="755">
        <f>F16</f>
        <v>100</v>
      </c>
      <c r="T16" s="754" t="s">
        <v>25</v>
      </c>
      <c r="U16" s="755">
        <f>H16</f>
        <v>100</v>
      </c>
      <c r="V16" s="754" t="s">
        <v>25</v>
      </c>
      <c r="W16" s="755">
        <f>J16</f>
        <v>100</v>
      </c>
      <c r="X16" s="1906"/>
      <c r="Y16" s="300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03"/>
      <c r="Q17" s="1905"/>
      <c r="R17" s="754"/>
      <c r="S17" s="755"/>
      <c r="T17" s="754"/>
      <c r="U17" s="755"/>
      <c r="V17" s="754"/>
      <c r="W17" s="755"/>
      <c r="X17" s="1906"/>
      <c r="Y17" s="3003"/>
      <c r="Z17" s="1908"/>
      <c r="AA17" s="1909">
        <v>1</v>
      </c>
      <c r="AB17" s="1909">
        <v>1</v>
      </c>
      <c r="AC17" s="1909">
        <v>1</v>
      </c>
    </row>
    <row r="18" spans="1:29" ht="28.5">
      <c r="A18" s="384"/>
      <c r="B18" s="618" t="s">
        <v>2483</v>
      </c>
      <c r="C18" s="1484" t="str">
        <f>IF(B1="工业",估价对象房地状况!G6,估价对象房地状况!C8)</f>
        <v>七通一平</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03"/>
      <c r="Q18" s="1905" t="str">
        <f>B18</f>
        <v>基础设施水平</v>
      </c>
      <c r="R18" s="754" t="s">
        <v>25</v>
      </c>
      <c r="S18" s="755">
        <f>F18</f>
        <v>100</v>
      </c>
      <c r="T18" s="754" t="s">
        <v>25</v>
      </c>
      <c r="U18" s="755">
        <f>H18</f>
        <v>100</v>
      </c>
      <c r="V18" s="754" t="s">
        <v>25</v>
      </c>
      <c r="W18" s="755">
        <f>J18</f>
        <v>100</v>
      </c>
      <c r="X18" s="1906"/>
      <c r="Y18" s="300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03"/>
      <c r="Q19" s="1905"/>
      <c r="R19" s="754"/>
      <c r="S19" s="755"/>
      <c r="T19" s="754"/>
      <c r="U19" s="755"/>
      <c r="V19" s="754"/>
      <c r="W19" s="755"/>
      <c r="X19" s="1906"/>
      <c r="Y19" s="3003"/>
      <c r="Z19" s="1908"/>
      <c r="AA19" s="1909">
        <v>1</v>
      </c>
      <c r="AB19" s="1909">
        <v>1</v>
      </c>
      <c r="AC19" s="1909">
        <v>1</v>
      </c>
    </row>
    <row r="20" spans="1:29" ht="57">
      <c r="A20" s="384"/>
      <c r="B20" s="616" t="s">
        <v>2511</v>
      </c>
      <c r="C20" s="1484" t="str">
        <f>IF(B1="工业",估价对象房地状况!G7,估价对象房地状况!C9)</f>
        <v>自然环境：什刹海公园、官园公园、护城河；人文环境：西城区青少年儿童图书馆、西城区图书馆（总馆）、恭王府、北京古代钱币博物馆、北京工艺美术博物馆；综合评价环境状况好。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03"/>
      <c r="Q20" s="1905" t="str">
        <f>B20</f>
        <v>自然及人文环境</v>
      </c>
      <c r="R20" s="754" t="s">
        <v>25</v>
      </c>
      <c r="S20" s="755">
        <f>F20</f>
        <v>100</v>
      </c>
      <c r="T20" s="754" t="s">
        <v>25</v>
      </c>
      <c r="U20" s="755">
        <f>H20</f>
        <v>100</v>
      </c>
      <c r="V20" s="754" t="s">
        <v>25</v>
      </c>
      <c r="W20" s="755">
        <f>J20</f>
        <v>100</v>
      </c>
      <c r="X20" s="1906"/>
      <c r="Y20" s="300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03"/>
      <c r="Q21" s="1905"/>
      <c r="R21" s="754"/>
      <c r="S21" s="755"/>
      <c r="T21" s="754"/>
      <c r="U21" s="755"/>
      <c r="V21" s="754"/>
      <c r="W21" s="755"/>
      <c r="X21" s="1906"/>
      <c r="Y21" s="300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03"/>
      <c r="Q22" s="1905" t="str">
        <f>B22</f>
        <v>楼层</v>
      </c>
      <c r="R22" s="754" t="s">
        <v>25</v>
      </c>
      <c r="S22" s="755">
        <f>F22</f>
        <v>100</v>
      </c>
      <c r="T22" s="754" t="s">
        <v>25</v>
      </c>
      <c r="U22" s="755">
        <f>H22</f>
        <v>100</v>
      </c>
      <c r="V22" s="754" t="s">
        <v>25</v>
      </c>
      <c r="W22" s="755">
        <f>J22</f>
        <v>100</v>
      </c>
      <c r="X22" s="1906"/>
      <c r="Y22" s="300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03"/>
      <c r="Q23" s="1905">
        <f>B23</f>
        <v>111</v>
      </c>
      <c r="R23" s="754" t="s">
        <v>25</v>
      </c>
      <c r="S23" s="755">
        <f>F23</f>
        <v>100</v>
      </c>
      <c r="T23" s="754" t="s">
        <v>25</v>
      </c>
      <c r="U23" s="755">
        <f>H23</f>
        <v>100</v>
      </c>
      <c r="V23" s="754" t="s">
        <v>25</v>
      </c>
      <c r="W23" s="755">
        <f>J23</f>
        <v>100</v>
      </c>
      <c r="X23" s="1906"/>
      <c r="Y23" s="300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03"/>
      <c r="Q24" s="1905">
        <f t="shared" ref="Q24:Q36" si="11">B24</f>
        <v>111</v>
      </c>
      <c r="R24" s="754" t="s">
        <v>25</v>
      </c>
      <c r="S24" s="755">
        <f>F24</f>
        <v>100</v>
      </c>
      <c r="T24" s="754" t="s">
        <v>25</v>
      </c>
      <c r="U24" s="755">
        <f>H24</f>
        <v>100</v>
      </c>
      <c r="V24" s="754" t="s">
        <v>25</v>
      </c>
      <c r="W24" s="755">
        <f>J24</f>
        <v>100</v>
      </c>
      <c r="X24" s="1906"/>
      <c r="Y24" s="300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03"/>
      <c r="Q25" s="1893">
        <f t="shared" si="11"/>
        <v>111</v>
      </c>
      <c r="R25" s="750" t="s">
        <v>25</v>
      </c>
      <c r="S25" s="751">
        <f>F25</f>
        <v>100</v>
      </c>
      <c r="T25" s="750" t="s">
        <v>25</v>
      </c>
      <c r="U25" s="751">
        <f>H25</f>
        <v>100</v>
      </c>
      <c r="V25" s="750" t="s">
        <v>25</v>
      </c>
      <c r="W25" s="751">
        <f>J25</f>
        <v>100</v>
      </c>
      <c r="X25" s="752"/>
      <c r="Y25" s="3003"/>
      <c r="Z25" s="23">
        <f>Q25</f>
        <v>111</v>
      </c>
      <c r="AA25" s="1909">
        <f>D25/F25</f>
        <v>1</v>
      </c>
      <c r="AB25" s="1909">
        <f>D25/H25</f>
        <v>1</v>
      </c>
      <c r="AC25" s="1909">
        <f>D25/J25</f>
        <v>1</v>
      </c>
    </row>
    <row r="26" spans="1:29" ht="15">
      <c r="A26" s="636" t="s">
        <v>2371</v>
      </c>
      <c r="B26" s="27" t="s">
        <v>2513</v>
      </c>
      <c r="C26" s="2486"/>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29"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0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07"/>
      <c r="Q27" s="756" t="str">
        <f t="shared" si="11"/>
        <v>项目停车位配比</v>
      </c>
      <c r="R27" s="757" t="s">
        <v>25</v>
      </c>
      <c r="S27" s="758">
        <f t="shared" si="12"/>
        <v>100</v>
      </c>
      <c r="T27" s="757" t="s">
        <v>25</v>
      </c>
      <c r="U27" s="758">
        <f t="shared" si="13"/>
        <v>100</v>
      </c>
      <c r="V27" s="757" t="s">
        <v>25</v>
      </c>
      <c r="W27" s="758">
        <f t="shared" si="14"/>
        <v>100</v>
      </c>
      <c r="X27" s="759"/>
      <c r="Y27" s="300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07"/>
      <c r="Q28" s="1905" t="str">
        <f t="shared" si="11"/>
        <v>公共部分装修</v>
      </c>
      <c r="R28" s="754" t="s">
        <v>25</v>
      </c>
      <c r="S28" s="755">
        <f t="shared" si="12"/>
        <v>100</v>
      </c>
      <c r="T28" s="754" t="s">
        <v>25</v>
      </c>
      <c r="U28" s="755">
        <f t="shared" si="13"/>
        <v>100</v>
      </c>
      <c r="V28" s="754" t="s">
        <v>25</v>
      </c>
      <c r="W28" s="755">
        <f t="shared" si="14"/>
        <v>100</v>
      </c>
      <c r="X28" s="1906"/>
      <c r="Y28" s="300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07"/>
      <c r="Q29" s="1905" t="str">
        <f t="shared" si="11"/>
        <v>成新率</v>
      </c>
      <c r="R29" s="754" t="s">
        <v>25</v>
      </c>
      <c r="S29" s="755" t="e">
        <f t="shared" si="12"/>
        <v>#N/A</v>
      </c>
      <c r="T29" s="754" t="s">
        <v>25</v>
      </c>
      <c r="U29" s="755" t="e">
        <f t="shared" si="13"/>
        <v>#N/A</v>
      </c>
      <c r="V29" s="754" t="s">
        <v>25</v>
      </c>
      <c r="W29" s="755" t="e">
        <f t="shared" si="14"/>
        <v>#N/A</v>
      </c>
      <c r="X29" s="1906"/>
      <c r="Y29" s="300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07"/>
      <c r="Q30" s="1905" t="str">
        <f t="shared" si="11"/>
        <v>物业等级</v>
      </c>
      <c r="R30" s="754" t="s">
        <v>25</v>
      </c>
      <c r="S30" s="755">
        <f t="shared" si="12"/>
        <v>100</v>
      </c>
      <c r="T30" s="754" t="s">
        <v>25</v>
      </c>
      <c r="U30" s="755">
        <f t="shared" si="13"/>
        <v>100</v>
      </c>
      <c r="V30" s="754" t="s">
        <v>25</v>
      </c>
      <c r="W30" s="755">
        <f t="shared" si="14"/>
        <v>100</v>
      </c>
      <c r="X30" s="1906"/>
      <c r="Y30" s="300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07"/>
      <c r="Q31" s="1893" t="str">
        <f t="shared" si="11"/>
        <v>停车位面积</v>
      </c>
      <c r="R31" s="750" t="s">
        <v>25</v>
      </c>
      <c r="S31" s="751" t="e">
        <f t="shared" si="12"/>
        <v>#N/A</v>
      </c>
      <c r="T31" s="750" t="s">
        <v>25</v>
      </c>
      <c r="U31" s="751" t="e">
        <f t="shared" si="13"/>
        <v>#N/A</v>
      </c>
      <c r="V31" s="750" t="s">
        <v>25</v>
      </c>
      <c r="W31" s="751" t="e">
        <f t="shared" si="14"/>
        <v>#N/A</v>
      </c>
      <c r="X31" s="752"/>
      <c r="Y31" s="300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07" t="s">
        <v>2373</v>
      </c>
      <c r="Q32" s="1905" t="str">
        <f t="shared" si="11"/>
        <v>车位类型</v>
      </c>
      <c r="R32" s="754" t="s">
        <v>25</v>
      </c>
      <c r="S32" s="755">
        <f t="shared" si="12"/>
        <v>100</v>
      </c>
      <c r="T32" s="754" t="s">
        <v>25</v>
      </c>
      <c r="U32" s="755">
        <f t="shared" si="13"/>
        <v>100</v>
      </c>
      <c r="V32" s="754" t="s">
        <v>25</v>
      </c>
      <c r="W32" s="755">
        <f t="shared" si="14"/>
        <v>100</v>
      </c>
      <c r="X32" s="1906"/>
      <c r="Y32" s="300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07"/>
      <c r="Q33" s="1905" t="str">
        <f t="shared" si="11"/>
        <v>是否直接入户</v>
      </c>
      <c r="R33" s="754" t="s">
        <v>25</v>
      </c>
      <c r="S33" s="755">
        <f t="shared" si="12"/>
        <v>100</v>
      </c>
      <c r="T33" s="754" t="s">
        <v>25</v>
      </c>
      <c r="U33" s="755">
        <f t="shared" si="13"/>
        <v>100</v>
      </c>
      <c r="V33" s="754" t="s">
        <v>25</v>
      </c>
      <c r="W33" s="755">
        <f t="shared" si="14"/>
        <v>100</v>
      </c>
      <c r="X33" s="1906"/>
      <c r="Y33" s="300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07"/>
      <c r="Q34" s="1905">
        <f t="shared" si="11"/>
        <v>111</v>
      </c>
      <c r="R34" s="754" t="s">
        <v>25</v>
      </c>
      <c r="S34" s="755">
        <f t="shared" si="12"/>
        <v>100</v>
      </c>
      <c r="T34" s="754" t="s">
        <v>25</v>
      </c>
      <c r="U34" s="755">
        <f t="shared" si="13"/>
        <v>100</v>
      </c>
      <c r="V34" s="754" t="s">
        <v>25</v>
      </c>
      <c r="W34" s="755">
        <f t="shared" si="14"/>
        <v>100</v>
      </c>
      <c r="X34" s="1906"/>
      <c r="Y34" s="300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07"/>
      <c r="Q35" s="756">
        <f t="shared" si="11"/>
        <v>111</v>
      </c>
      <c r="R35" s="757" t="s">
        <v>25</v>
      </c>
      <c r="S35" s="758">
        <f t="shared" si="12"/>
        <v>100</v>
      </c>
      <c r="T35" s="757" t="s">
        <v>25</v>
      </c>
      <c r="U35" s="758">
        <f t="shared" si="13"/>
        <v>100</v>
      </c>
      <c r="V35" s="757" t="s">
        <v>25</v>
      </c>
      <c r="W35" s="758">
        <f t="shared" si="14"/>
        <v>100</v>
      </c>
      <c r="X35" s="759"/>
      <c r="Y35" s="300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07"/>
      <c r="Q36" s="1905">
        <f t="shared" si="11"/>
        <v>111</v>
      </c>
      <c r="R36" s="754" t="s">
        <v>25</v>
      </c>
      <c r="S36" s="755">
        <f t="shared" si="12"/>
        <v>100</v>
      </c>
      <c r="T36" s="754" t="s">
        <v>25</v>
      </c>
      <c r="U36" s="755">
        <f t="shared" si="13"/>
        <v>100</v>
      </c>
      <c r="V36" s="754" t="s">
        <v>25</v>
      </c>
      <c r="W36" s="755">
        <f t="shared" si="14"/>
        <v>100</v>
      </c>
      <c r="X36" s="1906"/>
      <c r="Y36" s="300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13" t="str">
        <f>A37</f>
        <v>成交单价</v>
      </c>
      <c r="Q37" s="3013"/>
      <c r="R37" s="3014">
        <f>E37</f>
        <v>0</v>
      </c>
      <c r="S37" s="3014"/>
      <c r="T37" s="3014">
        <f>G37</f>
        <v>0</v>
      </c>
      <c r="U37" s="3014"/>
      <c r="V37" s="3014">
        <f>I37</f>
        <v>0</v>
      </c>
      <c r="W37" s="3014"/>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19" t="str">
        <f>A39</f>
        <v>估价对象XX用房的比较价值（楼面单价，元/平方米）</v>
      </c>
      <c r="Q39" s="3020"/>
      <c r="R39" s="3021" t="e">
        <f>IF(E1="售价",ROUND(AVERAGE(R38:V38),0),ROUND(AVERAGE(R38:V38),1))</f>
        <v>#DIV/0!</v>
      </c>
      <c r="S39" s="3021"/>
      <c r="T39" s="3021"/>
      <c r="U39" s="3021"/>
      <c r="V39" s="3021"/>
      <c r="W39" s="3021"/>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2017-9</v>
      </c>
      <c r="D48" s="1685">
        <f>EDATE(C48,-1)</f>
        <v>42948</v>
      </c>
      <c r="E48" s="1685">
        <f t="shared" ref="E48:O48" si="16">EDATE(D48,-1)</f>
        <v>42917</v>
      </c>
      <c r="F48" s="1685">
        <f t="shared" si="16"/>
        <v>42887</v>
      </c>
      <c r="G48" s="1685">
        <f t="shared" si="16"/>
        <v>42856</v>
      </c>
      <c r="H48" s="1685">
        <f t="shared" si="16"/>
        <v>42826</v>
      </c>
      <c r="I48" s="1685">
        <f t="shared" si="16"/>
        <v>42795</v>
      </c>
      <c r="J48" s="1685">
        <f t="shared" si="16"/>
        <v>42767</v>
      </c>
      <c r="K48" s="1685">
        <f t="shared" si="16"/>
        <v>42736</v>
      </c>
      <c r="L48" s="1685">
        <f t="shared" si="16"/>
        <v>42705</v>
      </c>
      <c r="M48" s="1685">
        <f t="shared" si="16"/>
        <v>42675</v>
      </c>
      <c r="N48" s="1685">
        <f t="shared" si="16"/>
        <v>42644</v>
      </c>
      <c r="O48" s="1685">
        <f t="shared" si="16"/>
        <v>42614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5"/>
      <c r="C1" s="1735"/>
      <c r="D1" s="1745"/>
      <c r="E1" s="2387"/>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89"/>
      <c r="E2" s="1744" t="e">
        <f ca="1">SUMIF(INDIRECT("'"&amp;G2&amp;"'"&amp;"!A:A"),"承租人权益价值",INDIRECT("'"&amp;G2&amp;"'"&amp;"!c:c"))</f>
        <v>#REF!</v>
      </c>
      <c r="F2" s="2390" t="str">
        <f>C2</f>
        <v>元</v>
      </c>
      <c r="G2" s="2391"/>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339.05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2977" t="s">
        <v>2343</v>
      </c>
      <c r="D4" s="2978"/>
      <c r="E4" s="2979" t="s">
        <v>2344</v>
      </c>
      <c r="F4" s="2980"/>
      <c r="G4" s="2977" t="s">
        <v>2345</v>
      </c>
      <c r="H4" s="2978"/>
      <c r="I4" s="2977" t="s">
        <v>2346</v>
      </c>
      <c r="J4" s="2978"/>
      <c r="K4" s="595" t="s">
        <v>2347</v>
      </c>
      <c r="L4" s="1245"/>
      <c r="M4" s="1246"/>
      <c r="N4" s="1246"/>
      <c r="O4" s="1246"/>
      <c r="P4" s="2981" t="s">
        <v>2348</v>
      </c>
      <c r="Q4" s="2982"/>
      <c r="R4" s="2987" t="s">
        <v>2344</v>
      </c>
      <c r="S4" s="2988"/>
      <c r="T4" s="2987" t="s">
        <v>2345</v>
      </c>
      <c r="U4" s="2988"/>
      <c r="V4" s="2993" t="s">
        <v>2346</v>
      </c>
      <c r="W4" s="2993"/>
      <c r="X4" s="1906"/>
      <c r="Y4" s="2987" t="s">
        <v>2348</v>
      </c>
      <c r="Z4" s="2988"/>
      <c r="AA4" s="2974" t="s">
        <v>2344</v>
      </c>
      <c r="AB4" s="2975" t="s">
        <v>2345</v>
      </c>
      <c r="AC4" s="2974" t="s">
        <v>2346</v>
      </c>
    </row>
    <row r="5" spans="1:29" ht="15">
      <c r="A5" s="384"/>
      <c r="B5" s="385"/>
      <c r="C5" s="2996" t="s">
        <v>2349</v>
      </c>
      <c r="D5" s="2997"/>
      <c r="E5" s="2994" t="s">
        <v>2350</v>
      </c>
      <c r="F5" s="2995"/>
      <c r="G5" s="2996" t="s">
        <v>2351</v>
      </c>
      <c r="H5" s="2997"/>
      <c r="I5" s="2996" t="s">
        <v>2352</v>
      </c>
      <c r="J5" s="2997"/>
      <c r="K5" s="595"/>
      <c r="L5" s="1245"/>
      <c r="M5" s="1246"/>
      <c r="N5" s="1246"/>
      <c r="O5" s="1246"/>
      <c r="P5" s="2983"/>
      <c r="Q5" s="2984"/>
      <c r="R5" s="2989"/>
      <c r="S5" s="2990"/>
      <c r="T5" s="2989"/>
      <c r="U5" s="2990"/>
      <c r="V5" s="2993"/>
      <c r="W5" s="2993"/>
      <c r="X5" s="1906"/>
      <c r="Y5" s="2989"/>
      <c r="Z5" s="2990"/>
      <c r="AA5" s="2975"/>
      <c r="AB5" s="2975"/>
      <c r="AC5" s="2975"/>
    </row>
    <row r="6" spans="1:29" ht="15.75" thickBot="1">
      <c r="A6" s="386"/>
      <c r="B6" s="387"/>
      <c r="C6" s="2998" t="s">
        <v>2353</v>
      </c>
      <c r="D6" s="2999"/>
      <c r="E6" s="3000" t="s">
        <v>2353</v>
      </c>
      <c r="F6" s="3001"/>
      <c r="G6" s="2998" t="s">
        <v>2353</v>
      </c>
      <c r="H6" s="2999"/>
      <c r="I6" s="2998" t="s">
        <v>2353</v>
      </c>
      <c r="J6" s="2999"/>
      <c r="K6" s="595" t="s">
        <v>2354</v>
      </c>
      <c r="L6" s="1245"/>
      <c r="M6" s="1246"/>
      <c r="N6" s="1246"/>
      <c r="O6" s="1246"/>
      <c r="P6" s="2985"/>
      <c r="Q6" s="2986"/>
      <c r="R6" s="2989"/>
      <c r="S6" s="2990"/>
      <c r="T6" s="2991"/>
      <c r="U6" s="2992"/>
      <c r="V6" s="2993"/>
      <c r="W6" s="2993"/>
      <c r="X6" s="1906"/>
      <c r="Y6" s="2991"/>
      <c r="Z6" s="2992"/>
      <c r="AA6" s="2976"/>
      <c r="AB6" s="2976"/>
      <c r="AC6" s="2976"/>
    </row>
    <row r="7" spans="1:29" s="35" customFormat="1" ht="15.75" thickBot="1">
      <c r="A7" s="388" t="s">
        <v>2355</v>
      </c>
      <c r="B7" s="389"/>
      <c r="C7" s="390">
        <f>'数据-取费表'!B2</f>
        <v>42990</v>
      </c>
      <c r="D7" s="391">
        <v>100</v>
      </c>
      <c r="E7" s="2471"/>
      <c r="F7" s="391">
        <f>SUMIF(46:46,YEAR(E7)&amp;"-"&amp;MONTH(E7),47:47)</f>
        <v>0</v>
      </c>
      <c r="G7" s="392"/>
      <c r="H7" s="391">
        <f>SUMIF(46:46,YEAR(G7)&amp;"-"&amp;MONTH(G7),47:47)</f>
        <v>0</v>
      </c>
      <c r="I7" s="392"/>
      <c r="J7" s="391">
        <f>SUMIF(46:46,YEAR(I7)&amp;"-"&amp;MONTH(I7),47:47)</f>
        <v>0</v>
      </c>
      <c r="K7" s="596"/>
      <c r="L7" s="1247"/>
      <c r="M7" s="1248"/>
      <c r="N7" s="1248"/>
      <c r="O7" s="1248"/>
      <c r="P7" s="3009" t="s">
        <v>2356</v>
      </c>
      <c r="Q7" s="3011"/>
      <c r="R7" s="750" t="s">
        <v>25</v>
      </c>
      <c r="S7" s="751">
        <f t="shared" ref="S7:S14" si="0">F7</f>
        <v>0</v>
      </c>
      <c r="T7" s="750" t="s">
        <v>25</v>
      </c>
      <c r="U7" s="751">
        <f t="shared" ref="U7:U14" si="1">H7</f>
        <v>0</v>
      </c>
      <c r="V7" s="750" t="s">
        <v>25</v>
      </c>
      <c r="W7" s="751">
        <f t="shared" ref="W7:W14" si="2">J7</f>
        <v>0</v>
      </c>
      <c r="X7" s="752"/>
      <c r="Y7" s="3009" t="s">
        <v>2356</v>
      </c>
      <c r="Z7" s="3010"/>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09" t="s">
        <v>2359</v>
      </c>
      <c r="Q8" s="3010"/>
      <c r="R8" s="750" t="s">
        <v>25</v>
      </c>
      <c r="S8" s="751">
        <f t="shared" si="0"/>
        <v>0</v>
      </c>
      <c r="T8" s="750" t="s">
        <v>25</v>
      </c>
      <c r="U8" s="751">
        <f t="shared" si="1"/>
        <v>0</v>
      </c>
      <c r="V8" s="750" t="s">
        <v>25</v>
      </c>
      <c r="W8" s="751">
        <f t="shared" si="2"/>
        <v>0</v>
      </c>
      <c r="X8" s="752"/>
      <c r="Y8" s="3009" t="s">
        <v>2359</v>
      </c>
      <c r="Z8" s="3010"/>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13" t="s">
        <v>2362</v>
      </c>
      <c r="Q9" s="1893" t="str">
        <f t="shared" ref="Q9:Q14" si="6">B9</f>
        <v>用途</v>
      </c>
      <c r="R9" s="750" t="s">
        <v>25</v>
      </c>
      <c r="S9" s="751">
        <f t="shared" si="0"/>
        <v>100</v>
      </c>
      <c r="T9" s="750" t="s">
        <v>25</v>
      </c>
      <c r="U9" s="751">
        <f t="shared" si="1"/>
        <v>100</v>
      </c>
      <c r="V9" s="750" t="s">
        <v>25</v>
      </c>
      <c r="W9" s="751">
        <f t="shared" si="2"/>
        <v>100</v>
      </c>
      <c r="X9" s="752"/>
      <c r="Y9" s="282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13"/>
      <c r="Q10" s="1893" t="str">
        <f t="shared" si="6"/>
        <v>土地使用年限（年）</v>
      </c>
      <c r="R10" s="750" t="s">
        <v>25</v>
      </c>
      <c r="S10" s="751">
        <f t="shared" si="0"/>
        <v>100</v>
      </c>
      <c r="T10" s="750" t="s">
        <v>25</v>
      </c>
      <c r="U10" s="751">
        <f t="shared" si="1"/>
        <v>100</v>
      </c>
      <c r="V10" s="750" t="s">
        <v>25</v>
      </c>
      <c r="W10" s="751">
        <f t="shared" si="2"/>
        <v>100</v>
      </c>
      <c r="X10" s="752"/>
      <c r="Y10" s="2825"/>
      <c r="Z10" s="23" t="str">
        <f t="shared" si="7"/>
        <v>土地使用年限（年）</v>
      </c>
      <c r="AA10" s="753">
        <f t="shared" si="3"/>
        <v>1</v>
      </c>
      <c r="AB10" s="753">
        <f t="shared" si="4"/>
        <v>1</v>
      </c>
      <c r="AC10" s="753">
        <f t="shared" si="5"/>
        <v>1</v>
      </c>
    </row>
    <row r="11" spans="1:29" ht="15">
      <c r="A11" s="409"/>
      <c r="B11" s="2404">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13"/>
      <c r="Q11" s="1893">
        <f t="shared" si="6"/>
        <v>111</v>
      </c>
      <c r="R11" s="750" t="s">
        <v>25</v>
      </c>
      <c r="S11" s="751">
        <f t="shared" si="0"/>
        <v>100</v>
      </c>
      <c r="T11" s="750" t="s">
        <v>25</v>
      </c>
      <c r="U11" s="751">
        <f t="shared" si="1"/>
        <v>100</v>
      </c>
      <c r="V11" s="750" t="s">
        <v>25</v>
      </c>
      <c r="W11" s="751">
        <f t="shared" si="2"/>
        <v>100</v>
      </c>
      <c r="X11" s="752"/>
      <c r="Y11" s="2825"/>
      <c r="Z11" s="23">
        <f t="shared" si="7"/>
        <v>111</v>
      </c>
      <c r="AA11" s="753">
        <f t="shared" si="3"/>
        <v>1</v>
      </c>
      <c r="AB11" s="753">
        <f t="shared" si="4"/>
        <v>1</v>
      </c>
      <c r="AC11" s="753">
        <f t="shared" si="5"/>
        <v>1</v>
      </c>
    </row>
    <row r="12" spans="1:29" s="35" customFormat="1" ht="15">
      <c r="A12" s="412"/>
      <c r="B12" s="2404">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13"/>
      <c r="Q12" s="1893">
        <f t="shared" si="6"/>
        <v>111</v>
      </c>
      <c r="R12" s="750" t="s">
        <v>25</v>
      </c>
      <c r="S12" s="751">
        <f t="shared" si="0"/>
        <v>100</v>
      </c>
      <c r="T12" s="750" t="s">
        <v>25</v>
      </c>
      <c r="U12" s="751">
        <f t="shared" si="1"/>
        <v>100</v>
      </c>
      <c r="V12" s="750" t="s">
        <v>25</v>
      </c>
      <c r="W12" s="751">
        <f t="shared" si="2"/>
        <v>100</v>
      </c>
      <c r="X12" s="752"/>
      <c r="Y12" s="2825"/>
      <c r="Z12" s="23">
        <f t="shared" si="7"/>
        <v>111</v>
      </c>
      <c r="AA12" s="753">
        <f>D12/F12</f>
        <v>1</v>
      </c>
      <c r="AB12" s="753">
        <f>D12/H12</f>
        <v>1</v>
      </c>
      <c r="AC12" s="753">
        <f>D12/J12</f>
        <v>1</v>
      </c>
    </row>
    <row r="13" spans="1:29" ht="15.75" thickBot="1">
      <c r="A13" s="409"/>
      <c r="B13" s="2404">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13"/>
      <c r="Q13" s="1893">
        <f t="shared" si="6"/>
        <v>111</v>
      </c>
      <c r="R13" s="750" t="s">
        <v>25</v>
      </c>
      <c r="S13" s="751">
        <f t="shared" si="0"/>
        <v>100</v>
      </c>
      <c r="T13" s="750" t="s">
        <v>25</v>
      </c>
      <c r="U13" s="751">
        <f t="shared" si="1"/>
        <v>100</v>
      </c>
      <c r="V13" s="750" t="s">
        <v>25</v>
      </c>
      <c r="W13" s="751">
        <f t="shared" si="2"/>
        <v>100</v>
      </c>
      <c r="X13" s="752"/>
      <c r="Y13" s="2825"/>
      <c r="Z13" s="23">
        <f t="shared" si="7"/>
        <v>111</v>
      </c>
      <c r="AA13" s="753">
        <f t="shared" si="3"/>
        <v>1</v>
      </c>
      <c r="AB13" s="753">
        <f t="shared" si="4"/>
        <v>1</v>
      </c>
      <c r="AC13" s="753">
        <f t="shared" si="5"/>
        <v>1</v>
      </c>
    </row>
    <row r="14" spans="1:29" ht="85.5">
      <c r="A14" s="420" t="s">
        <v>2366</v>
      </c>
      <c r="B14" s="26" t="s">
        <v>2510</v>
      </c>
      <c r="C14" s="2484" t="str">
        <f>IF(B1="工业",估价对象房地状况!G4,估价对象房地状况!C6)</f>
        <v>估价对象紧邻城市支道路——新街口四条，有22路、47路、86路、409路等多条公交线路及地铁2号线（积水潭站）、地铁6号线（新街口站)通过，交通便捷度较好。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02" t="s">
        <v>2367</v>
      </c>
      <c r="Q14" s="1905" t="str">
        <f t="shared" si="6"/>
        <v>交通便捷度</v>
      </c>
      <c r="R14" s="754" t="s">
        <v>25</v>
      </c>
      <c r="S14" s="755">
        <f t="shared" si="0"/>
        <v>100</v>
      </c>
      <c r="T14" s="754" t="s">
        <v>25</v>
      </c>
      <c r="U14" s="755">
        <f t="shared" si="1"/>
        <v>100</v>
      </c>
      <c r="V14" s="754" t="s">
        <v>25</v>
      </c>
      <c r="W14" s="755">
        <f t="shared" si="2"/>
        <v>100</v>
      </c>
      <c r="X14" s="1906"/>
      <c r="Y14" s="300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03"/>
      <c r="Q15" s="1905"/>
      <c r="R15" s="754"/>
      <c r="S15" s="755"/>
      <c r="T15" s="754"/>
      <c r="U15" s="755"/>
      <c r="V15" s="754"/>
      <c r="W15" s="755"/>
      <c r="X15" s="1906"/>
      <c r="Y15" s="3003"/>
      <c r="Z15" s="1908"/>
      <c r="AA15" s="1909">
        <v>1</v>
      </c>
      <c r="AB15" s="1909">
        <v>1</v>
      </c>
      <c r="AC15" s="1909">
        <v>1</v>
      </c>
    </row>
    <row r="16" spans="1:29" ht="42.75">
      <c r="A16" s="409"/>
      <c r="B16" s="616" t="s">
        <v>2482</v>
      </c>
      <c r="C16" s="2411" t="str">
        <f>IF(B1="工业",估价对象房地状况!G5,估价对象房地状况!C7)</f>
        <v>估价对象所在区域公共配套设施好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03"/>
      <c r="Q16" s="1905" t="str">
        <f>B16</f>
        <v>公共配套设施</v>
      </c>
      <c r="R16" s="754" t="s">
        <v>25</v>
      </c>
      <c r="S16" s="755">
        <f>F16</f>
        <v>100</v>
      </c>
      <c r="T16" s="754" t="s">
        <v>25</v>
      </c>
      <c r="U16" s="755">
        <f>H16</f>
        <v>100</v>
      </c>
      <c r="V16" s="754" t="s">
        <v>25</v>
      </c>
      <c r="W16" s="755">
        <f>J16</f>
        <v>100</v>
      </c>
      <c r="X16" s="1906"/>
      <c r="Y16" s="300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03"/>
      <c r="Q17" s="1905"/>
      <c r="R17" s="754"/>
      <c r="S17" s="755"/>
      <c r="T17" s="754"/>
      <c r="U17" s="755"/>
      <c r="V17" s="754"/>
      <c r="W17" s="755"/>
      <c r="X17" s="1906"/>
      <c r="Y17" s="3003"/>
      <c r="Z17" s="1908"/>
      <c r="AA17" s="1909">
        <v>1</v>
      </c>
      <c r="AB17" s="1909">
        <v>1</v>
      </c>
      <c r="AC17" s="1909">
        <v>1</v>
      </c>
    </row>
    <row r="18" spans="1:29" ht="28.5">
      <c r="A18" s="409"/>
      <c r="B18" s="618" t="s">
        <v>2483</v>
      </c>
      <c r="C18" s="2411"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03"/>
      <c r="Q18" s="1905" t="str">
        <f>B18</f>
        <v>基础设施水平</v>
      </c>
      <c r="R18" s="754" t="s">
        <v>25</v>
      </c>
      <c r="S18" s="755">
        <f>F18</f>
        <v>100</v>
      </c>
      <c r="T18" s="754" t="s">
        <v>25</v>
      </c>
      <c r="U18" s="755">
        <f>H18</f>
        <v>100</v>
      </c>
      <c r="V18" s="754" t="s">
        <v>25</v>
      </c>
      <c r="W18" s="755">
        <f>J18</f>
        <v>100</v>
      </c>
      <c r="X18" s="1906"/>
      <c r="Y18" s="300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03"/>
      <c r="Q19" s="1905"/>
      <c r="R19" s="754"/>
      <c r="S19" s="755"/>
      <c r="T19" s="754"/>
      <c r="U19" s="755"/>
      <c r="V19" s="754"/>
      <c r="W19" s="755"/>
      <c r="X19" s="1906"/>
      <c r="Y19" s="3003"/>
      <c r="Z19" s="1908"/>
      <c r="AA19" s="1909">
        <v>1</v>
      </c>
      <c r="AB19" s="1909">
        <v>1</v>
      </c>
      <c r="AC19" s="1909">
        <v>1</v>
      </c>
    </row>
    <row r="20" spans="1:29" ht="57">
      <c r="A20" s="409"/>
      <c r="B20" s="432" t="s">
        <v>2511</v>
      </c>
      <c r="C20" s="2411" t="str">
        <f>IF(B1="工业",估价对象房地状况!G7,估价对象房地状况!C9)</f>
        <v>自然环境：什刹海公园、官园公园、护城河；人文环境：西城区青少年儿童图书馆、西城区图书馆（总馆）、恭王府、北京古代钱币博物馆、北京工艺美术博物馆；综合评价环境状况好。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03"/>
      <c r="Q20" s="1905" t="str">
        <f>B20</f>
        <v>自然及人文环境</v>
      </c>
      <c r="R20" s="754" t="s">
        <v>25</v>
      </c>
      <c r="S20" s="755">
        <f>F20</f>
        <v>100</v>
      </c>
      <c r="T20" s="754" t="s">
        <v>25</v>
      </c>
      <c r="U20" s="755">
        <f>H20</f>
        <v>100</v>
      </c>
      <c r="V20" s="754" t="s">
        <v>25</v>
      </c>
      <c r="W20" s="755">
        <f>J20</f>
        <v>100</v>
      </c>
      <c r="X20" s="1906"/>
      <c r="Y20" s="300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03"/>
      <c r="Q21" s="1905"/>
      <c r="R21" s="754"/>
      <c r="S21" s="755"/>
      <c r="T21" s="754"/>
      <c r="U21" s="755"/>
      <c r="V21" s="754"/>
      <c r="W21" s="755"/>
      <c r="X21" s="1906"/>
      <c r="Y21" s="300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03"/>
      <c r="Q22" s="1905" t="str">
        <f>B22</f>
        <v>楼层</v>
      </c>
      <c r="R22" s="754" t="s">
        <v>25</v>
      </c>
      <c r="S22" s="755">
        <f>F22</f>
        <v>100</v>
      </c>
      <c r="T22" s="754" t="s">
        <v>25</v>
      </c>
      <c r="U22" s="755">
        <f>H22</f>
        <v>100</v>
      </c>
      <c r="V22" s="754" t="s">
        <v>25</v>
      </c>
      <c r="W22" s="755">
        <f>J22</f>
        <v>100</v>
      </c>
      <c r="X22" s="1906"/>
      <c r="Y22" s="3003"/>
      <c r="Z22" s="1908" t="str">
        <f>Q22</f>
        <v>楼层</v>
      </c>
      <c r="AA22" s="1909">
        <f t="shared" si="3"/>
        <v>1</v>
      </c>
      <c r="AB22" s="1909">
        <f t="shared" si="4"/>
        <v>1</v>
      </c>
      <c r="AC22" s="1909">
        <f t="shared" si="5"/>
        <v>1</v>
      </c>
    </row>
    <row r="23" spans="1:29" ht="15">
      <c r="A23" s="384"/>
      <c r="B23" s="2404">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03"/>
      <c r="Q23" s="1905">
        <f>B23</f>
        <v>111</v>
      </c>
      <c r="R23" s="754" t="s">
        <v>25</v>
      </c>
      <c r="S23" s="755">
        <f>F23</f>
        <v>100</v>
      </c>
      <c r="T23" s="754" t="s">
        <v>25</v>
      </c>
      <c r="U23" s="755">
        <f>H23</f>
        <v>100</v>
      </c>
      <c r="V23" s="754" t="s">
        <v>25</v>
      </c>
      <c r="W23" s="755">
        <f>J23</f>
        <v>100</v>
      </c>
      <c r="X23" s="1906"/>
      <c r="Y23" s="3003"/>
      <c r="Z23" s="1908">
        <f>Q23</f>
        <v>111</v>
      </c>
      <c r="AA23" s="1909">
        <f t="shared" si="3"/>
        <v>1</v>
      </c>
      <c r="AB23" s="1909">
        <f t="shared" si="4"/>
        <v>1</v>
      </c>
      <c r="AC23" s="1909">
        <f t="shared" si="5"/>
        <v>1</v>
      </c>
    </row>
    <row r="24" spans="1:29" ht="15">
      <c r="A24" s="409"/>
      <c r="B24" s="2404">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03"/>
      <c r="Q24" s="1905">
        <f t="shared" ref="Q24:Q34" si="11">B24</f>
        <v>111</v>
      </c>
      <c r="R24" s="754" t="s">
        <v>25</v>
      </c>
      <c r="S24" s="755">
        <f>F24</f>
        <v>100</v>
      </c>
      <c r="T24" s="754" t="s">
        <v>25</v>
      </c>
      <c r="U24" s="755">
        <f>H24</f>
        <v>100</v>
      </c>
      <c r="V24" s="754" t="s">
        <v>25</v>
      </c>
      <c r="W24" s="755">
        <f>J24</f>
        <v>100</v>
      </c>
      <c r="X24" s="1906"/>
      <c r="Y24" s="3003"/>
      <c r="Z24" s="1908">
        <f>Q24</f>
        <v>111</v>
      </c>
      <c r="AA24" s="1909">
        <f t="shared" si="3"/>
        <v>1</v>
      </c>
      <c r="AB24" s="1909">
        <f t="shared" si="4"/>
        <v>1</v>
      </c>
      <c r="AC24" s="1909">
        <f t="shared" si="5"/>
        <v>1</v>
      </c>
    </row>
    <row r="25" spans="1:29" s="35" customFormat="1" ht="15.75" thickBot="1">
      <c r="A25" s="412"/>
      <c r="B25" s="2404">
        <v>111</v>
      </c>
      <c r="C25" s="2487"/>
      <c r="D25" s="649">
        <v>100</v>
      </c>
      <c r="E25" s="2487"/>
      <c r="F25" s="650">
        <f>SUMIF(75:75,E25,76:76)-SUMIF(75:75,C25,76:76)+100</f>
        <v>100</v>
      </c>
      <c r="G25" s="2487"/>
      <c r="H25" s="649">
        <f>SUMIF(75:75,G25,76:76)-SUMIF(75:75,C25,76:76)+100</f>
        <v>100</v>
      </c>
      <c r="I25" s="2487"/>
      <c r="J25" s="649">
        <f>SUMIF(75:75,I25,76:76)-SUMIF(75:75,C25,76:76)+100</f>
        <v>100</v>
      </c>
      <c r="K25" s="598"/>
      <c r="L25" s="1247"/>
      <c r="M25" s="1248"/>
      <c r="N25" s="1248"/>
      <c r="O25" s="1249"/>
      <c r="P25" s="3003"/>
      <c r="Q25" s="1893">
        <f t="shared" si="11"/>
        <v>111</v>
      </c>
      <c r="R25" s="750" t="s">
        <v>25</v>
      </c>
      <c r="S25" s="751">
        <f>F25</f>
        <v>100</v>
      </c>
      <c r="T25" s="750" t="s">
        <v>25</v>
      </c>
      <c r="U25" s="751">
        <f>H25</f>
        <v>100</v>
      </c>
      <c r="V25" s="750" t="s">
        <v>25</v>
      </c>
      <c r="W25" s="751">
        <f>J25</f>
        <v>100</v>
      </c>
      <c r="X25" s="752"/>
      <c r="Y25" s="3003"/>
      <c r="Z25" s="23">
        <f>Q25</f>
        <v>111</v>
      </c>
      <c r="AA25" s="1909">
        <f>D25/F25</f>
        <v>1</v>
      </c>
      <c r="AB25" s="1909">
        <f>D25/H25</f>
        <v>1</v>
      </c>
      <c r="AC25" s="1909">
        <f>D25/J25</f>
        <v>1</v>
      </c>
    </row>
    <row r="26" spans="1:29" ht="15">
      <c r="A26" s="448" t="s">
        <v>2371</v>
      </c>
      <c r="B26" s="28" t="s">
        <v>2515</v>
      </c>
      <c r="C26" s="2478"/>
      <c r="D26" s="449">
        <v>100</v>
      </c>
      <c r="E26" s="2478"/>
      <c r="F26" s="651">
        <f>SUMIF(77:77,E26,78:78)-SUMIF(77:77,C26,78:78)+100</f>
        <v>100</v>
      </c>
      <c r="G26" s="2478"/>
      <c r="H26" s="449">
        <f>SUMIF(77:77,G26,78:78)-SUMIF(77:77,C26,78:78)+100</f>
        <v>100</v>
      </c>
      <c r="I26" s="2478"/>
      <c r="J26" s="449">
        <f>SUMIF(77:77,I26,78:78)-SUMIF(77:77,C26,78:78)+100</f>
        <v>100</v>
      </c>
      <c r="K26" s="597"/>
      <c r="L26" s="1255"/>
      <c r="M26" s="1246"/>
      <c r="N26" s="1246"/>
      <c r="O26" s="1254"/>
      <c r="P26" s="3029"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0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07"/>
      <c r="Q27" s="756" t="str">
        <f t="shared" si="11"/>
        <v>成新率</v>
      </c>
      <c r="R27" s="757" t="s">
        <v>25</v>
      </c>
      <c r="S27" s="758" t="e">
        <f t="shared" si="12"/>
        <v>#N/A</v>
      </c>
      <c r="T27" s="757" t="s">
        <v>25</v>
      </c>
      <c r="U27" s="758" t="e">
        <f t="shared" si="13"/>
        <v>#N/A</v>
      </c>
      <c r="V27" s="757" t="s">
        <v>25</v>
      </c>
      <c r="W27" s="758" t="e">
        <f t="shared" si="14"/>
        <v>#N/A</v>
      </c>
      <c r="X27" s="759"/>
      <c r="Y27" s="300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07"/>
      <c r="Q28" s="1905" t="str">
        <f t="shared" si="11"/>
        <v>物业等级</v>
      </c>
      <c r="R28" s="754" t="s">
        <v>25</v>
      </c>
      <c r="S28" s="755">
        <f t="shared" si="12"/>
        <v>100</v>
      </c>
      <c r="T28" s="754" t="s">
        <v>25</v>
      </c>
      <c r="U28" s="755">
        <f t="shared" si="13"/>
        <v>100</v>
      </c>
      <c r="V28" s="754" t="s">
        <v>25</v>
      </c>
      <c r="W28" s="755">
        <f t="shared" si="14"/>
        <v>100</v>
      </c>
      <c r="X28" s="1906"/>
      <c r="Y28" s="300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07"/>
      <c r="Q29" s="1905" t="str">
        <f t="shared" si="11"/>
        <v>有无电梯</v>
      </c>
      <c r="R29" s="754" t="s">
        <v>25</v>
      </c>
      <c r="S29" s="755">
        <f t="shared" si="12"/>
        <v>100</v>
      </c>
      <c r="T29" s="754" t="s">
        <v>25</v>
      </c>
      <c r="U29" s="755">
        <f t="shared" si="13"/>
        <v>100</v>
      </c>
      <c r="V29" s="754" t="s">
        <v>25</v>
      </c>
      <c r="W29" s="755">
        <f t="shared" si="14"/>
        <v>100</v>
      </c>
      <c r="X29" s="1906"/>
      <c r="Y29" s="300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07"/>
      <c r="Q30" s="1905" t="str">
        <f t="shared" si="11"/>
        <v>建筑面积</v>
      </c>
      <c r="R30" s="754" t="s">
        <v>25</v>
      </c>
      <c r="S30" s="755" t="e">
        <f t="shared" si="12"/>
        <v>#N/A</v>
      </c>
      <c r="T30" s="754" t="s">
        <v>25</v>
      </c>
      <c r="U30" s="755" t="e">
        <f t="shared" si="13"/>
        <v>#N/A</v>
      </c>
      <c r="V30" s="754" t="s">
        <v>25</v>
      </c>
      <c r="W30" s="755" t="e">
        <f t="shared" si="14"/>
        <v>#N/A</v>
      </c>
      <c r="X30" s="1906"/>
      <c r="Y30" s="300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07"/>
      <c r="Q31" s="1893" t="str">
        <f t="shared" si="11"/>
        <v>是否封闭</v>
      </c>
      <c r="R31" s="750" t="s">
        <v>25</v>
      </c>
      <c r="S31" s="751">
        <f t="shared" si="12"/>
        <v>100</v>
      </c>
      <c r="T31" s="750" t="s">
        <v>25</v>
      </c>
      <c r="U31" s="751">
        <f t="shared" si="13"/>
        <v>100</v>
      </c>
      <c r="V31" s="750" t="s">
        <v>25</v>
      </c>
      <c r="W31" s="751">
        <f t="shared" si="14"/>
        <v>100</v>
      </c>
      <c r="X31" s="752"/>
      <c r="Y31" s="3007"/>
      <c r="Z31" s="23" t="str">
        <f t="shared" si="15"/>
        <v>是否封闭</v>
      </c>
      <c r="AA31" s="753">
        <f t="shared" si="3"/>
        <v>1</v>
      </c>
      <c r="AB31" s="753">
        <f t="shared" si="4"/>
        <v>1</v>
      </c>
      <c r="AC31" s="753">
        <f t="shared" si="5"/>
        <v>1</v>
      </c>
    </row>
    <row r="32" spans="1:29" ht="15">
      <c r="A32" s="454"/>
      <c r="B32" s="2404">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07" t="s">
        <v>2373</v>
      </c>
      <c r="Q32" s="1905">
        <f t="shared" si="11"/>
        <v>111</v>
      </c>
      <c r="R32" s="754" t="s">
        <v>25</v>
      </c>
      <c r="S32" s="755">
        <f t="shared" si="12"/>
        <v>100</v>
      </c>
      <c r="T32" s="754" t="s">
        <v>25</v>
      </c>
      <c r="U32" s="755">
        <f t="shared" si="13"/>
        <v>100</v>
      </c>
      <c r="V32" s="754" t="s">
        <v>25</v>
      </c>
      <c r="W32" s="755">
        <f t="shared" si="14"/>
        <v>100</v>
      </c>
      <c r="X32" s="1906"/>
      <c r="Y32" s="3007" t="s">
        <v>2373</v>
      </c>
      <c r="Z32" s="1908">
        <f t="shared" si="15"/>
        <v>111</v>
      </c>
      <c r="AA32" s="1909">
        <f t="shared" si="3"/>
        <v>1</v>
      </c>
      <c r="AB32" s="1909">
        <f t="shared" si="4"/>
        <v>1</v>
      </c>
      <c r="AC32" s="1909">
        <f t="shared" si="5"/>
        <v>1</v>
      </c>
    </row>
    <row r="33" spans="1:29" ht="15">
      <c r="A33" s="454"/>
      <c r="B33" s="2404">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07"/>
      <c r="Q33" s="1905">
        <f t="shared" si="11"/>
        <v>111</v>
      </c>
      <c r="R33" s="754" t="s">
        <v>25</v>
      </c>
      <c r="S33" s="755">
        <f t="shared" si="12"/>
        <v>100</v>
      </c>
      <c r="T33" s="754" t="s">
        <v>25</v>
      </c>
      <c r="U33" s="755">
        <f t="shared" si="13"/>
        <v>100</v>
      </c>
      <c r="V33" s="754" t="s">
        <v>25</v>
      </c>
      <c r="W33" s="755">
        <f t="shared" si="14"/>
        <v>100</v>
      </c>
      <c r="X33" s="1906"/>
      <c r="Y33" s="3007"/>
      <c r="Z33" s="1908">
        <f t="shared" si="15"/>
        <v>111</v>
      </c>
      <c r="AA33" s="1909">
        <f t="shared" si="3"/>
        <v>1</v>
      </c>
      <c r="AB33" s="1909">
        <f t="shared" si="4"/>
        <v>1</v>
      </c>
      <c r="AC33" s="1909">
        <f t="shared" si="5"/>
        <v>1</v>
      </c>
    </row>
    <row r="34" spans="1:29" ht="15.75" thickBot="1">
      <c r="A34" s="460"/>
      <c r="B34" s="2406">
        <v>111</v>
      </c>
      <c r="C34" s="2407"/>
      <c r="D34" s="418">
        <v>100</v>
      </c>
      <c r="E34" s="2488"/>
      <c r="F34" s="419">
        <f>SUMIF(95:95,E34,96:96)-SUMIF(95:95,C34,96:96)+100</f>
        <v>100</v>
      </c>
      <c r="G34" s="2488"/>
      <c r="H34" s="418">
        <f>SUMIF(95:95,G34,96:96)-SUMIF(95:95,C34,96:96)+100</f>
        <v>100</v>
      </c>
      <c r="I34" s="2488"/>
      <c r="J34" s="418">
        <f>SUMIF(95:95,I34,96:96)-SUMIF(95:95,C34,96:96)+100</f>
        <v>100</v>
      </c>
      <c r="K34" s="598"/>
      <c r="L34" s="1255"/>
      <c r="M34" s="1246"/>
      <c r="N34" s="1246"/>
      <c r="O34" s="1254"/>
      <c r="P34" s="3007"/>
      <c r="Q34" s="1905">
        <f t="shared" si="11"/>
        <v>111</v>
      </c>
      <c r="R34" s="754" t="s">
        <v>25</v>
      </c>
      <c r="S34" s="755">
        <f t="shared" si="12"/>
        <v>100</v>
      </c>
      <c r="T34" s="754" t="s">
        <v>25</v>
      </c>
      <c r="U34" s="755">
        <f t="shared" si="13"/>
        <v>100</v>
      </c>
      <c r="V34" s="754" t="s">
        <v>25</v>
      </c>
      <c r="W34" s="755">
        <f t="shared" si="14"/>
        <v>100</v>
      </c>
      <c r="X34" s="1906"/>
      <c r="Y34" s="300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13" t="str">
        <f>A35</f>
        <v>成交单价（元/平方米）</v>
      </c>
      <c r="Q35" s="3013"/>
      <c r="R35" s="3014">
        <f>E35</f>
        <v>0</v>
      </c>
      <c r="S35" s="3014"/>
      <c r="T35" s="3014">
        <f>G35</f>
        <v>0</v>
      </c>
      <c r="U35" s="3014"/>
      <c r="V35" s="3014">
        <f>I35</f>
        <v>0</v>
      </c>
      <c r="W35" s="3014"/>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19" t="str">
        <f>A37</f>
        <v>估价对象XX用房的比较价值（楼面单价，元/平方米）</v>
      </c>
      <c r="Q37" s="3020"/>
      <c r="R37" s="3021" t="e">
        <f>IF(E1="售价",ROUND(AVERAGE(R36:V36),0),ROUND(AVERAGE(R36:V36),1))</f>
        <v>#DIV/0!</v>
      </c>
      <c r="S37" s="3021"/>
      <c r="T37" s="3021"/>
      <c r="U37" s="3021"/>
      <c r="V37" s="3021"/>
      <c r="W37" s="3021"/>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2017-9</v>
      </c>
      <c r="D46" s="1685">
        <f>EDATE(C46,-1)</f>
        <v>42948</v>
      </c>
      <c r="E46" s="1685">
        <f t="shared" ref="E46:O46" si="16">EDATE(D46,-1)</f>
        <v>42917</v>
      </c>
      <c r="F46" s="1685">
        <f t="shared" si="16"/>
        <v>42887</v>
      </c>
      <c r="G46" s="1685">
        <f t="shared" si="16"/>
        <v>42856</v>
      </c>
      <c r="H46" s="1685">
        <f t="shared" si="16"/>
        <v>42826</v>
      </c>
      <c r="I46" s="1685">
        <f t="shared" si="16"/>
        <v>42795</v>
      </c>
      <c r="J46" s="1685">
        <f t="shared" si="16"/>
        <v>42767</v>
      </c>
      <c r="K46" s="1685">
        <f t="shared" si="16"/>
        <v>42736</v>
      </c>
      <c r="L46" s="1685">
        <f t="shared" si="16"/>
        <v>42705</v>
      </c>
      <c r="M46" s="1685">
        <f t="shared" si="16"/>
        <v>42675</v>
      </c>
      <c r="N46" s="1685">
        <f t="shared" si="16"/>
        <v>42644</v>
      </c>
      <c r="O46" s="1685">
        <f t="shared" si="16"/>
        <v>42614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2977" t="s">
        <v>2343</v>
      </c>
      <c r="D4" s="2978"/>
      <c r="E4" s="2979" t="s">
        <v>2344</v>
      </c>
      <c r="F4" s="2980"/>
      <c r="G4" s="2977" t="s">
        <v>2345</v>
      </c>
      <c r="H4" s="2978"/>
      <c r="I4" s="2977" t="s">
        <v>2346</v>
      </c>
      <c r="J4" s="2978"/>
      <c r="K4" s="595" t="s">
        <v>2347</v>
      </c>
      <c r="L4" s="1245"/>
      <c r="M4" s="1246"/>
      <c r="N4" s="1246"/>
      <c r="O4" s="1246"/>
      <c r="P4" s="2981" t="s">
        <v>2348</v>
      </c>
      <c r="Q4" s="2982"/>
      <c r="R4" s="2987" t="s">
        <v>2344</v>
      </c>
      <c r="S4" s="2988"/>
      <c r="T4" s="2987" t="s">
        <v>2345</v>
      </c>
      <c r="U4" s="2988"/>
      <c r="V4" s="2993" t="s">
        <v>2346</v>
      </c>
      <c r="W4" s="2993"/>
      <c r="X4" s="1906"/>
      <c r="Y4" s="2987" t="s">
        <v>2348</v>
      </c>
      <c r="Z4" s="2988"/>
      <c r="AA4" s="2974" t="s">
        <v>2344</v>
      </c>
      <c r="AB4" s="2975" t="s">
        <v>2345</v>
      </c>
      <c r="AC4" s="2974" t="s">
        <v>2346</v>
      </c>
    </row>
    <row r="5" spans="1:30" ht="15">
      <c r="A5" s="384"/>
      <c r="B5" s="385"/>
      <c r="C5" s="2996" t="s">
        <v>2349</v>
      </c>
      <c r="D5" s="2997"/>
      <c r="E5" s="2994" t="s">
        <v>2350</v>
      </c>
      <c r="F5" s="2995"/>
      <c r="G5" s="2996" t="s">
        <v>2351</v>
      </c>
      <c r="H5" s="2997"/>
      <c r="I5" s="2996" t="s">
        <v>2352</v>
      </c>
      <c r="J5" s="2997"/>
      <c r="K5" s="595"/>
      <c r="L5" s="1245"/>
      <c r="M5" s="1246"/>
      <c r="N5" s="1246"/>
      <c r="O5" s="1246"/>
      <c r="P5" s="2983"/>
      <c r="Q5" s="2984"/>
      <c r="R5" s="2989"/>
      <c r="S5" s="2990"/>
      <c r="T5" s="2989"/>
      <c r="U5" s="2990"/>
      <c r="V5" s="2993"/>
      <c r="W5" s="2993"/>
      <c r="X5" s="1906"/>
      <c r="Y5" s="2989"/>
      <c r="Z5" s="2990"/>
      <c r="AA5" s="2975"/>
      <c r="AB5" s="2975"/>
      <c r="AC5" s="2975"/>
    </row>
    <row r="6" spans="1:30" ht="15.75" thickBot="1">
      <c r="A6" s="386"/>
      <c r="B6" s="387"/>
      <c r="C6" s="2998" t="s">
        <v>2353</v>
      </c>
      <c r="D6" s="2999"/>
      <c r="E6" s="3000" t="s">
        <v>2353</v>
      </c>
      <c r="F6" s="3001"/>
      <c r="G6" s="2998" t="s">
        <v>2353</v>
      </c>
      <c r="H6" s="2999"/>
      <c r="I6" s="2998" t="s">
        <v>2353</v>
      </c>
      <c r="J6" s="2999"/>
      <c r="K6" s="595" t="s">
        <v>2354</v>
      </c>
      <c r="L6" s="1245"/>
      <c r="M6" s="1246"/>
      <c r="N6" s="1246"/>
      <c r="O6" s="1246"/>
      <c r="P6" s="2985"/>
      <c r="Q6" s="2986"/>
      <c r="R6" s="2989"/>
      <c r="S6" s="2990"/>
      <c r="T6" s="2991"/>
      <c r="U6" s="2992"/>
      <c r="V6" s="2993"/>
      <c r="W6" s="2993"/>
      <c r="X6" s="1906"/>
      <c r="Y6" s="2991"/>
      <c r="Z6" s="2992"/>
      <c r="AA6" s="2976"/>
      <c r="AB6" s="2976"/>
      <c r="AC6" s="2976"/>
    </row>
    <row r="7" spans="1:30" s="35" customFormat="1" ht="15.75" thickBot="1">
      <c r="A7" s="388" t="s">
        <v>2355</v>
      </c>
      <c r="B7" s="389"/>
      <c r="C7" s="390">
        <f>'数据-取费表'!B2</f>
        <v>42990</v>
      </c>
      <c r="D7" s="391">
        <v>100</v>
      </c>
      <c r="E7" s="392"/>
      <c r="F7" s="393">
        <f>SUMIF(70:70,YEAR(E7)&amp;"-"&amp;INT((MONTH(E7)+2)/3),71:71)</f>
        <v>0</v>
      </c>
      <c r="G7" s="2471"/>
      <c r="H7" s="391">
        <f>SUMIF(70:70,YEAR(G7)&amp;"-"&amp;INT((MONTH(G7)+2)/3),71:71)</f>
        <v>0</v>
      </c>
      <c r="I7" s="2471"/>
      <c r="J7" s="391">
        <f>SUMIF(70:70,YEAR(I7)&amp;"-"&amp;INT((MONTH(I7)+2)/3),71:71)</f>
        <v>0</v>
      </c>
      <c r="K7" s="596"/>
      <c r="L7" s="1247"/>
      <c r="M7" s="1248"/>
      <c r="N7" s="1248"/>
      <c r="O7" s="1248"/>
      <c r="P7" s="3009" t="s">
        <v>2356</v>
      </c>
      <c r="Q7" s="3011"/>
      <c r="R7" s="750" t="s">
        <v>25</v>
      </c>
      <c r="S7" s="751">
        <f t="shared" ref="S7:S15" si="0">F7</f>
        <v>0</v>
      </c>
      <c r="T7" s="750" t="s">
        <v>25</v>
      </c>
      <c r="U7" s="751">
        <f t="shared" ref="U7:U15" si="1">H7</f>
        <v>0</v>
      </c>
      <c r="V7" s="750" t="s">
        <v>25</v>
      </c>
      <c r="W7" s="751">
        <f t="shared" ref="W7:W15" si="2">J7</f>
        <v>0</v>
      </c>
      <c r="X7" s="752"/>
      <c r="Y7" s="3009" t="s">
        <v>2356</v>
      </c>
      <c r="Z7" s="3010"/>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09" t="s">
        <v>2359</v>
      </c>
      <c r="Q8" s="3010"/>
      <c r="R8" s="750" t="s">
        <v>25</v>
      </c>
      <c r="S8" s="751">
        <f t="shared" si="0"/>
        <v>0</v>
      </c>
      <c r="T8" s="750" t="s">
        <v>25</v>
      </c>
      <c r="U8" s="751">
        <f t="shared" si="1"/>
        <v>0</v>
      </c>
      <c r="V8" s="750" t="s">
        <v>25</v>
      </c>
      <c r="W8" s="751">
        <f t="shared" si="2"/>
        <v>0</v>
      </c>
      <c r="X8" s="752"/>
      <c r="Y8" s="3009" t="s">
        <v>2359</v>
      </c>
      <c r="Z8" s="3010"/>
      <c r="AA8" s="753" t="e">
        <f t="shared" ref="AA8:AA45" si="3">D8/F8</f>
        <v>#DIV/0!</v>
      </c>
      <c r="AB8" s="753" t="e">
        <f t="shared" ref="AB8:AB45" si="4">D8/H8</f>
        <v>#DIV/0!</v>
      </c>
      <c r="AC8" s="753" t="e">
        <f t="shared" ref="AC8:AC45" si="5">D8/J8</f>
        <v>#DIV/0!</v>
      </c>
    </row>
    <row r="9" spans="1:30" s="35" customFormat="1">
      <c r="A9" s="396" t="s">
        <v>2360</v>
      </c>
      <c r="B9" s="28" t="s">
        <v>2361</v>
      </c>
      <c r="C9" s="2489"/>
      <c r="D9" s="51">
        <v>100</v>
      </c>
      <c r="E9" s="2489"/>
      <c r="F9" s="51">
        <f>SUMIF(75:75,E9,76:76)-SUMIF(75:75,C9,76:76)+100</f>
        <v>100</v>
      </c>
      <c r="G9" s="2489"/>
      <c r="H9" s="51">
        <f>SUMIF(75:75,G9,76:76)-SUMIF(75:75,C9,76:76)+100</f>
        <v>100</v>
      </c>
      <c r="I9" s="2489"/>
      <c r="J9" s="51">
        <f>SUMIF(75:75,I9,76:76)-SUMIF(75:75,C9,76:76)+100</f>
        <v>100</v>
      </c>
      <c r="K9" s="596"/>
      <c r="L9" s="1247"/>
      <c r="M9" s="1248"/>
      <c r="N9" s="1248"/>
      <c r="O9" s="1249"/>
      <c r="P9" s="3013" t="s">
        <v>2362</v>
      </c>
      <c r="Q9" s="1893" t="str">
        <f t="shared" ref="Q9:Q15" si="6">B9</f>
        <v>用途</v>
      </c>
      <c r="R9" s="750" t="s">
        <v>25</v>
      </c>
      <c r="S9" s="751">
        <f t="shared" si="0"/>
        <v>100</v>
      </c>
      <c r="T9" s="750" t="s">
        <v>25</v>
      </c>
      <c r="U9" s="751">
        <f t="shared" si="1"/>
        <v>100</v>
      </c>
      <c r="V9" s="750" t="s">
        <v>25</v>
      </c>
      <c r="W9" s="751">
        <f t="shared" si="2"/>
        <v>100</v>
      </c>
      <c r="X9" s="752"/>
      <c r="Y9" s="282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117</v>
      </c>
      <c r="G10" s="445"/>
      <c r="H10" s="52">
        <f>ROUND(100/'数据-取费表'!B14,0)</f>
        <v>117</v>
      </c>
      <c r="I10" s="445"/>
      <c r="J10" s="52">
        <f>ROUND(100/'数据-取费表'!B14,0)</f>
        <v>117</v>
      </c>
      <c r="K10" s="656"/>
      <c r="L10" s="1250"/>
      <c r="M10" s="1251"/>
      <c r="N10" s="1251"/>
      <c r="O10" s="1252"/>
      <c r="P10" s="3013"/>
      <c r="Q10" s="1893" t="str">
        <f t="shared" si="6"/>
        <v>土地使用年限（年）</v>
      </c>
      <c r="R10" s="750" t="s">
        <v>25</v>
      </c>
      <c r="S10" s="751">
        <f t="shared" si="0"/>
        <v>117</v>
      </c>
      <c r="T10" s="750" t="s">
        <v>25</v>
      </c>
      <c r="U10" s="751">
        <f t="shared" si="1"/>
        <v>117</v>
      </c>
      <c r="V10" s="750" t="s">
        <v>25</v>
      </c>
      <c r="W10" s="751">
        <f t="shared" si="2"/>
        <v>117</v>
      </c>
      <c r="X10" s="752"/>
      <c r="Y10" s="2825"/>
      <c r="Z10" s="23" t="str">
        <f t="shared" si="7"/>
        <v>土地使用年限（年）</v>
      </c>
      <c r="AA10" s="753">
        <f t="shared" si="3"/>
        <v>0.85470085470085466</v>
      </c>
      <c r="AB10" s="753">
        <f t="shared" si="4"/>
        <v>0.85470085470085466</v>
      </c>
      <c r="AC10" s="753">
        <f t="shared" si="5"/>
        <v>0.85470085470085466</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13"/>
      <c r="Q11" s="1893" t="str">
        <f t="shared" si="6"/>
        <v>容积率</v>
      </c>
      <c r="R11" s="750" t="s">
        <v>25</v>
      </c>
      <c r="S11" s="751" t="e">
        <f t="shared" si="0"/>
        <v>#N/A</v>
      </c>
      <c r="T11" s="750" t="s">
        <v>25</v>
      </c>
      <c r="U11" s="751" t="e">
        <f t="shared" si="1"/>
        <v>#N/A</v>
      </c>
      <c r="V11" s="750" t="s">
        <v>25</v>
      </c>
      <c r="W11" s="751" t="e">
        <f t="shared" si="2"/>
        <v>#N/A</v>
      </c>
      <c r="X11" s="752"/>
      <c r="Y11" s="2825"/>
      <c r="Z11" s="23" t="str">
        <f t="shared" si="7"/>
        <v>容积率</v>
      </c>
      <c r="AA11" s="753" t="e">
        <f t="shared" si="3"/>
        <v>#N/A</v>
      </c>
      <c r="AB11" s="753" t="e">
        <f t="shared" si="4"/>
        <v>#N/A</v>
      </c>
      <c r="AC11" s="753" t="e">
        <f t="shared" si="5"/>
        <v>#N/A</v>
      </c>
    </row>
    <row r="12" spans="1:30" s="35" customFormat="1" ht="15">
      <c r="A12" s="412"/>
      <c r="B12" s="2404"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13"/>
      <c r="Q12" s="1893" t="str">
        <f t="shared" si="6"/>
        <v>配建</v>
      </c>
      <c r="R12" s="750" t="s">
        <v>25</v>
      </c>
      <c r="S12" s="751">
        <f t="shared" si="0"/>
        <v>100</v>
      </c>
      <c r="T12" s="750" t="s">
        <v>25</v>
      </c>
      <c r="U12" s="751">
        <f t="shared" si="1"/>
        <v>100</v>
      </c>
      <c r="V12" s="750" t="s">
        <v>25</v>
      </c>
      <c r="W12" s="751">
        <f t="shared" si="2"/>
        <v>100</v>
      </c>
      <c r="X12" s="752"/>
      <c r="Y12" s="2825"/>
      <c r="Z12" s="23" t="str">
        <f t="shared" si="7"/>
        <v>配建</v>
      </c>
      <c r="AA12" s="753">
        <f>D12/F12</f>
        <v>1</v>
      </c>
      <c r="AB12" s="753">
        <f>D12/H12</f>
        <v>1</v>
      </c>
      <c r="AC12" s="753">
        <f>D12/J12</f>
        <v>1</v>
      </c>
    </row>
    <row r="13" spans="1:30" ht="15">
      <c r="A13" s="409"/>
      <c r="B13" s="2404">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13"/>
      <c r="Q13" s="1893">
        <f t="shared" si="6"/>
        <v>111</v>
      </c>
      <c r="R13" s="750" t="s">
        <v>25</v>
      </c>
      <c r="S13" s="751">
        <f t="shared" si="0"/>
        <v>100</v>
      </c>
      <c r="T13" s="750" t="s">
        <v>25</v>
      </c>
      <c r="U13" s="751">
        <f t="shared" si="1"/>
        <v>100</v>
      </c>
      <c r="V13" s="750" t="s">
        <v>25</v>
      </c>
      <c r="W13" s="751">
        <f t="shared" si="2"/>
        <v>100</v>
      </c>
      <c r="X13" s="752"/>
      <c r="Y13" s="2825"/>
      <c r="Z13" s="23">
        <f t="shared" si="7"/>
        <v>111</v>
      </c>
      <c r="AA13" s="753">
        <f>D13/F13</f>
        <v>1</v>
      </c>
      <c r="AB13" s="753">
        <f>D13/H13</f>
        <v>1</v>
      </c>
      <c r="AC13" s="753">
        <f>D13/J13</f>
        <v>1</v>
      </c>
    </row>
    <row r="14" spans="1:30" ht="15.75" thickBot="1">
      <c r="A14" s="417"/>
      <c r="B14" s="2406">
        <v>111</v>
      </c>
      <c r="C14" s="2407"/>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13"/>
      <c r="Q14" s="1893">
        <f t="shared" si="6"/>
        <v>111</v>
      </c>
      <c r="R14" s="750" t="s">
        <v>25</v>
      </c>
      <c r="S14" s="751">
        <f t="shared" si="0"/>
        <v>100</v>
      </c>
      <c r="T14" s="750" t="s">
        <v>25</v>
      </c>
      <c r="U14" s="751">
        <f t="shared" si="1"/>
        <v>100</v>
      </c>
      <c r="V14" s="750" t="s">
        <v>25</v>
      </c>
      <c r="W14" s="751">
        <f t="shared" si="2"/>
        <v>100</v>
      </c>
      <c r="X14" s="752"/>
      <c r="Y14" s="2825"/>
      <c r="Z14" s="23">
        <f t="shared" si="7"/>
        <v>111</v>
      </c>
      <c r="AA14" s="753">
        <f>D14/F14</f>
        <v>1</v>
      </c>
      <c r="AB14" s="753">
        <f>D14/H14</f>
        <v>1</v>
      </c>
      <c r="AC14" s="753">
        <f>D14/J14</f>
        <v>1</v>
      </c>
    </row>
    <row r="15" spans="1:30" ht="99.75">
      <c r="A15" s="381" t="s">
        <v>2366</v>
      </c>
      <c r="B15" s="1489" t="s">
        <v>1742</v>
      </c>
      <c r="C15" s="2472" t="str">
        <f>估价对象房地状况!C15</f>
        <v>周边有新街口西里、玉桃园、如意里、冠英园西区等居住社区，综合评价居住社区成熟度好。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02" t="s">
        <v>2367</v>
      </c>
      <c r="Q15" s="1905" t="str">
        <f t="shared" si="6"/>
        <v>居住社区成熟度</v>
      </c>
      <c r="R15" s="754" t="s">
        <v>25</v>
      </c>
      <c r="S15" s="755">
        <f t="shared" si="0"/>
        <v>100</v>
      </c>
      <c r="T15" s="754" t="s">
        <v>25</v>
      </c>
      <c r="U15" s="755">
        <f t="shared" si="1"/>
        <v>100</v>
      </c>
      <c r="V15" s="754" t="s">
        <v>25</v>
      </c>
      <c r="W15" s="755">
        <f t="shared" si="2"/>
        <v>100</v>
      </c>
      <c r="X15" s="1906"/>
      <c r="Y15" s="300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09"/>
      <c r="J16" s="428"/>
      <c r="K16" s="656"/>
      <c r="L16" s="1255"/>
      <c r="M16" s="1246"/>
      <c r="N16" s="1246"/>
      <c r="O16" s="1254"/>
      <c r="P16" s="3003"/>
      <c r="Q16" s="1905"/>
      <c r="R16" s="754"/>
      <c r="S16" s="755"/>
      <c r="T16" s="754"/>
      <c r="U16" s="755"/>
      <c r="V16" s="754"/>
      <c r="W16" s="755"/>
      <c r="X16" s="1906"/>
      <c r="Y16" s="3003"/>
      <c r="Z16" s="1908"/>
      <c r="AA16" s="1909">
        <v>1</v>
      </c>
      <c r="AB16" s="1909">
        <v>1</v>
      </c>
      <c r="AC16" s="1909">
        <v>1</v>
      </c>
    </row>
    <row r="17" spans="1:29" ht="71.25">
      <c r="A17" s="384"/>
      <c r="B17" s="1491" t="s">
        <v>2452</v>
      </c>
      <c r="C17" s="2490" t="str">
        <f>估价对象房地状况!C16</f>
        <v>估价对象位于新街口商圈，周边商业氛围成熟，人流量大，商业繁华度较好</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03"/>
      <c r="Q17" s="1905" t="str">
        <f>B17</f>
        <v>商业繁华度</v>
      </c>
      <c r="R17" s="754" t="s">
        <v>25</v>
      </c>
      <c r="S17" s="755">
        <f>F17</f>
        <v>100</v>
      </c>
      <c r="T17" s="754" t="s">
        <v>25</v>
      </c>
      <c r="U17" s="755">
        <f>H17</f>
        <v>100</v>
      </c>
      <c r="V17" s="754" t="s">
        <v>25</v>
      </c>
      <c r="W17" s="755">
        <f>J17</f>
        <v>100</v>
      </c>
      <c r="X17" s="1906"/>
      <c r="Y17" s="3003"/>
      <c r="Z17" s="1908" t="str">
        <f>Q17</f>
        <v>商业繁华度</v>
      </c>
      <c r="AA17" s="1909">
        <f t="shared" si="3"/>
        <v>1</v>
      </c>
      <c r="AB17" s="1909">
        <f t="shared" si="4"/>
        <v>1</v>
      </c>
      <c r="AC17" s="1909">
        <f t="shared" si="5"/>
        <v>1</v>
      </c>
    </row>
    <row r="18" spans="1:29" ht="15">
      <c r="A18" s="384"/>
      <c r="B18" s="1492"/>
      <c r="C18" s="2474"/>
      <c r="D18" s="431"/>
      <c r="E18" s="1470"/>
      <c r="F18" s="431"/>
      <c r="G18" s="1470"/>
      <c r="H18" s="428"/>
      <c r="I18" s="2412"/>
      <c r="J18" s="428"/>
      <c r="K18" s="656"/>
      <c r="L18" s="1255"/>
      <c r="M18" s="1246"/>
      <c r="N18" s="1246"/>
      <c r="O18" s="1254"/>
      <c r="P18" s="3003"/>
      <c r="Q18" s="1905"/>
      <c r="R18" s="754"/>
      <c r="S18" s="755"/>
      <c r="T18" s="754"/>
      <c r="U18" s="755"/>
      <c r="V18" s="754"/>
      <c r="W18" s="755"/>
      <c r="X18" s="1906"/>
      <c r="Y18" s="3003"/>
      <c r="Z18" s="1908"/>
      <c r="AA18" s="1909">
        <v>1</v>
      </c>
      <c r="AB18" s="1909">
        <v>1</v>
      </c>
      <c r="AC18" s="1909">
        <v>1</v>
      </c>
    </row>
    <row r="19" spans="1:29" ht="71.25">
      <c r="A19" s="384"/>
      <c r="B19" s="1491" t="s">
        <v>2481</v>
      </c>
      <c r="C19" s="2490"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03"/>
      <c r="Q19" s="1905" t="str">
        <f>B19</f>
        <v>办公集聚程度</v>
      </c>
      <c r="R19" s="754" t="s">
        <v>25</v>
      </c>
      <c r="S19" s="755">
        <f>F19</f>
        <v>100</v>
      </c>
      <c r="T19" s="754" t="s">
        <v>25</v>
      </c>
      <c r="U19" s="755">
        <f>H19</f>
        <v>100</v>
      </c>
      <c r="V19" s="754" t="s">
        <v>25</v>
      </c>
      <c r="W19" s="755">
        <f>J19</f>
        <v>100</v>
      </c>
      <c r="X19" s="1906"/>
      <c r="Y19" s="300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09"/>
      <c r="J20" s="428"/>
      <c r="K20" s="656"/>
      <c r="L20" s="1255"/>
      <c r="M20" s="1246"/>
      <c r="N20" s="1246"/>
      <c r="O20" s="1254"/>
      <c r="P20" s="3003"/>
      <c r="Q20" s="1905"/>
      <c r="R20" s="754"/>
      <c r="S20" s="755"/>
      <c r="T20" s="754"/>
      <c r="U20" s="755"/>
      <c r="V20" s="754"/>
      <c r="W20" s="755"/>
      <c r="X20" s="1906"/>
      <c r="Y20" s="3003"/>
      <c r="Z20" s="1908"/>
      <c r="AA20" s="1909">
        <v>1</v>
      </c>
      <c r="AB20" s="1909">
        <v>1</v>
      </c>
      <c r="AC20" s="1909">
        <v>1</v>
      </c>
    </row>
    <row r="21" spans="1:29" ht="85.5">
      <c r="A21" s="384"/>
      <c r="B21" s="1491" t="s">
        <v>2510</v>
      </c>
      <c r="C21" s="2473" t="str">
        <f>估价对象房地状况!C18</f>
        <v>估价对象紧邻城市支道路——新街口四条，有22路、47路、86路、409路等多条公交线路及地铁2号线（积水潭站）、地铁6号线（新街口站)通过，交通便捷度较好。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03"/>
      <c r="Q21" s="1905" t="str">
        <f>B21</f>
        <v>交通便捷度</v>
      </c>
      <c r="R21" s="754" t="s">
        <v>25</v>
      </c>
      <c r="S21" s="755">
        <f>F21</f>
        <v>100</v>
      </c>
      <c r="T21" s="754" t="s">
        <v>25</v>
      </c>
      <c r="U21" s="755">
        <f>H21</f>
        <v>100</v>
      </c>
      <c r="V21" s="754" t="s">
        <v>25</v>
      </c>
      <c r="W21" s="755">
        <f>J21</f>
        <v>100</v>
      </c>
      <c r="X21" s="1906"/>
      <c r="Y21" s="300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09"/>
      <c r="J22" s="428"/>
      <c r="K22" s="656"/>
      <c r="L22" s="1255"/>
      <c r="M22" s="1246"/>
      <c r="N22" s="1246"/>
      <c r="O22" s="1254"/>
      <c r="P22" s="3003"/>
      <c r="Q22" s="1905"/>
      <c r="R22" s="754"/>
      <c r="S22" s="755"/>
      <c r="T22" s="754"/>
      <c r="U22" s="755"/>
      <c r="V22" s="754"/>
      <c r="W22" s="755"/>
      <c r="X22" s="1906"/>
      <c r="Y22" s="3003"/>
      <c r="Z22" s="1908"/>
      <c r="AA22" s="1909">
        <v>1</v>
      </c>
      <c r="AB22" s="1909">
        <v>1</v>
      </c>
      <c r="AC22" s="1909">
        <v>1</v>
      </c>
    </row>
    <row r="23" spans="1:29" ht="15">
      <c r="A23" s="384"/>
      <c r="B23" s="1494" t="s">
        <v>2550</v>
      </c>
      <c r="C23" s="2491">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03"/>
      <c r="Q23" s="1905" t="str">
        <f t="shared" ref="Q23:Q37" si="8">B23</f>
        <v>区域土地利用方向</v>
      </c>
      <c r="R23" s="754" t="s">
        <v>25</v>
      </c>
      <c r="S23" s="755">
        <f>F23</f>
        <v>100</v>
      </c>
      <c r="T23" s="754" t="s">
        <v>25</v>
      </c>
      <c r="U23" s="755">
        <f>H23</f>
        <v>100</v>
      </c>
      <c r="V23" s="754" t="s">
        <v>25</v>
      </c>
      <c r="W23" s="755">
        <f>J23</f>
        <v>100</v>
      </c>
      <c r="X23" s="1906"/>
      <c r="Y23" s="3003"/>
      <c r="Z23" s="1908" t="str">
        <f>Q23</f>
        <v>区域土地利用方向</v>
      </c>
      <c r="AA23" s="1909">
        <f t="shared" si="3"/>
        <v>1</v>
      </c>
      <c r="AB23" s="1909">
        <f t="shared" si="4"/>
        <v>1</v>
      </c>
      <c r="AC23" s="1909">
        <f t="shared" si="5"/>
        <v>1</v>
      </c>
    </row>
    <row r="24" spans="1:29" ht="15">
      <c r="A24" s="384"/>
      <c r="B24" s="1495"/>
      <c r="C24" s="619"/>
      <c r="D24" s="428"/>
      <c r="E24" s="429"/>
      <c r="F24" s="428"/>
      <c r="G24" s="2409"/>
      <c r="H24" s="428"/>
      <c r="I24" s="2409"/>
      <c r="J24" s="428"/>
      <c r="K24" s="805"/>
      <c r="L24" s="1255"/>
      <c r="M24" s="1246"/>
      <c r="N24" s="1246"/>
      <c r="O24" s="1254"/>
      <c r="P24" s="3003"/>
      <c r="Q24" s="1905"/>
      <c r="R24" s="754"/>
      <c r="S24" s="755"/>
      <c r="T24" s="754"/>
      <c r="U24" s="755"/>
      <c r="V24" s="754"/>
      <c r="W24" s="755"/>
      <c r="X24" s="1906"/>
      <c r="Y24" s="3003"/>
      <c r="Z24" s="1908"/>
      <c r="AA24" s="1909"/>
      <c r="AB24" s="1909"/>
      <c r="AC24" s="1909"/>
    </row>
    <row r="25" spans="1:29" ht="57">
      <c r="A25" s="384"/>
      <c r="B25" s="1493" t="s">
        <v>2551</v>
      </c>
      <c r="C25" s="2490" t="str">
        <f>估价对象房地状况!C20</f>
        <v>自然环境：什刹海公园、官园公园、护城河；人文环境：西城区青少年儿童图书馆、西城区图书馆（总馆）、恭王府、北京古代钱币博物馆、北京工艺美术博物馆；综合评价环境状况好。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03"/>
      <c r="Q25" s="1905" t="str">
        <f t="shared" si="8"/>
        <v>自然及人文环境状况</v>
      </c>
      <c r="R25" s="754" t="s">
        <v>25</v>
      </c>
      <c r="S25" s="755">
        <f>F25</f>
        <v>100</v>
      </c>
      <c r="T25" s="754" t="s">
        <v>25</v>
      </c>
      <c r="U25" s="755">
        <f>H25</f>
        <v>100</v>
      </c>
      <c r="V25" s="754" t="s">
        <v>25</v>
      </c>
      <c r="W25" s="755">
        <f>J25</f>
        <v>100</v>
      </c>
      <c r="X25" s="1906"/>
      <c r="Y25" s="300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03"/>
      <c r="Q26" s="1905"/>
      <c r="R26" s="754"/>
      <c r="S26" s="755"/>
      <c r="T26" s="754"/>
      <c r="U26" s="755"/>
      <c r="V26" s="754"/>
      <c r="W26" s="755"/>
      <c r="X26" s="1906"/>
      <c r="Y26" s="3003"/>
      <c r="Z26" s="1908"/>
      <c r="AA26" s="1909">
        <v>1</v>
      </c>
      <c r="AB26" s="1909">
        <v>1</v>
      </c>
      <c r="AC26" s="1909">
        <v>1</v>
      </c>
    </row>
    <row r="27" spans="1:29" ht="42.75">
      <c r="A27" s="384"/>
      <c r="B27" s="1493" t="s">
        <v>2453</v>
      </c>
      <c r="C27" s="2473" t="str">
        <f>估价对象房地状况!C21</f>
        <v>估价对象所在区域公共配套设施好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03"/>
      <c r="Q27" s="1893" t="str">
        <f t="shared" ref="Q27" si="9">B27</f>
        <v>公共配套设施</v>
      </c>
      <c r="R27" s="750" t="s">
        <v>25</v>
      </c>
      <c r="S27" s="751">
        <f>F27</f>
        <v>100</v>
      </c>
      <c r="T27" s="750" t="s">
        <v>25</v>
      </c>
      <c r="U27" s="751">
        <f>H27</f>
        <v>100</v>
      </c>
      <c r="V27" s="750" t="s">
        <v>25</v>
      </c>
      <c r="W27" s="751">
        <f>J27</f>
        <v>100</v>
      </c>
      <c r="X27" s="1906"/>
      <c r="Y27" s="3003"/>
      <c r="Z27" s="23" t="str">
        <f>Q27</f>
        <v>公共配套设施</v>
      </c>
      <c r="AA27" s="1909">
        <f>D27/F27</f>
        <v>1</v>
      </c>
      <c r="AB27" s="1909">
        <f>D27/H27</f>
        <v>1</v>
      </c>
      <c r="AC27" s="1909">
        <f>D27/J27</f>
        <v>1</v>
      </c>
    </row>
    <row r="28" spans="1:29" ht="15">
      <c r="A28" s="384"/>
      <c r="B28" s="1492"/>
      <c r="C28" s="2492"/>
      <c r="D28" s="428"/>
      <c r="E28" s="2492"/>
      <c r="F28" s="428"/>
      <c r="G28" s="2492"/>
      <c r="H28" s="428"/>
      <c r="I28" s="2492"/>
      <c r="J28" s="428"/>
      <c r="K28" s="656"/>
      <c r="L28" s="1255"/>
      <c r="M28" s="1246"/>
      <c r="N28" s="1246"/>
      <c r="O28" s="1254"/>
      <c r="P28" s="3003"/>
      <c r="Q28" s="1905"/>
      <c r="R28" s="754"/>
      <c r="S28" s="755"/>
      <c r="T28" s="754"/>
      <c r="U28" s="755"/>
      <c r="V28" s="754"/>
      <c r="W28" s="755"/>
      <c r="X28" s="1906"/>
      <c r="Y28" s="3003"/>
      <c r="Z28" s="23"/>
      <c r="AA28" s="1909">
        <v>1</v>
      </c>
      <c r="AB28" s="1909">
        <v>1</v>
      </c>
      <c r="AC28" s="1909">
        <v>1</v>
      </c>
    </row>
    <row r="29" spans="1:29" s="35" customFormat="1" ht="28.5">
      <c r="A29" s="634"/>
      <c r="B29" s="1493" t="s">
        <v>2454</v>
      </c>
      <c r="C29" s="2493"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03"/>
      <c r="Q29" s="1893" t="str">
        <f t="shared" si="8"/>
        <v>基础设施水平</v>
      </c>
      <c r="R29" s="750" t="s">
        <v>25</v>
      </c>
      <c r="S29" s="751">
        <f>F29</f>
        <v>100</v>
      </c>
      <c r="T29" s="750" t="s">
        <v>25</v>
      </c>
      <c r="U29" s="751">
        <f>H29</f>
        <v>100</v>
      </c>
      <c r="V29" s="750" t="s">
        <v>25</v>
      </c>
      <c r="W29" s="751">
        <f>J29</f>
        <v>100</v>
      </c>
      <c r="X29" s="752"/>
      <c r="Y29" s="3003"/>
      <c r="Z29" s="23" t="str">
        <f>Q29</f>
        <v>基础设施水平</v>
      </c>
      <c r="AA29" s="1909">
        <f>D29/F29</f>
        <v>1</v>
      </c>
      <c r="AB29" s="1909">
        <f>D29/H29</f>
        <v>1</v>
      </c>
      <c r="AC29" s="1909">
        <f>D29/J29</f>
        <v>1</v>
      </c>
    </row>
    <row r="30" spans="1:29" s="35" customFormat="1" ht="15">
      <c r="A30" s="634"/>
      <c r="B30" s="1492"/>
      <c r="C30" s="2492"/>
      <c r="D30" s="428"/>
      <c r="E30" s="2492"/>
      <c r="F30" s="428"/>
      <c r="G30" s="2492"/>
      <c r="H30" s="428"/>
      <c r="I30" s="2492"/>
      <c r="J30" s="428"/>
      <c r="K30" s="656"/>
      <c r="L30" s="1247"/>
      <c r="M30" s="1248"/>
      <c r="N30" s="1248"/>
      <c r="O30" s="1249"/>
      <c r="P30" s="3003"/>
      <c r="Q30" s="1893"/>
      <c r="R30" s="750"/>
      <c r="S30" s="751"/>
      <c r="T30" s="750"/>
      <c r="U30" s="751"/>
      <c r="V30" s="750"/>
      <c r="W30" s="751"/>
      <c r="X30" s="752"/>
      <c r="Y30" s="300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0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0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03"/>
      <c r="Q32" s="1905" t="str">
        <f t="shared" si="8"/>
        <v>毗邻道路的类型与等级</v>
      </c>
      <c r="R32" s="754" t="s">
        <v>25</v>
      </c>
      <c r="S32" s="755">
        <f t="shared" si="10"/>
        <v>100</v>
      </c>
      <c r="T32" s="754" t="s">
        <v>25</v>
      </c>
      <c r="U32" s="755">
        <f t="shared" si="11"/>
        <v>100</v>
      </c>
      <c r="V32" s="754" t="s">
        <v>25</v>
      </c>
      <c r="W32" s="755">
        <f t="shared" si="12"/>
        <v>100</v>
      </c>
      <c r="X32" s="1906"/>
      <c r="Y32" s="300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03"/>
      <c r="Q33" s="1905"/>
      <c r="R33" s="754"/>
      <c r="S33" s="755"/>
      <c r="T33" s="754"/>
      <c r="U33" s="755"/>
      <c r="V33" s="754"/>
      <c r="W33" s="755"/>
      <c r="X33" s="1906"/>
      <c r="Y33" s="300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03"/>
      <c r="Q34" s="1905" t="str">
        <f t="shared" si="8"/>
        <v>土地级别</v>
      </c>
      <c r="R34" s="754" t="s">
        <v>25</v>
      </c>
      <c r="S34" s="755">
        <f t="shared" si="10"/>
        <v>100</v>
      </c>
      <c r="T34" s="754" t="s">
        <v>25</v>
      </c>
      <c r="U34" s="755">
        <f t="shared" si="11"/>
        <v>100</v>
      </c>
      <c r="V34" s="754" t="s">
        <v>25</v>
      </c>
      <c r="W34" s="755">
        <f t="shared" si="12"/>
        <v>100</v>
      </c>
      <c r="X34" s="1906"/>
      <c r="Y34" s="300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03"/>
      <c r="Q35" s="1905">
        <f t="shared" si="8"/>
        <v>111</v>
      </c>
      <c r="R35" s="754" t="s">
        <v>25</v>
      </c>
      <c r="S35" s="755">
        <f t="shared" si="10"/>
        <v>100</v>
      </c>
      <c r="T35" s="754" t="s">
        <v>25</v>
      </c>
      <c r="U35" s="755">
        <f t="shared" si="11"/>
        <v>100</v>
      </c>
      <c r="V35" s="754" t="s">
        <v>25</v>
      </c>
      <c r="W35" s="755">
        <f t="shared" si="12"/>
        <v>100</v>
      </c>
      <c r="X35" s="1906"/>
      <c r="Y35" s="300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29" t="s">
        <v>2373</v>
      </c>
      <c r="Q36" s="1905">
        <f t="shared" si="8"/>
        <v>111</v>
      </c>
      <c r="R36" s="754" t="s">
        <v>25</v>
      </c>
      <c r="S36" s="755">
        <f t="shared" si="10"/>
        <v>100</v>
      </c>
      <c r="T36" s="754" t="s">
        <v>25</v>
      </c>
      <c r="U36" s="755">
        <f t="shared" si="11"/>
        <v>100</v>
      </c>
      <c r="V36" s="754" t="s">
        <v>25</v>
      </c>
      <c r="W36" s="755">
        <f t="shared" si="12"/>
        <v>100</v>
      </c>
      <c r="X36" s="1906"/>
      <c r="Y36" s="300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07"/>
      <c r="Q37" s="1905">
        <f t="shared" si="8"/>
        <v>111</v>
      </c>
      <c r="R37" s="757" t="s">
        <v>25</v>
      </c>
      <c r="S37" s="758">
        <f t="shared" si="10"/>
        <v>100</v>
      </c>
      <c r="T37" s="757" t="s">
        <v>25</v>
      </c>
      <c r="U37" s="758">
        <f t="shared" si="11"/>
        <v>100</v>
      </c>
      <c r="V37" s="757" t="s">
        <v>25</v>
      </c>
      <c r="W37" s="758">
        <f t="shared" si="12"/>
        <v>100</v>
      </c>
      <c r="X37" s="759"/>
      <c r="Y37" s="300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07"/>
      <c r="Q38" s="1905" t="str">
        <f>B38</f>
        <v>宗地面积</v>
      </c>
      <c r="R38" s="754" t="s">
        <v>25</v>
      </c>
      <c r="S38" s="755" t="e">
        <f t="shared" si="10"/>
        <v>#N/A</v>
      </c>
      <c r="T38" s="754" t="s">
        <v>25</v>
      </c>
      <c r="U38" s="755" t="e">
        <f t="shared" si="11"/>
        <v>#N/A</v>
      </c>
      <c r="V38" s="754" t="s">
        <v>25</v>
      </c>
      <c r="W38" s="755" t="e">
        <f t="shared" si="12"/>
        <v>#N/A</v>
      </c>
      <c r="X38" s="1906"/>
      <c r="Y38" s="3007"/>
      <c r="Z38" s="1908" t="str">
        <f t="shared" si="13"/>
        <v>宗地面积</v>
      </c>
      <c r="AA38" s="1909" t="e">
        <f t="shared" si="3"/>
        <v>#N/A</v>
      </c>
      <c r="AB38" s="1909" t="e">
        <f t="shared" si="4"/>
        <v>#N/A</v>
      </c>
      <c r="AC38" s="1909" t="e">
        <f t="shared" si="5"/>
        <v>#N/A</v>
      </c>
    </row>
    <row r="39" spans="1:29" ht="15">
      <c r="A39" s="454"/>
      <c r="B39" s="403" t="s">
        <v>2554</v>
      </c>
      <c r="C39" s="2416"/>
      <c r="D39" s="416">
        <v>100</v>
      </c>
      <c r="E39" s="2416"/>
      <c r="F39" s="416">
        <f>SUMIF(119:119,E39,120:120)-SUMIF(119:119,C39,120:120)+100</f>
        <v>100</v>
      </c>
      <c r="G39" s="2416"/>
      <c r="H39" s="416">
        <f>SUMIF(119:119,G39,120:120)-SUMIF(119:119,C39,120:120)+100</f>
        <v>100</v>
      </c>
      <c r="I39" s="2416"/>
      <c r="J39" s="416">
        <f>SUMIF(119:119,I39,120:120)-SUMIF(119:119,C39,120:120)+100</f>
        <v>100</v>
      </c>
      <c r="K39" s="597"/>
      <c r="L39" s="1255"/>
      <c r="M39" s="1246"/>
      <c r="N39" s="1246"/>
      <c r="O39" s="1254"/>
      <c r="P39" s="3007"/>
      <c r="Q39" s="1905" t="str">
        <f t="shared" ref="Q39:Q45" si="14">B39</f>
        <v>宗地形状</v>
      </c>
      <c r="R39" s="754" t="s">
        <v>25</v>
      </c>
      <c r="S39" s="755">
        <f t="shared" si="10"/>
        <v>100</v>
      </c>
      <c r="T39" s="754" t="s">
        <v>25</v>
      </c>
      <c r="U39" s="755">
        <f t="shared" si="11"/>
        <v>100</v>
      </c>
      <c r="V39" s="754" t="s">
        <v>25</v>
      </c>
      <c r="W39" s="755">
        <f t="shared" si="12"/>
        <v>100</v>
      </c>
      <c r="X39" s="1906"/>
      <c r="Y39" s="3007"/>
      <c r="Z39" s="1908" t="str">
        <f t="shared" si="13"/>
        <v>宗地形状</v>
      </c>
      <c r="AA39" s="1909">
        <f t="shared" si="3"/>
        <v>1</v>
      </c>
      <c r="AB39" s="1909">
        <f t="shared" si="4"/>
        <v>1</v>
      </c>
      <c r="AC39" s="1909">
        <f t="shared" si="5"/>
        <v>1</v>
      </c>
    </row>
    <row r="40" spans="1:29" ht="15">
      <c r="A40" s="454"/>
      <c r="B40" s="403" t="s">
        <v>2555</v>
      </c>
      <c r="C40" s="2416"/>
      <c r="D40" s="416">
        <v>100</v>
      </c>
      <c r="E40" s="2416"/>
      <c r="F40" s="416">
        <f>SUMIF(121:121,E40,122:122)-SUMIF(121:121,C40,122:122)+100</f>
        <v>100</v>
      </c>
      <c r="G40" s="2416"/>
      <c r="H40" s="416">
        <f>SUMIF(121:121,G40,122:122)-SUMIF(121:121,C40,122:122)+100</f>
        <v>100</v>
      </c>
      <c r="I40" s="2416"/>
      <c r="J40" s="416">
        <f>SUMIF(121:121,I40,122:122)-SUMIF(121:121,C40,122:122)+100</f>
        <v>100</v>
      </c>
      <c r="K40" s="597"/>
      <c r="L40" s="1255"/>
      <c r="M40" s="1246"/>
      <c r="N40" s="1246"/>
      <c r="O40" s="1254"/>
      <c r="P40" s="3007"/>
      <c r="Q40" s="1905" t="str">
        <f t="shared" si="14"/>
        <v>临街宽度及深度</v>
      </c>
      <c r="R40" s="754" t="s">
        <v>25</v>
      </c>
      <c r="S40" s="755">
        <f t="shared" si="10"/>
        <v>100</v>
      </c>
      <c r="T40" s="754" t="s">
        <v>25</v>
      </c>
      <c r="U40" s="755">
        <f t="shared" si="11"/>
        <v>100</v>
      </c>
      <c r="V40" s="754" t="s">
        <v>25</v>
      </c>
      <c r="W40" s="755">
        <f t="shared" si="12"/>
        <v>100</v>
      </c>
      <c r="X40" s="1906"/>
      <c r="Y40" s="3007"/>
      <c r="Z40" s="1908" t="str">
        <f t="shared" si="13"/>
        <v>临街宽度及深度</v>
      </c>
      <c r="AA40" s="1909">
        <f t="shared" si="3"/>
        <v>1</v>
      </c>
      <c r="AB40" s="1909">
        <f t="shared" si="4"/>
        <v>1</v>
      </c>
      <c r="AC40" s="1909">
        <f t="shared" si="5"/>
        <v>1</v>
      </c>
    </row>
    <row r="41" spans="1:29" s="35" customFormat="1" ht="15">
      <c r="A41" s="455"/>
      <c r="B41" s="403" t="s">
        <v>2556</v>
      </c>
      <c r="C41" s="2494"/>
      <c r="D41" s="52">
        <v>100</v>
      </c>
      <c r="E41" s="2494"/>
      <c r="F41" s="416">
        <f>SUMIF(123:123,E41,124:124)-SUMIF(123:123,C41,124:124)+100</f>
        <v>100</v>
      </c>
      <c r="G41" s="2494"/>
      <c r="H41" s="416">
        <f>SUMIF(123:123,G41,124:124)-SUMIF(123:123,C41,124:124)+100</f>
        <v>100</v>
      </c>
      <c r="I41" s="2494"/>
      <c r="J41" s="416">
        <f>SUMIF(123:123,I41,124:124)-SUMIF(123:123,C41,124:124)+100</f>
        <v>100</v>
      </c>
      <c r="K41" s="597"/>
      <c r="L41" s="1247"/>
      <c r="M41" s="1248"/>
      <c r="N41" s="1248"/>
      <c r="O41" s="1249"/>
      <c r="P41" s="3007"/>
      <c r="Q41" s="1905" t="str">
        <f t="shared" si="14"/>
        <v>宗地开发程度</v>
      </c>
      <c r="R41" s="750" t="s">
        <v>25</v>
      </c>
      <c r="S41" s="751">
        <f t="shared" si="10"/>
        <v>100</v>
      </c>
      <c r="T41" s="750" t="s">
        <v>25</v>
      </c>
      <c r="U41" s="751">
        <f t="shared" si="11"/>
        <v>100</v>
      </c>
      <c r="V41" s="750" t="s">
        <v>25</v>
      </c>
      <c r="W41" s="751">
        <f t="shared" si="12"/>
        <v>100</v>
      </c>
      <c r="X41" s="752"/>
      <c r="Y41" s="3007"/>
      <c r="Z41" s="23" t="str">
        <f t="shared" si="13"/>
        <v>宗地开发程度</v>
      </c>
      <c r="AA41" s="753">
        <f t="shared" si="3"/>
        <v>1</v>
      </c>
      <c r="AB41" s="753">
        <f t="shared" si="4"/>
        <v>1</v>
      </c>
      <c r="AC41" s="753">
        <f t="shared" si="5"/>
        <v>1</v>
      </c>
    </row>
    <row r="42" spans="1:29" ht="15">
      <c r="A42" s="454"/>
      <c r="B42" s="403" t="s">
        <v>2557</v>
      </c>
      <c r="C42" s="2416"/>
      <c r="D42" s="416">
        <v>100</v>
      </c>
      <c r="E42" s="2416"/>
      <c r="F42" s="416">
        <f>SUMIF(125:125,E42,126:126)-SUMIF(125:125,C42,126:126)+100</f>
        <v>100</v>
      </c>
      <c r="G42" s="2416"/>
      <c r="H42" s="416">
        <f>SUMIF(125:125,G42,126:126)-SUMIF(125:125,C42,126:126)+100</f>
        <v>100</v>
      </c>
      <c r="I42" s="2416"/>
      <c r="J42" s="416">
        <f>SUMIF(125:125,I42,126:126)-SUMIF(125:125,C42,126:126)+100</f>
        <v>100</v>
      </c>
      <c r="K42" s="597"/>
      <c r="L42" s="1255"/>
      <c r="M42" s="1246"/>
      <c r="N42" s="1246"/>
      <c r="O42" s="1254"/>
      <c r="P42" s="3007" t="s">
        <v>2373</v>
      </c>
      <c r="Q42" s="1905" t="str">
        <f t="shared" si="14"/>
        <v>工程地质条件</v>
      </c>
      <c r="R42" s="754" t="s">
        <v>25</v>
      </c>
      <c r="S42" s="755">
        <f t="shared" si="10"/>
        <v>100</v>
      </c>
      <c r="T42" s="754" t="s">
        <v>25</v>
      </c>
      <c r="U42" s="755">
        <f t="shared" si="11"/>
        <v>100</v>
      </c>
      <c r="V42" s="754" t="s">
        <v>25</v>
      </c>
      <c r="W42" s="755">
        <f t="shared" si="12"/>
        <v>100</v>
      </c>
      <c r="X42" s="1906"/>
      <c r="Y42" s="3007" t="s">
        <v>2373</v>
      </c>
      <c r="Z42" s="1908" t="str">
        <f t="shared" si="13"/>
        <v>工程地质条件</v>
      </c>
      <c r="AA42" s="1909">
        <f t="shared" si="3"/>
        <v>1</v>
      </c>
      <c r="AB42" s="1909">
        <f t="shared" si="4"/>
        <v>1</v>
      </c>
      <c r="AC42" s="1909">
        <f t="shared" si="5"/>
        <v>1</v>
      </c>
    </row>
    <row r="43" spans="1:29" ht="15">
      <c r="A43" s="454"/>
      <c r="B43" s="2495">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07"/>
      <c r="Q43" s="1905">
        <f t="shared" si="14"/>
        <v>111</v>
      </c>
      <c r="R43" s="754" t="s">
        <v>25</v>
      </c>
      <c r="S43" s="755">
        <f t="shared" si="10"/>
        <v>100</v>
      </c>
      <c r="T43" s="754" t="s">
        <v>25</v>
      </c>
      <c r="U43" s="755">
        <f t="shared" si="11"/>
        <v>100</v>
      </c>
      <c r="V43" s="754" t="s">
        <v>25</v>
      </c>
      <c r="W43" s="755">
        <f t="shared" si="12"/>
        <v>100</v>
      </c>
      <c r="X43" s="1906"/>
      <c r="Y43" s="3007"/>
      <c r="Z43" s="1908">
        <f t="shared" si="13"/>
        <v>111</v>
      </c>
      <c r="AA43" s="1909">
        <f t="shared" si="3"/>
        <v>1</v>
      </c>
      <c r="AB43" s="1909">
        <f t="shared" si="4"/>
        <v>1</v>
      </c>
      <c r="AC43" s="1909">
        <f t="shared" si="5"/>
        <v>1</v>
      </c>
    </row>
    <row r="44" spans="1:29" ht="15">
      <c r="A44" s="454"/>
      <c r="B44" s="2495">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07"/>
      <c r="Q44" s="1905">
        <f t="shared" si="14"/>
        <v>111</v>
      </c>
      <c r="R44" s="754" t="s">
        <v>25</v>
      </c>
      <c r="S44" s="755">
        <f t="shared" si="10"/>
        <v>100</v>
      </c>
      <c r="T44" s="754" t="s">
        <v>25</v>
      </c>
      <c r="U44" s="755">
        <f t="shared" si="11"/>
        <v>100</v>
      </c>
      <c r="V44" s="754" t="s">
        <v>25</v>
      </c>
      <c r="W44" s="755">
        <f t="shared" si="12"/>
        <v>100</v>
      </c>
      <c r="X44" s="1906"/>
      <c r="Y44" s="3007"/>
      <c r="Z44" s="1908">
        <f t="shared" si="13"/>
        <v>111</v>
      </c>
      <c r="AA44" s="1909">
        <f t="shared" si="3"/>
        <v>1</v>
      </c>
      <c r="AB44" s="1909">
        <f t="shared" si="4"/>
        <v>1</v>
      </c>
      <c r="AC44" s="1909">
        <f t="shared" si="5"/>
        <v>1</v>
      </c>
    </row>
    <row r="45" spans="1:29" s="453" customFormat="1" ht="15.75" thickBot="1">
      <c r="A45" s="450"/>
      <c r="B45" s="2495">
        <v>111</v>
      </c>
      <c r="C45" s="2496"/>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07"/>
      <c r="Q45" s="1905">
        <f t="shared" si="14"/>
        <v>111</v>
      </c>
      <c r="R45" s="757" t="s">
        <v>25</v>
      </c>
      <c r="S45" s="758">
        <f t="shared" si="10"/>
        <v>100</v>
      </c>
      <c r="T45" s="757" t="s">
        <v>25</v>
      </c>
      <c r="U45" s="758">
        <f t="shared" si="11"/>
        <v>100</v>
      </c>
      <c r="V45" s="757" t="s">
        <v>25</v>
      </c>
      <c r="W45" s="758">
        <f t="shared" si="12"/>
        <v>100</v>
      </c>
      <c r="X45" s="759"/>
      <c r="Y45" s="3007"/>
      <c r="Z45" s="760">
        <f t="shared" si="13"/>
        <v>111</v>
      </c>
      <c r="AA45" s="1909">
        <f t="shared" si="3"/>
        <v>1</v>
      </c>
      <c r="AB45" s="1909">
        <f t="shared" si="4"/>
        <v>1</v>
      </c>
      <c r="AC45" s="1909">
        <f t="shared" si="5"/>
        <v>1</v>
      </c>
    </row>
    <row r="46" spans="1:29" ht="15">
      <c r="A46" s="461" t="s">
        <v>2521</v>
      </c>
      <c r="B46" s="2497" t="s">
        <v>2558</v>
      </c>
      <c r="C46" s="666" t="s">
        <v>1</v>
      </c>
      <c r="D46" s="463"/>
      <c r="E46" s="464"/>
      <c r="F46" s="465"/>
      <c r="G46" s="466"/>
      <c r="H46" s="467"/>
      <c r="I46" s="464"/>
      <c r="J46" s="467"/>
      <c r="K46" s="763"/>
      <c r="L46" s="1258"/>
      <c r="M46" s="1259"/>
      <c r="N46" s="1246"/>
      <c r="O46" s="1259"/>
      <c r="P46" s="3013" t="str">
        <f>A46</f>
        <v>成交单价</v>
      </c>
      <c r="Q46" s="3013"/>
      <c r="R46" s="2993">
        <f>E46</f>
        <v>0</v>
      </c>
      <c r="S46" s="2993"/>
      <c r="T46" s="2993">
        <f>G46</f>
        <v>0</v>
      </c>
      <c r="U46" s="2993"/>
      <c r="V46" s="2993">
        <f>I46</f>
        <v>0</v>
      </c>
      <c r="W46" s="2993"/>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13" t="str">
        <f>A47</f>
        <v>比较价值（元/平方米）</v>
      </c>
      <c r="Q47" s="3013"/>
      <c r="R47" s="3030" t="e">
        <f>ROUND(PRODUCT(R46,AA7:AA45),0)</f>
        <v>#DIV/0!</v>
      </c>
      <c r="S47" s="3030"/>
      <c r="T47" s="3030" t="e">
        <f>ROUND(PRODUCT(T46,AB7:AB45),0)</f>
        <v>#DIV/0!</v>
      </c>
      <c r="U47" s="3030"/>
      <c r="V47" s="3030" t="e">
        <f>ROUND(PRODUCT(V46,AC7:AC45),0)</f>
        <v>#DIV/0!</v>
      </c>
      <c r="W47" s="3030"/>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19" t="str">
        <f>A48</f>
        <v>估价对象XX用房的比较价值（楼面单价，元/平方米）</v>
      </c>
      <c r="Q48" s="3020"/>
      <c r="R48" s="3031" t="e">
        <f>ROUND(AVERAGE(R47:V47),0)</f>
        <v>#DIV/0!</v>
      </c>
      <c r="S48" s="3031"/>
      <c r="T48" s="3031"/>
      <c r="U48" s="3031"/>
      <c r="V48" s="3031"/>
      <c r="W48" s="3031"/>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498" t="s">
        <v>2561</v>
      </c>
      <c r="D55" s="2499" t="s">
        <v>2562</v>
      </c>
      <c r="E55" s="670" t="s">
        <v>2563</v>
      </c>
      <c r="F55" s="671" t="s">
        <v>2564</v>
      </c>
      <c r="G55" s="62" t="s">
        <v>2565</v>
      </c>
      <c r="H55" s="62">
        <f>项目基本情况!G8</f>
        <v>0</v>
      </c>
      <c r="I55" s="2500"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2570</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2571</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2572</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2573</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2574</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2575</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2576</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2017-9-1</v>
      </c>
      <c r="D68" s="1676">
        <f>EDATE(C68,-3)</f>
        <v>42887</v>
      </c>
      <c r="E68" s="1676">
        <f t="shared" ref="E68:O68" si="18">EDATE(D68,-3)</f>
        <v>42795</v>
      </c>
      <c r="F68" s="1676">
        <f t="shared" si="18"/>
        <v>42705</v>
      </c>
      <c r="G68" s="1676">
        <f t="shared" si="18"/>
        <v>42614</v>
      </c>
      <c r="H68" s="1676">
        <f t="shared" si="18"/>
        <v>42522</v>
      </c>
      <c r="I68" s="1676">
        <f t="shared" si="18"/>
        <v>42430</v>
      </c>
      <c r="J68" s="1676">
        <f t="shared" si="18"/>
        <v>42339</v>
      </c>
      <c r="K68" s="1676">
        <f t="shared" si="18"/>
        <v>42248</v>
      </c>
      <c r="L68" s="1676">
        <f t="shared" si="18"/>
        <v>42156</v>
      </c>
      <c r="M68" s="1676">
        <f t="shared" si="18"/>
        <v>42064</v>
      </c>
      <c r="N68" s="1676">
        <f t="shared" si="18"/>
        <v>41974</v>
      </c>
      <c r="O68" s="1676">
        <f t="shared" si="18"/>
        <v>41883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1" t="s">
        <v>2578</v>
      </c>
      <c r="B70" s="1458"/>
      <c r="C70" s="1677" t="str">
        <f>YEAR(C68)&amp;"-"&amp;ROUNDUP(MONTH(C68)/3,0)</f>
        <v>2017-3</v>
      </c>
      <c r="D70" s="1677" t="str">
        <f>YEAR(D68)&amp;"-"&amp;ROUNDUP(MONTH(D68)/3,0)</f>
        <v>2017-2</v>
      </c>
      <c r="E70" s="1677" t="str">
        <f t="shared" ref="E70:O70" si="19">YEAR(E68)&amp;"-"&amp;ROUNDUP(MONTH(E68)/3,0)</f>
        <v>2017-1</v>
      </c>
      <c r="F70" s="1677" t="str">
        <f t="shared" si="19"/>
        <v>2016-4</v>
      </c>
      <c r="G70" s="1677" t="str">
        <f t="shared" si="19"/>
        <v>2016-3</v>
      </c>
      <c r="H70" s="1677" t="str">
        <f t="shared" si="19"/>
        <v>2016-2</v>
      </c>
      <c r="I70" s="1677" t="str">
        <f t="shared" si="19"/>
        <v>2016-1</v>
      </c>
      <c r="J70" s="1677" t="str">
        <f t="shared" si="19"/>
        <v>2015-4</v>
      </c>
      <c r="K70" s="1677" t="str">
        <f t="shared" si="19"/>
        <v>2015-3</v>
      </c>
      <c r="L70" s="1677" t="str">
        <f t="shared" si="19"/>
        <v>2015-2</v>
      </c>
      <c r="M70" s="1677" t="str">
        <f t="shared" si="19"/>
        <v>2015-1</v>
      </c>
      <c r="N70" s="1677" t="str">
        <f t="shared" si="19"/>
        <v>2014-4</v>
      </c>
      <c r="O70" s="1677" t="str">
        <f t="shared" si="19"/>
        <v>2014-3</v>
      </c>
      <c r="P70" s="1679"/>
    </row>
    <row r="71" spans="1:17" s="35" customFormat="1" ht="29.25" customHeight="1">
      <c r="A71" s="2502"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2977" t="s">
        <v>2343</v>
      </c>
      <c r="D4" s="2978"/>
      <c r="E4" s="2979" t="s">
        <v>2344</v>
      </c>
      <c r="F4" s="2980"/>
      <c r="G4" s="2977" t="s">
        <v>2345</v>
      </c>
      <c r="H4" s="2978"/>
      <c r="I4" s="2977" t="s">
        <v>2346</v>
      </c>
      <c r="J4" s="2978"/>
      <c r="K4" s="595" t="s">
        <v>2347</v>
      </c>
      <c r="L4" s="1245"/>
      <c r="M4" s="1246"/>
      <c r="N4" s="1246"/>
      <c r="O4" s="1246"/>
      <c r="P4" s="2981" t="s">
        <v>2348</v>
      </c>
      <c r="Q4" s="2982"/>
      <c r="R4" s="2987" t="s">
        <v>2344</v>
      </c>
      <c r="S4" s="2988"/>
      <c r="T4" s="2987" t="s">
        <v>2345</v>
      </c>
      <c r="U4" s="2988"/>
      <c r="V4" s="2993" t="s">
        <v>2346</v>
      </c>
      <c r="W4" s="2993"/>
      <c r="X4" s="1906"/>
      <c r="Y4" s="2987" t="s">
        <v>2348</v>
      </c>
      <c r="Z4" s="2988"/>
      <c r="AA4" s="2974" t="s">
        <v>2344</v>
      </c>
      <c r="AB4" s="2975" t="s">
        <v>2345</v>
      </c>
      <c r="AC4" s="2974" t="s">
        <v>2346</v>
      </c>
    </row>
    <row r="5" spans="1:29" ht="15">
      <c r="A5" s="384"/>
      <c r="B5" s="385"/>
      <c r="C5" s="2996" t="s">
        <v>2349</v>
      </c>
      <c r="D5" s="2997"/>
      <c r="E5" s="2994" t="s">
        <v>2350</v>
      </c>
      <c r="F5" s="2995"/>
      <c r="G5" s="2996" t="s">
        <v>2351</v>
      </c>
      <c r="H5" s="2997"/>
      <c r="I5" s="2996" t="s">
        <v>2352</v>
      </c>
      <c r="J5" s="2997"/>
      <c r="K5" s="595"/>
      <c r="L5" s="1245"/>
      <c r="M5" s="1246"/>
      <c r="N5" s="1246"/>
      <c r="O5" s="1246"/>
      <c r="P5" s="2983"/>
      <c r="Q5" s="2984"/>
      <c r="R5" s="2989"/>
      <c r="S5" s="2990"/>
      <c r="T5" s="2989"/>
      <c r="U5" s="2990"/>
      <c r="V5" s="2993"/>
      <c r="W5" s="2993"/>
      <c r="X5" s="1906"/>
      <c r="Y5" s="2989"/>
      <c r="Z5" s="2990"/>
      <c r="AA5" s="2975"/>
      <c r="AB5" s="2975"/>
      <c r="AC5" s="2975"/>
    </row>
    <row r="6" spans="1:29" ht="15.75" thickBot="1">
      <c r="A6" s="386"/>
      <c r="B6" s="387"/>
      <c r="C6" s="2998" t="s">
        <v>2353</v>
      </c>
      <c r="D6" s="2999"/>
      <c r="E6" s="3000" t="s">
        <v>2353</v>
      </c>
      <c r="F6" s="3001"/>
      <c r="G6" s="2998" t="s">
        <v>2353</v>
      </c>
      <c r="H6" s="2999"/>
      <c r="I6" s="2998" t="s">
        <v>2353</v>
      </c>
      <c r="J6" s="2999"/>
      <c r="K6" s="595" t="s">
        <v>2354</v>
      </c>
      <c r="L6" s="1245"/>
      <c r="M6" s="1246"/>
      <c r="N6" s="1246"/>
      <c r="O6" s="1246"/>
      <c r="P6" s="2985"/>
      <c r="Q6" s="2986"/>
      <c r="R6" s="2989"/>
      <c r="S6" s="2990"/>
      <c r="T6" s="2991"/>
      <c r="U6" s="2992"/>
      <c r="V6" s="2993"/>
      <c r="W6" s="2993"/>
      <c r="X6" s="1906"/>
      <c r="Y6" s="2991"/>
      <c r="Z6" s="2992"/>
      <c r="AA6" s="2976"/>
      <c r="AB6" s="2976"/>
      <c r="AC6" s="2976"/>
    </row>
    <row r="7" spans="1:29" s="35" customFormat="1" ht="15.75" thickBot="1">
      <c r="A7" s="388" t="s">
        <v>2355</v>
      </c>
      <c r="B7" s="389"/>
      <c r="C7" s="390">
        <f>'数据-取费表'!B2</f>
        <v>42990</v>
      </c>
      <c r="D7" s="391">
        <v>100</v>
      </c>
      <c r="E7" s="392"/>
      <c r="F7" s="393">
        <f>SUMIF(65:65,YEAR(E7)&amp;"-"&amp;INT((MONTH(E7)+2)/3),66:66)</f>
        <v>0</v>
      </c>
      <c r="G7" s="2471"/>
      <c r="H7" s="391">
        <f>SUMIF(65:65,YEAR(G7)&amp;"-"&amp;INT((MONTH(G7)+2)/3),66:66)</f>
        <v>0</v>
      </c>
      <c r="I7" s="2471"/>
      <c r="J7" s="391">
        <f>SUMIF(65:65,YEAR(I7)&amp;"-"&amp;INT((MONTH(I7)+2)/3),66:66)</f>
        <v>0</v>
      </c>
      <c r="K7" s="596"/>
      <c r="L7" s="1247"/>
      <c r="M7" s="1248"/>
      <c r="N7" s="1248"/>
      <c r="O7" s="1248"/>
      <c r="P7" s="3009" t="s">
        <v>2356</v>
      </c>
      <c r="Q7" s="3011"/>
      <c r="R7" s="750" t="s">
        <v>25</v>
      </c>
      <c r="S7" s="751">
        <f t="shared" ref="S7:S15" si="0">F7</f>
        <v>0</v>
      </c>
      <c r="T7" s="750" t="s">
        <v>25</v>
      </c>
      <c r="U7" s="751">
        <f t="shared" ref="U7:U15" si="1">H7</f>
        <v>0</v>
      </c>
      <c r="V7" s="750" t="s">
        <v>25</v>
      </c>
      <c r="W7" s="751">
        <f t="shared" ref="W7:W15" si="2">J7</f>
        <v>0</v>
      </c>
      <c r="X7" s="752"/>
      <c r="Y7" s="3009" t="s">
        <v>2356</v>
      </c>
      <c r="Z7" s="3010"/>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09" t="s">
        <v>2359</v>
      </c>
      <c r="Q8" s="3010"/>
      <c r="R8" s="750" t="s">
        <v>25</v>
      </c>
      <c r="S8" s="751">
        <f t="shared" si="0"/>
        <v>0</v>
      </c>
      <c r="T8" s="750" t="s">
        <v>25</v>
      </c>
      <c r="U8" s="751">
        <f t="shared" si="1"/>
        <v>0</v>
      </c>
      <c r="V8" s="750" t="s">
        <v>25</v>
      </c>
      <c r="W8" s="751">
        <f t="shared" si="2"/>
        <v>0</v>
      </c>
      <c r="X8" s="752"/>
      <c r="Y8" s="3009" t="s">
        <v>2359</v>
      </c>
      <c r="Z8" s="3010"/>
      <c r="AA8" s="753" t="e">
        <f t="shared" ref="AA8:AA40" si="3">D8/F8</f>
        <v>#DIV/0!</v>
      </c>
      <c r="AB8" s="753" t="e">
        <f t="shared" ref="AB8:AB40" si="4">D8/H8</f>
        <v>#DIV/0!</v>
      </c>
      <c r="AC8" s="753" t="e">
        <f t="shared" ref="AC8:AC40" si="5">D8/J8</f>
        <v>#DIV/0!</v>
      </c>
    </row>
    <row r="9" spans="1:29" s="35" customFormat="1">
      <c r="A9" s="396" t="s">
        <v>2360</v>
      </c>
      <c r="B9" s="28" t="s">
        <v>2361</v>
      </c>
      <c r="C9" s="2489" t="s">
        <v>2593</v>
      </c>
      <c r="D9" s="51">
        <v>100</v>
      </c>
      <c r="E9" s="2489"/>
      <c r="F9" s="51">
        <f>SUMIF(70:70,E9,71:71)-SUMIF(70:70,C9,71:71)+100</f>
        <v>100</v>
      </c>
      <c r="G9" s="2489"/>
      <c r="H9" s="51">
        <f>SUMIF(70:70,G9,71:71)-SUMIF(70:70,C9,71:71)+100</f>
        <v>100</v>
      </c>
      <c r="I9" s="2489"/>
      <c r="J9" s="51">
        <f>SUMIF(70:70,I9,71:71)-SUMIF(70:70,C9,71:71)+100</f>
        <v>100</v>
      </c>
      <c r="K9" s="596"/>
      <c r="L9" s="1247"/>
      <c r="M9" s="1248"/>
      <c r="N9" s="1248"/>
      <c r="O9" s="1249"/>
      <c r="P9" s="3013" t="s">
        <v>2362</v>
      </c>
      <c r="Q9" s="1893" t="str">
        <f t="shared" ref="Q9:Q15" si="6">B9</f>
        <v>用途</v>
      </c>
      <c r="R9" s="750" t="s">
        <v>25</v>
      </c>
      <c r="S9" s="751">
        <f t="shared" si="0"/>
        <v>100</v>
      </c>
      <c r="T9" s="750" t="s">
        <v>25</v>
      </c>
      <c r="U9" s="751">
        <f t="shared" si="1"/>
        <v>100</v>
      </c>
      <c r="V9" s="750" t="s">
        <v>25</v>
      </c>
      <c r="W9" s="751">
        <f t="shared" si="2"/>
        <v>100</v>
      </c>
      <c r="X9" s="752"/>
      <c r="Y9" s="282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117</v>
      </c>
      <c r="G10" s="413"/>
      <c r="H10" s="52">
        <f>ROUND(100/'数据-取费表'!B14,0)</f>
        <v>117</v>
      </c>
      <c r="I10" s="413"/>
      <c r="J10" s="52">
        <f>ROUND(100/'数据-取费表'!B14,0)</f>
        <v>117</v>
      </c>
      <c r="K10" s="656"/>
      <c r="L10" s="1250"/>
      <c r="M10" s="1251"/>
      <c r="N10" s="1251"/>
      <c r="O10" s="1252"/>
      <c r="P10" s="3013"/>
      <c r="Q10" s="1893" t="str">
        <f t="shared" si="6"/>
        <v>土地使用年限（年）</v>
      </c>
      <c r="R10" s="750" t="s">
        <v>25</v>
      </c>
      <c r="S10" s="751">
        <f t="shared" si="0"/>
        <v>117</v>
      </c>
      <c r="T10" s="750" t="s">
        <v>25</v>
      </c>
      <c r="U10" s="751">
        <f t="shared" si="1"/>
        <v>117</v>
      </c>
      <c r="V10" s="750" t="s">
        <v>25</v>
      </c>
      <c r="W10" s="751">
        <f t="shared" si="2"/>
        <v>117</v>
      </c>
      <c r="X10" s="752"/>
      <c r="Y10" s="2825"/>
      <c r="Z10" s="23" t="str">
        <f t="shared" si="7"/>
        <v>土地使用年限（年）</v>
      </c>
      <c r="AA10" s="753">
        <f t="shared" si="3"/>
        <v>0.85470085470085466</v>
      </c>
      <c r="AB10" s="753">
        <f t="shared" si="4"/>
        <v>0.85470085470085466</v>
      </c>
      <c r="AC10" s="753">
        <f t="shared" si="5"/>
        <v>0.85470085470085466</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13"/>
      <c r="Q11" s="1893" t="str">
        <f t="shared" si="6"/>
        <v>容积率</v>
      </c>
      <c r="R11" s="750" t="s">
        <v>25</v>
      </c>
      <c r="S11" s="751" t="e">
        <f t="shared" si="0"/>
        <v>#N/A</v>
      </c>
      <c r="T11" s="750" t="s">
        <v>25</v>
      </c>
      <c r="U11" s="751" t="e">
        <f t="shared" si="1"/>
        <v>#N/A</v>
      </c>
      <c r="V11" s="750" t="s">
        <v>25</v>
      </c>
      <c r="W11" s="751" t="e">
        <f t="shared" si="2"/>
        <v>#N/A</v>
      </c>
      <c r="X11" s="752"/>
      <c r="Y11" s="2825"/>
      <c r="Z11" s="23" t="str">
        <f t="shared" si="7"/>
        <v>容积率</v>
      </c>
      <c r="AA11" s="753" t="e">
        <f t="shared" si="3"/>
        <v>#N/A</v>
      </c>
      <c r="AB11" s="753" t="e">
        <f t="shared" si="4"/>
        <v>#N/A</v>
      </c>
      <c r="AC11" s="753" t="e">
        <f t="shared" si="5"/>
        <v>#N/A</v>
      </c>
    </row>
    <row r="12" spans="1:29" s="35" customFormat="1" ht="15">
      <c r="A12" s="412"/>
      <c r="B12" s="2404">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13"/>
      <c r="Q12" s="1893">
        <f t="shared" si="6"/>
        <v>111</v>
      </c>
      <c r="R12" s="750" t="s">
        <v>25</v>
      </c>
      <c r="S12" s="751">
        <f t="shared" si="0"/>
        <v>100</v>
      </c>
      <c r="T12" s="750" t="s">
        <v>25</v>
      </c>
      <c r="U12" s="751">
        <f t="shared" si="1"/>
        <v>100</v>
      </c>
      <c r="V12" s="750" t="s">
        <v>25</v>
      </c>
      <c r="W12" s="751">
        <f t="shared" si="2"/>
        <v>100</v>
      </c>
      <c r="X12" s="752"/>
      <c r="Y12" s="2825"/>
      <c r="Z12" s="23">
        <f t="shared" si="7"/>
        <v>111</v>
      </c>
      <c r="AA12" s="753">
        <f>D12/F12</f>
        <v>1</v>
      </c>
      <c r="AB12" s="753">
        <f>D12/H12</f>
        <v>1</v>
      </c>
      <c r="AC12" s="753">
        <f>D12/J12</f>
        <v>1</v>
      </c>
    </row>
    <row r="13" spans="1:29" ht="15">
      <c r="A13" s="409"/>
      <c r="B13" s="2404">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13"/>
      <c r="Q13" s="1893">
        <f t="shared" si="6"/>
        <v>111</v>
      </c>
      <c r="R13" s="750" t="s">
        <v>25</v>
      </c>
      <c r="S13" s="751">
        <f t="shared" si="0"/>
        <v>100</v>
      </c>
      <c r="T13" s="750" t="s">
        <v>25</v>
      </c>
      <c r="U13" s="751">
        <f t="shared" si="1"/>
        <v>100</v>
      </c>
      <c r="V13" s="750" t="s">
        <v>25</v>
      </c>
      <c r="W13" s="751">
        <f t="shared" si="2"/>
        <v>100</v>
      </c>
      <c r="X13" s="752"/>
      <c r="Y13" s="2825"/>
      <c r="Z13" s="23">
        <f t="shared" si="7"/>
        <v>111</v>
      </c>
      <c r="AA13" s="753">
        <f t="shared" si="3"/>
        <v>1</v>
      </c>
      <c r="AB13" s="753">
        <f t="shared" si="4"/>
        <v>1</v>
      </c>
      <c r="AC13" s="753">
        <f t="shared" si="5"/>
        <v>1</v>
      </c>
    </row>
    <row r="14" spans="1:29" ht="15.75" thickBot="1">
      <c r="A14" s="417"/>
      <c r="B14" s="2406">
        <v>111</v>
      </c>
      <c r="C14" s="2407">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13"/>
      <c r="Q14" s="1893">
        <f t="shared" si="6"/>
        <v>111</v>
      </c>
      <c r="R14" s="750" t="s">
        <v>25</v>
      </c>
      <c r="S14" s="751">
        <f t="shared" si="0"/>
        <v>100</v>
      </c>
      <c r="T14" s="750" t="s">
        <v>25</v>
      </c>
      <c r="U14" s="751">
        <f t="shared" si="1"/>
        <v>100</v>
      </c>
      <c r="V14" s="750" t="s">
        <v>25</v>
      </c>
      <c r="W14" s="751">
        <f t="shared" si="2"/>
        <v>100</v>
      </c>
      <c r="X14" s="752"/>
      <c r="Y14" s="2825"/>
      <c r="Z14" s="23">
        <f t="shared" si="7"/>
        <v>111</v>
      </c>
      <c r="AA14" s="753">
        <f t="shared" si="3"/>
        <v>1</v>
      </c>
      <c r="AB14" s="753">
        <f t="shared" si="4"/>
        <v>1</v>
      </c>
      <c r="AC14" s="753">
        <f t="shared" si="5"/>
        <v>1</v>
      </c>
    </row>
    <row r="15" spans="1:29" ht="57">
      <c r="A15" s="420" t="s">
        <v>2366</v>
      </c>
      <c r="B15" s="614" t="s">
        <v>2594</v>
      </c>
      <c r="C15" s="2484"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02" t="s">
        <v>2367</v>
      </c>
      <c r="Q15" s="1905" t="str">
        <f t="shared" si="6"/>
        <v>产业集聚程度</v>
      </c>
      <c r="R15" s="754" t="s">
        <v>25</v>
      </c>
      <c r="S15" s="755">
        <f t="shared" si="0"/>
        <v>100</v>
      </c>
      <c r="T15" s="754" t="s">
        <v>25</v>
      </c>
      <c r="U15" s="755">
        <f t="shared" si="1"/>
        <v>100</v>
      </c>
      <c r="V15" s="754" t="s">
        <v>25</v>
      </c>
      <c r="W15" s="755">
        <f t="shared" si="2"/>
        <v>100</v>
      </c>
      <c r="X15" s="1906"/>
      <c r="Y15" s="300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03"/>
      <c r="Q16" s="1905"/>
      <c r="R16" s="754"/>
      <c r="S16" s="755"/>
      <c r="T16" s="754"/>
      <c r="U16" s="755"/>
      <c r="V16" s="754"/>
      <c r="W16" s="755"/>
      <c r="X16" s="1906"/>
      <c r="Y16" s="3003"/>
      <c r="Z16" s="1908"/>
      <c r="AA16" s="1909">
        <v>1</v>
      </c>
      <c r="AB16" s="1909">
        <v>1</v>
      </c>
      <c r="AC16" s="1909">
        <v>1</v>
      </c>
    </row>
    <row r="17" spans="1:29" ht="85.5">
      <c r="A17" s="409"/>
      <c r="B17" s="616" t="s">
        <v>2510</v>
      </c>
      <c r="C17" s="2411"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03"/>
      <c r="Q17" s="1905" t="str">
        <f>B17</f>
        <v>交通便捷度</v>
      </c>
      <c r="R17" s="754" t="s">
        <v>25</v>
      </c>
      <c r="S17" s="755">
        <f>F17</f>
        <v>100</v>
      </c>
      <c r="T17" s="754" t="s">
        <v>25</v>
      </c>
      <c r="U17" s="755">
        <f>H17</f>
        <v>100</v>
      </c>
      <c r="V17" s="754" t="s">
        <v>25</v>
      </c>
      <c r="W17" s="755">
        <f>J17</f>
        <v>100</v>
      </c>
      <c r="X17" s="1906"/>
      <c r="Y17" s="300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09"/>
      <c r="J18" s="428"/>
      <c r="K18" s="656"/>
      <c r="L18" s="1255"/>
      <c r="M18" s="1246"/>
      <c r="N18" s="1246"/>
      <c r="O18" s="1254"/>
      <c r="P18" s="3003"/>
      <c r="Q18" s="1905"/>
      <c r="R18" s="754"/>
      <c r="S18" s="755"/>
      <c r="T18" s="754"/>
      <c r="U18" s="755"/>
      <c r="V18" s="754"/>
      <c r="W18" s="755"/>
      <c r="X18" s="1906"/>
      <c r="Y18" s="3003"/>
      <c r="Z18" s="1908"/>
      <c r="AA18" s="1909">
        <v>1</v>
      </c>
      <c r="AB18" s="1909">
        <v>1</v>
      </c>
      <c r="AC18" s="1909">
        <v>1</v>
      </c>
    </row>
    <row r="19" spans="1:29" ht="15">
      <c r="A19" s="409"/>
      <c r="B19" s="616" t="s">
        <v>2550</v>
      </c>
      <c r="C19" s="2411">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03"/>
      <c r="Q19" s="1905" t="str">
        <f t="shared" ref="Q19:Q33" si="8">B19</f>
        <v>区域土地利用方向</v>
      </c>
      <c r="R19" s="754" t="s">
        <v>25</v>
      </c>
      <c r="S19" s="755">
        <f>F19</f>
        <v>100</v>
      </c>
      <c r="T19" s="754" t="s">
        <v>25</v>
      </c>
      <c r="U19" s="755">
        <f>H19</f>
        <v>100</v>
      </c>
      <c r="V19" s="754" t="s">
        <v>25</v>
      </c>
      <c r="W19" s="755">
        <f>J19</f>
        <v>100</v>
      </c>
      <c r="X19" s="1906"/>
      <c r="Y19" s="300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03"/>
      <c r="Q20" s="1905"/>
      <c r="R20" s="754"/>
      <c r="S20" s="755"/>
      <c r="T20" s="754"/>
      <c r="U20" s="755"/>
      <c r="V20" s="754"/>
      <c r="W20" s="755"/>
      <c r="X20" s="1906"/>
      <c r="Y20" s="3003"/>
      <c r="Z20" s="1908"/>
      <c r="AA20" s="1909"/>
      <c r="AB20" s="1909"/>
      <c r="AC20" s="1909"/>
    </row>
    <row r="21" spans="1:29" ht="71.25">
      <c r="A21" s="384"/>
      <c r="B21" s="616" t="s">
        <v>2595</v>
      </c>
      <c r="C21" s="2411"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03"/>
      <c r="Q21" s="1905" t="str">
        <f t="shared" si="8"/>
        <v>环境状况</v>
      </c>
      <c r="R21" s="754" t="s">
        <v>25</v>
      </c>
      <c r="S21" s="755">
        <f>F21</f>
        <v>100</v>
      </c>
      <c r="T21" s="754" t="s">
        <v>25</v>
      </c>
      <c r="U21" s="755">
        <f>H21</f>
        <v>100</v>
      </c>
      <c r="V21" s="754" t="s">
        <v>25</v>
      </c>
      <c r="W21" s="755">
        <f>J21</f>
        <v>100</v>
      </c>
      <c r="X21" s="1906"/>
      <c r="Y21" s="300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03"/>
      <c r="Q22" s="1905"/>
      <c r="R22" s="754"/>
      <c r="S22" s="755"/>
      <c r="T22" s="754"/>
      <c r="U22" s="755"/>
      <c r="V22" s="754"/>
      <c r="W22" s="755"/>
      <c r="X22" s="1906"/>
      <c r="Y22" s="3003"/>
      <c r="Z22" s="1908"/>
      <c r="AA22" s="1909">
        <v>1</v>
      </c>
      <c r="AB22" s="1909">
        <v>1</v>
      </c>
      <c r="AC22" s="1909">
        <v>1</v>
      </c>
    </row>
    <row r="23" spans="1:29" s="35" customFormat="1" ht="42.75">
      <c r="A23" s="634"/>
      <c r="B23" s="616" t="s">
        <v>2453</v>
      </c>
      <c r="C23" s="2411"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03"/>
      <c r="Q23" s="1893" t="str">
        <f t="shared" si="8"/>
        <v>公共配套设施</v>
      </c>
      <c r="R23" s="750" t="s">
        <v>25</v>
      </c>
      <c r="S23" s="751">
        <f>F23</f>
        <v>100</v>
      </c>
      <c r="T23" s="750" t="s">
        <v>25</v>
      </c>
      <c r="U23" s="751">
        <f>H23</f>
        <v>100</v>
      </c>
      <c r="V23" s="750" t="s">
        <v>25</v>
      </c>
      <c r="W23" s="751">
        <f>J23</f>
        <v>100</v>
      </c>
      <c r="X23" s="752"/>
      <c r="Y23" s="3003"/>
      <c r="Z23" s="23" t="str">
        <f>Q23</f>
        <v>公共配套设施</v>
      </c>
      <c r="AA23" s="1909">
        <f>D23/F23</f>
        <v>1</v>
      </c>
      <c r="AB23" s="1909">
        <f>D23/H23</f>
        <v>1</v>
      </c>
      <c r="AC23" s="1909">
        <f>D23/J23</f>
        <v>1</v>
      </c>
    </row>
    <row r="24" spans="1:29" s="35" customFormat="1" ht="15">
      <c r="A24" s="634"/>
      <c r="B24" s="617"/>
      <c r="C24" s="2503"/>
      <c r="D24" s="428"/>
      <c r="E24" s="1474"/>
      <c r="F24" s="428"/>
      <c r="G24" s="1474"/>
      <c r="H24" s="428"/>
      <c r="I24" s="427"/>
      <c r="J24" s="428"/>
      <c r="K24" s="656"/>
      <c r="L24" s="1247"/>
      <c r="M24" s="1248"/>
      <c r="N24" s="1248"/>
      <c r="O24" s="1249"/>
      <c r="P24" s="3003"/>
      <c r="Q24" s="1893"/>
      <c r="R24" s="750"/>
      <c r="S24" s="751"/>
      <c r="T24" s="750"/>
      <c r="U24" s="751"/>
      <c r="V24" s="750"/>
      <c r="W24" s="751"/>
      <c r="X24" s="752"/>
      <c r="Y24" s="3003"/>
      <c r="Z24" s="23"/>
      <c r="AA24" s="753">
        <v>1</v>
      </c>
      <c r="AB24" s="753">
        <v>1</v>
      </c>
      <c r="AC24" s="753">
        <v>1</v>
      </c>
    </row>
    <row r="25" spans="1:29" s="35" customFormat="1" ht="28.5">
      <c r="A25" s="634"/>
      <c r="B25" s="618" t="s">
        <v>2454</v>
      </c>
      <c r="C25" s="2411"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03"/>
      <c r="Q25" s="1893" t="str">
        <f t="shared" ref="Q25" si="9">B25</f>
        <v>基础设施水平</v>
      </c>
      <c r="R25" s="750" t="s">
        <v>25</v>
      </c>
      <c r="S25" s="751">
        <f>F25</f>
        <v>100</v>
      </c>
      <c r="T25" s="750" t="s">
        <v>25</v>
      </c>
      <c r="U25" s="751">
        <f>H25</f>
        <v>100</v>
      </c>
      <c r="V25" s="750" t="s">
        <v>25</v>
      </c>
      <c r="W25" s="751">
        <f>J25</f>
        <v>100</v>
      </c>
      <c r="X25" s="752"/>
      <c r="Y25" s="3003"/>
      <c r="Z25" s="23" t="str">
        <f>Q25</f>
        <v>基础设施水平</v>
      </c>
      <c r="AA25" s="1909">
        <f>D25/F25</f>
        <v>1</v>
      </c>
      <c r="AB25" s="1909">
        <f>D25/H25</f>
        <v>1</v>
      </c>
      <c r="AC25" s="1909">
        <f>D25/J25</f>
        <v>1</v>
      </c>
    </row>
    <row r="26" spans="1:29" s="35" customFormat="1" ht="15">
      <c r="A26" s="634"/>
      <c r="B26" s="617"/>
      <c r="C26" s="2503"/>
      <c r="D26" s="428"/>
      <c r="E26" s="2492"/>
      <c r="F26" s="428"/>
      <c r="G26" s="2492"/>
      <c r="H26" s="428"/>
      <c r="I26" s="2492"/>
      <c r="J26" s="428"/>
      <c r="K26" s="656"/>
      <c r="L26" s="1247"/>
      <c r="M26" s="1248"/>
      <c r="N26" s="1248"/>
      <c r="O26" s="1249"/>
      <c r="P26" s="3003"/>
      <c r="Q26" s="1893"/>
      <c r="R26" s="750"/>
      <c r="S26" s="751"/>
      <c r="T26" s="750"/>
      <c r="U26" s="751"/>
      <c r="V26" s="750"/>
      <c r="W26" s="751"/>
      <c r="X26" s="752"/>
      <c r="Y26" s="300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0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03"/>
      <c r="Z27" s="1908" t="str">
        <f t="shared" ref="Z27:Z40" si="13">Q27</f>
        <v>临街状况</v>
      </c>
      <c r="AA27" s="1909">
        <f t="shared" si="3"/>
        <v>1</v>
      </c>
      <c r="AB27" s="1909">
        <f t="shared" si="4"/>
        <v>1</v>
      </c>
      <c r="AC27" s="1909">
        <f t="shared" si="5"/>
        <v>1</v>
      </c>
    </row>
    <row r="28" spans="1:29" ht="27">
      <c r="A28" s="409"/>
      <c r="B28" s="618" t="s">
        <v>2485</v>
      </c>
      <c r="C28" s="2504">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03"/>
      <c r="Q28" s="1905" t="str">
        <f t="shared" si="8"/>
        <v>毗邻道路的类型与等级</v>
      </c>
      <c r="R28" s="754" t="s">
        <v>25</v>
      </c>
      <c r="S28" s="755">
        <f t="shared" si="10"/>
        <v>100</v>
      </c>
      <c r="T28" s="754" t="s">
        <v>25</v>
      </c>
      <c r="U28" s="755">
        <f t="shared" si="11"/>
        <v>100</v>
      </c>
      <c r="V28" s="754" t="s">
        <v>25</v>
      </c>
      <c r="W28" s="755">
        <f t="shared" si="12"/>
        <v>100</v>
      </c>
      <c r="X28" s="1906"/>
      <c r="Y28" s="300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03"/>
      <c r="Q29" s="1905"/>
      <c r="R29" s="754"/>
      <c r="S29" s="755"/>
      <c r="T29" s="754"/>
      <c r="U29" s="755"/>
      <c r="V29" s="754"/>
      <c r="W29" s="755"/>
      <c r="X29" s="1906"/>
      <c r="Y29" s="300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03"/>
      <c r="Q30" s="1905" t="str">
        <f t="shared" si="8"/>
        <v>土地级别</v>
      </c>
      <c r="R30" s="754" t="s">
        <v>25</v>
      </c>
      <c r="S30" s="755">
        <f t="shared" si="10"/>
        <v>100</v>
      </c>
      <c r="T30" s="754" t="s">
        <v>25</v>
      </c>
      <c r="U30" s="755">
        <f t="shared" si="11"/>
        <v>100</v>
      </c>
      <c r="V30" s="754" t="s">
        <v>25</v>
      </c>
      <c r="W30" s="755">
        <f t="shared" si="12"/>
        <v>100</v>
      </c>
      <c r="X30" s="1906"/>
      <c r="Y30" s="3003"/>
      <c r="Z30" s="1908" t="str">
        <f t="shared" si="13"/>
        <v>土地级别</v>
      </c>
      <c r="AA30" s="1909">
        <f t="shared" si="3"/>
        <v>1</v>
      </c>
      <c r="AB30" s="1909">
        <f t="shared" si="4"/>
        <v>1</v>
      </c>
      <c r="AC30" s="1909">
        <f t="shared" si="5"/>
        <v>1</v>
      </c>
    </row>
    <row r="31" spans="1:29" ht="15">
      <c r="A31" s="384"/>
      <c r="B31" s="2477">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03"/>
      <c r="Q31" s="1905">
        <f t="shared" si="8"/>
        <v>111</v>
      </c>
      <c r="R31" s="754" t="s">
        <v>25</v>
      </c>
      <c r="S31" s="755">
        <f t="shared" si="10"/>
        <v>100</v>
      </c>
      <c r="T31" s="754" t="s">
        <v>25</v>
      </c>
      <c r="U31" s="755">
        <f t="shared" si="11"/>
        <v>100</v>
      </c>
      <c r="V31" s="754" t="s">
        <v>25</v>
      </c>
      <c r="W31" s="755">
        <f t="shared" si="12"/>
        <v>100</v>
      </c>
      <c r="X31" s="1906"/>
      <c r="Y31" s="3003"/>
      <c r="Z31" s="1908">
        <f t="shared" si="13"/>
        <v>111</v>
      </c>
      <c r="AA31" s="1909">
        <f t="shared" si="3"/>
        <v>1</v>
      </c>
      <c r="AB31" s="1909">
        <f t="shared" si="4"/>
        <v>1</v>
      </c>
      <c r="AC31" s="1909">
        <f t="shared" si="5"/>
        <v>1</v>
      </c>
    </row>
    <row r="32" spans="1:29" ht="15">
      <c r="A32" s="659"/>
      <c r="B32" s="2505">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29" t="s">
        <v>2373</v>
      </c>
      <c r="Q32" s="1905">
        <f t="shared" si="8"/>
        <v>111</v>
      </c>
      <c r="R32" s="754" t="s">
        <v>25</v>
      </c>
      <c r="S32" s="755">
        <f t="shared" si="10"/>
        <v>100</v>
      </c>
      <c r="T32" s="754" t="s">
        <v>25</v>
      </c>
      <c r="U32" s="755">
        <f t="shared" si="11"/>
        <v>100</v>
      </c>
      <c r="V32" s="754" t="s">
        <v>25</v>
      </c>
      <c r="W32" s="755">
        <f t="shared" si="12"/>
        <v>100</v>
      </c>
      <c r="X32" s="1906"/>
      <c r="Y32" s="3007" t="s">
        <v>2373</v>
      </c>
      <c r="Z32" s="1908">
        <f t="shared" si="13"/>
        <v>111</v>
      </c>
      <c r="AA32" s="1909">
        <f t="shared" si="3"/>
        <v>1</v>
      </c>
      <c r="AB32" s="1909">
        <f t="shared" si="4"/>
        <v>1</v>
      </c>
      <c r="AC32" s="1909">
        <f t="shared" si="5"/>
        <v>1</v>
      </c>
    </row>
    <row r="33" spans="1:29" s="453" customFormat="1" ht="15.75" thickBot="1">
      <c r="A33" s="660"/>
      <c r="B33" s="2506">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07"/>
      <c r="Q33" s="1905">
        <f t="shared" si="8"/>
        <v>111</v>
      </c>
      <c r="R33" s="757" t="s">
        <v>25</v>
      </c>
      <c r="S33" s="758">
        <f t="shared" si="10"/>
        <v>100</v>
      </c>
      <c r="T33" s="757" t="s">
        <v>25</v>
      </c>
      <c r="U33" s="758">
        <f t="shared" si="11"/>
        <v>100</v>
      </c>
      <c r="V33" s="757" t="s">
        <v>25</v>
      </c>
      <c r="W33" s="758">
        <f t="shared" si="12"/>
        <v>100</v>
      </c>
      <c r="X33" s="759"/>
      <c r="Y33" s="300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07"/>
      <c r="Q34" s="1905" t="str">
        <f>B34</f>
        <v>宗地面积</v>
      </c>
      <c r="R34" s="754" t="s">
        <v>25</v>
      </c>
      <c r="S34" s="755" t="e">
        <f t="shared" si="10"/>
        <v>#N/A</v>
      </c>
      <c r="T34" s="754" t="s">
        <v>25</v>
      </c>
      <c r="U34" s="755" t="e">
        <f t="shared" si="11"/>
        <v>#N/A</v>
      </c>
      <c r="V34" s="754" t="s">
        <v>25</v>
      </c>
      <c r="W34" s="755" t="e">
        <f t="shared" si="12"/>
        <v>#N/A</v>
      </c>
      <c r="X34" s="1906"/>
      <c r="Y34" s="3007"/>
      <c r="Z34" s="1908" t="str">
        <f t="shared" si="13"/>
        <v>宗地面积</v>
      </c>
      <c r="AA34" s="1909" t="e">
        <f t="shared" si="3"/>
        <v>#N/A</v>
      </c>
      <c r="AB34" s="1909" t="e">
        <f t="shared" si="4"/>
        <v>#N/A</v>
      </c>
      <c r="AC34" s="1909" t="e">
        <f t="shared" si="5"/>
        <v>#N/A</v>
      </c>
    </row>
    <row r="35" spans="1:29" ht="15">
      <c r="A35" s="454"/>
      <c r="B35" s="403" t="s">
        <v>2554</v>
      </c>
      <c r="C35" s="2416"/>
      <c r="D35" s="416">
        <v>100</v>
      </c>
      <c r="E35" s="2416"/>
      <c r="F35" s="416">
        <f>SUMIF(110:110,E35,111:111)-SUMIF(110:110,C35,111:111)+100</f>
        <v>100</v>
      </c>
      <c r="G35" s="2416"/>
      <c r="H35" s="416">
        <f>SUMIF(110:110,G35,111:111)-SUMIF(110:110,C35,111:111)+100</f>
        <v>100</v>
      </c>
      <c r="I35" s="2416"/>
      <c r="J35" s="416">
        <f>SUMIF(110:110,I35,111:111)-SUMIF(110:110,C35,111:111)+100</f>
        <v>100</v>
      </c>
      <c r="K35" s="597"/>
      <c r="L35" s="1255"/>
      <c r="M35" s="1246"/>
      <c r="N35" s="1246"/>
      <c r="O35" s="1254"/>
      <c r="P35" s="3007"/>
      <c r="Q35" s="1905" t="str">
        <f t="shared" ref="Q35:Q40" si="14">B35</f>
        <v>宗地形状</v>
      </c>
      <c r="R35" s="754" t="s">
        <v>25</v>
      </c>
      <c r="S35" s="755">
        <f t="shared" si="10"/>
        <v>100</v>
      </c>
      <c r="T35" s="754" t="s">
        <v>25</v>
      </c>
      <c r="U35" s="755">
        <f t="shared" si="11"/>
        <v>100</v>
      </c>
      <c r="V35" s="754" t="s">
        <v>25</v>
      </c>
      <c r="W35" s="755">
        <f t="shared" si="12"/>
        <v>100</v>
      </c>
      <c r="X35" s="1906"/>
      <c r="Y35" s="3007"/>
      <c r="Z35" s="1908" t="str">
        <f t="shared" si="13"/>
        <v>宗地形状</v>
      </c>
      <c r="AA35" s="1909">
        <f t="shared" si="3"/>
        <v>1</v>
      </c>
      <c r="AB35" s="1909">
        <f t="shared" si="4"/>
        <v>1</v>
      </c>
      <c r="AC35" s="1909">
        <f t="shared" si="5"/>
        <v>1</v>
      </c>
    </row>
    <row r="36" spans="1:29" s="35" customFormat="1" ht="15">
      <c r="A36" s="455"/>
      <c r="B36" s="403" t="s">
        <v>2556</v>
      </c>
      <c r="C36" s="2494"/>
      <c r="D36" s="52">
        <v>100</v>
      </c>
      <c r="E36" s="2494"/>
      <c r="F36" s="416">
        <f>SUMIF(112:112,E36,113:113)-SUMIF(112:112,C36,113:113)+100</f>
        <v>100</v>
      </c>
      <c r="G36" s="2494"/>
      <c r="H36" s="416">
        <f>SUMIF(112:112,G36,113:113)-SUMIF(112:112,C36,113:113)+100</f>
        <v>100</v>
      </c>
      <c r="I36" s="2494"/>
      <c r="J36" s="416">
        <f>SUMIF(112:112,I36,113:113)-SUMIF(112:112,C36,113:113)+100</f>
        <v>100</v>
      </c>
      <c r="K36" s="597"/>
      <c r="L36" s="1247"/>
      <c r="M36" s="1248"/>
      <c r="N36" s="1248"/>
      <c r="O36" s="1249"/>
      <c r="P36" s="3007"/>
      <c r="Q36" s="1905" t="str">
        <f t="shared" si="14"/>
        <v>宗地开发程度</v>
      </c>
      <c r="R36" s="750" t="s">
        <v>25</v>
      </c>
      <c r="S36" s="751">
        <f t="shared" si="10"/>
        <v>100</v>
      </c>
      <c r="T36" s="750" t="s">
        <v>25</v>
      </c>
      <c r="U36" s="751">
        <f t="shared" si="11"/>
        <v>100</v>
      </c>
      <c r="V36" s="750" t="s">
        <v>25</v>
      </c>
      <c r="W36" s="751">
        <f t="shared" si="12"/>
        <v>100</v>
      </c>
      <c r="X36" s="752"/>
      <c r="Y36" s="3007"/>
      <c r="Z36" s="23" t="str">
        <f t="shared" si="13"/>
        <v>宗地开发程度</v>
      </c>
      <c r="AA36" s="753">
        <f t="shared" si="3"/>
        <v>1</v>
      </c>
      <c r="AB36" s="753">
        <f t="shared" si="4"/>
        <v>1</v>
      </c>
      <c r="AC36" s="753">
        <f t="shared" si="5"/>
        <v>1</v>
      </c>
    </row>
    <row r="37" spans="1:29" ht="15">
      <c r="A37" s="454"/>
      <c r="B37" s="403" t="s">
        <v>2557</v>
      </c>
      <c r="C37" s="2416"/>
      <c r="D37" s="416">
        <v>100</v>
      </c>
      <c r="E37" s="2416"/>
      <c r="F37" s="416">
        <f>SUMIF(114:114,E37,115:115)-SUMIF(114:114,C37,115:115)+100</f>
        <v>100</v>
      </c>
      <c r="G37" s="2416"/>
      <c r="H37" s="416">
        <f>SUMIF(114:114,G37,115:115)-SUMIF(114:114,C37,115:115)+100</f>
        <v>100</v>
      </c>
      <c r="I37" s="2416"/>
      <c r="J37" s="416">
        <f>SUMIF(114:114,I37,115:115)-SUMIF(114:114,C37,115:115)+100</f>
        <v>100</v>
      </c>
      <c r="K37" s="597"/>
      <c r="L37" s="1255"/>
      <c r="M37" s="1246"/>
      <c r="N37" s="1246"/>
      <c r="O37" s="1254"/>
      <c r="P37" s="3007" t="s">
        <v>2373</v>
      </c>
      <c r="Q37" s="1905" t="str">
        <f t="shared" si="14"/>
        <v>工程地质条件</v>
      </c>
      <c r="R37" s="754" t="s">
        <v>25</v>
      </c>
      <c r="S37" s="755">
        <f t="shared" si="10"/>
        <v>100</v>
      </c>
      <c r="T37" s="754" t="s">
        <v>25</v>
      </c>
      <c r="U37" s="755">
        <f t="shared" si="11"/>
        <v>100</v>
      </c>
      <c r="V37" s="754" t="s">
        <v>25</v>
      </c>
      <c r="W37" s="755">
        <f t="shared" si="12"/>
        <v>100</v>
      </c>
      <c r="X37" s="1906"/>
      <c r="Y37" s="3007" t="s">
        <v>2373</v>
      </c>
      <c r="Z37" s="1908" t="str">
        <f t="shared" si="13"/>
        <v>工程地质条件</v>
      </c>
      <c r="AA37" s="1909">
        <f t="shared" si="3"/>
        <v>1</v>
      </c>
      <c r="AB37" s="1909">
        <f t="shared" si="4"/>
        <v>1</v>
      </c>
      <c r="AC37" s="1909">
        <f t="shared" si="5"/>
        <v>1</v>
      </c>
    </row>
    <row r="38" spans="1:29" ht="15">
      <c r="A38" s="454"/>
      <c r="B38" s="2495">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07"/>
      <c r="Q38" s="1905">
        <f t="shared" si="14"/>
        <v>111</v>
      </c>
      <c r="R38" s="754" t="s">
        <v>25</v>
      </c>
      <c r="S38" s="755">
        <f t="shared" si="10"/>
        <v>100</v>
      </c>
      <c r="T38" s="754" t="s">
        <v>25</v>
      </c>
      <c r="U38" s="755">
        <f t="shared" si="11"/>
        <v>100</v>
      </c>
      <c r="V38" s="754" t="s">
        <v>25</v>
      </c>
      <c r="W38" s="755">
        <f t="shared" si="12"/>
        <v>100</v>
      </c>
      <c r="X38" s="1906"/>
      <c r="Y38" s="3007"/>
      <c r="Z38" s="1908">
        <f t="shared" si="13"/>
        <v>111</v>
      </c>
      <c r="AA38" s="1909">
        <f t="shared" si="3"/>
        <v>1</v>
      </c>
      <c r="AB38" s="1909">
        <f t="shared" si="4"/>
        <v>1</v>
      </c>
      <c r="AC38" s="1909">
        <f t="shared" si="5"/>
        <v>1</v>
      </c>
    </row>
    <row r="39" spans="1:29" ht="15">
      <c r="A39" s="454"/>
      <c r="B39" s="2495">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07"/>
      <c r="Q39" s="1905">
        <f t="shared" si="14"/>
        <v>111</v>
      </c>
      <c r="R39" s="754" t="s">
        <v>25</v>
      </c>
      <c r="S39" s="755">
        <f t="shared" si="10"/>
        <v>100</v>
      </c>
      <c r="T39" s="754" t="s">
        <v>25</v>
      </c>
      <c r="U39" s="755">
        <f t="shared" si="11"/>
        <v>100</v>
      </c>
      <c r="V39" s="754" t="s">
        <v>25</v>
      </c>
      <c r="W39" s="755">
        <f t="shared" si="12"/>
        <v>100</v>
      </c>
      <c r="X39" s="1906"/>
      <c r="Y39" s="3007"/>
      <c r="Z39" s="1908">
        <f t="shared" si="13"/>
        <v>111</v>
      </c>
      <c r="AA39" s="1909">
        <f t="shared" si="3"/>
        <v>1</v>
      </c>
      <c r="AB39" s="1909">
        <f t="shared" si="4"/>
        <v>1</v>
      </c>
      <c r="AC39" s="1909">
        <f t="shared" si="5"/>
        <v>1</v>
      </c>
    </row>
    <row r="40" spans="1:29" s="453" customFormat="1" ht="15.75" thickBot="1">
      <c r="A40" s="450"/>
      <c r="B40" s="2495">
        <v>111</v>
      </c>
      <c r="C40" s="2496"/>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07"/>
      <c r="Q40" s="1905">
        <f t="shared" si="14"/>
        <v>111</v>
      </c>
      <c r="R40" s="757" t="s">
        <v>25</v>
      </c>
      <c r="S40" s="758">
        <f t="shared" si="10"/>
        <v>100</v>
      </c>
      <c r="T40" s="757" t="s">
        <v>25</v>
      </c>
      <c r="U40" s="758">
        <f t="shared" si="11"/>
        <v>100</v>
      </c>
      <c r="V40" s="757" t="s">
        <v>25</v>
      </c>
      <c r="W40" s="758">
        <f t="shared" si="12"/>
        <v>100</v>
      </c>
      <c r="X40" s="759"/>
      <c r="Y40" s="3007"/>
      <c r="Z40" s="760">
        <f t="shared" si="13"/>
        <v>111</v>
      </c>
      <c r="AA40" s="1909">
        <f t="shared" si="3"/>
        <v>1</v>
      </c>
      <c r="AB40" s="1909">
        <f t="shared" si="4"/>
        <v>1</v>
      </c>
      <c r="AC40" s="1909">
        <f t="shared" si="5"/>
        <v>1</v>
      </c>
    </row>
    <row r="41" spans="1:29" ht="15">
      <c r="A41" s="461" t="s">
        <v>2521</v>
      </c>
      <c r="B41" s="2497" t="s">
        <v>2596</v>
      </c>
      <c r="C41" s="666" t="s">
        <v>1</v>
      </c>
      <c r="D41" s="463"/>
      <c r="E41" s="464"/>
      <c r="F41" s="465"/>
      <c r="G41" s="466"/>
      <c r="H41" s="467"/>
      <c r="I41" s="464"/>
      <c r="J41" s="467"/>
      <c r="K41" s="763"/>
      <c r="L41" s="1258"/>
      <c r="M41" s="1246"/>
      <c r="N41" s="1246"/>
      <c r="O41" s="1259"/>
      <c r="P41" s="3013" t="str">
        <f>A41</f>
        <v>成交单价</v>
      </c>
      <c r="Q41" s="3013"/>
      <c r="R41" s="2993">
        <f>E41</f>
        <v>0</v>
      </c>
      <c r="S41" s="2993"/>
      <c r="T41" s="2993">
        <f>G41</f>
        <v>0</v>
      </c>
      <c r="U41" s="2993"/>
      <c r="V41" s="2993">
        <f>I41</f>
        <v>0</v>
      </c>
      <c r="W41" s="2993"/>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13" t="str">
        <f>A42</f>
        <v>比较价值（元/平方米）</v>
      </c>
      <c r="Q42" s="3013"/>
      <c r="R42" s="3030" t="e">
        <f>ROUND(PRODUCT(R41,AA7:AA40),0)</f>
        <v>#DIV/0!</v>
      </c>
      <c r="S42" s="3030"/>
      <c r="T42" s="3030" t="e">
        <f>ROUND(PRODUCT(T41,AB7:AB40),0)</f>
        <v>#DIV/0!</v>
      </c>
      <c r="U42" s="3030"/>
      <c r="V42" s="3030" t="e">
        <f>ROUND(PRODUCT(V41,AC7:AC40),0)</f>
        <v>#DIV/0!</v>
      </c>
      <c r="W42" s="3030"/>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19" t="str">
        <f>A43</f>
        <v>估价对象XX用房的比较价值（楼面单价，元/平方米）</v>
      </c>
      <c r="Q43" s="3020"/>
      <c r="R43" s="3031" t="e">
        <f>ROUND(AVERAGE(R42:V42),0)</f>
        <v>#DIV/0!</v>
      </c>
      <c r="S43" s="3031"/>
      <c r="T43" s="3031"/>
      <c r="U43" s="3031"/>
      <c r="V43" s="3031"/>
      <c r="W43" s="3031"/>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498" t="s">
        <v>2561</v>
      </c>
      <c r="D50" s="2499"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2570</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2571</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2572</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2573</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2574</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2575</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2576</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2017-9-1</v>
      </c>
      <c r="D63" s="1676">
        <f>EDATE(C63,-3)</f>
        <v>42887</v>
      </c>
      <c r="E63" s="1676">
        <f t="shared" ref="E63:O63" si="18">EDATE(D63,-3)</f>
        <v>42795</v>
      </c>
      <c r="F63" s="1676">
        <f t="shared" si="18"/>
        <v>42705</v>
      </c>
      <c r="G63" s="1676">
        <f t="shared" si="18"/>
        <v>42614</v>
      </c>
      <c r="H63" s="1676">
        <f t="shared" si="18"/>
        <v>42522</v>
      </c>
      <c r="I63" s="1676">
        <f t="shared" si="18"/>
        <v>42430</v>
      </c>
      <c r="J63" s="1676">
        <f t="shared" si="18"/>
        <v>42339</v>
      </c>
      <c r="K63" s="1676">
        <f t="shared" si="18"/>
        <v>42248</v>
      </c>
      <c r="L63" s="1676">
        <f t="shared" si="18"/>
        <v>42156</v>
      </c>
      <c r="M63" s="1676">
        <f t="shared" si="18"/>
        <v>42064</v>
      </c>
      <c r="N63" s="1676">
        <f t="shared" si="18"/>
        <v>41974</v>
      </c>
      <c r="O63" s="1676">
        <f t="shared" si="18"/>
        <v>41883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1" t="s">
        <v>2578</v>
      </c>
      <c r="B65" s="1458"/>
      <c r="C65" s="1677" t="str">
        <f>YEAR(C63)&amp;"-"&amp;ROUNDUP(MONTH(C63)/3,0)</f>
        <v>2017-3</v>
      </c>
      <c r="D65" s="1677" t="str">
        <f t="shared" ref="D65:O65" si="19">YEAR(D63)&amp;"-"&amp;ROUNDUP(MONTH(D63)/3,0)</f>
        <v>2017-2</v>
      </c>
      <c r="E65" s="1677" t="str">
        <f t="shared" si="19"/>
        <v>2017-1</v>
      </c>
      <c r="F65" s="1677" t="str">
        <f t="shared" si="19"/>
        <v>2016-4</v>
      </c>
      <c r="G65" s="1677" t="str">
        <f t="shared" si="19"/>
        <v>2016-3</v>
      </c>
      <c r="H65" s="1677" t="str">
        <f t="shared" si="19"/>
        <v>2016-2</v>
      </c>
      <c r="I65" s="1677" t="str">
        <f t="shared" si="19"/>
        <v>2016-1</v>
      </c>
      <c r="J65" s="1677" t="str">
        <f t="shared" si="19"/>
        <v>2015-4</v>
      </c>
      <c r="K65" s="1677" t="str">
        <f t="shared" si="19"/>
        <v>2015-3</v>
      </c>
      <c r="L65" s="1677" t="str">
        <f t="shared" si="19"/>
        <v>2015-2</v>
      </c>
      <c r="M65" s="1677" t="str">
        <f t="shared" si="19"/>
        <v>2015-1</v>
      </c>
      <c r="N65" s="1677" t="str">
        <f t="shared" si="19"/>
        <v>2014-4</v>
      </c>
      <c r="O65" s="1677" t="str">
        <f t="shared" si="19"/>
        <v>2014-3</v>
      </c>
      <c r="P65" s="489"/>
    </row>
    <row r="66" spans="1:17" s="35" customFormat="1" ht="33.75" customHeight="1">
      <c r="A66" s="2507"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8"/>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1272</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受您的委托，我公司对北京市房地产进行了预评估。</v>
      </c>
      <c r="B4" s="1923"/>
      <c r="C4" s="1923"/>
      <c r="D4" s="1923"/>
      <c r="E4" s="1923"/>
      <c r="F4" s="1923"/>
      <c r="G4" s="1923"/>
    </row>
    <row r="5" spans="1:7" ht="18.75">
      <c r="A5" s="1924" t="s">
        <v>1273</v>
      </c>
    </row>
    <row r="6" spans="1:7" s="1925" customFormat="1" ht="36">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估价对象为北京市房地产，为所有。根据《不动产权证书》[]，估价对象建筑面积为339.05平方米，（分摊）出让国有建设用地使用权面积为平方米。估价对象用途为商业。</v>
      </c>
      <c r="B6" s="1923"/>
      <c r="C6" s="1923"/>
      <c r="D6" s="1923"/>
      <c r="E6" s="1923"/>
      <c r="F6" s="1923"/>
      <c r="G6" s="1923"/>
    </row>
    <row r="7" spans="1:7" ht="18.75">
      <c r="A7" s="1924" t="s">
        <v>1274</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1275</v>
      </c>
      <c r="B9" s="1928"/>
    </row>
    <row r="10" spans="1:7" ht="18">
      <c r="A10" s="1929" t="str">
        <f>TEXT(项目基本情况!D2,"yyyy年m月d日;;")&amp;IF(项目基本情况!B2=项目基本情况!D2,"（评估专业人员实地查勘之日）","")</f>
        <v>2017年9月12日（评估专业人员实地查勘之日）</v>
      </c>
      <c r="B10" s="1930"/>
      <c r="C10" s="1930"/>
      <c r="D10" s="1930"/>
      <c r="E10" s="1930"/>
      <c r="F10" s="1930"/>
      <c r="G10" s="1930"/>
    </row>
    <row r="11" spans="1:7" ht="18.75">
      <c r="A11" s="1921" t="s">
        <v>1276</v>
      </c>
    </row>
    <row r="12" spans="1:7" ht="75">
      <c r="A12" s="1923" t="s">
        <v>1277</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本次估价的“房地产价值”是指在正常市场情况下，在价值时点2017年9月12日，估价对象规划用途为商业，假定未设立法定优先受偿款下的房地产市场价值。</v>
      </c>
      <c r="B13" s="1923"/>
      <c r="C13" s="1923"/>
      <c r="D13" s="1923"/>
      <c r="E13" s="1923"/>
      <c r="F13" s="1923"/>
      <c r="G13" s="1923"/>
    </row>
    <row r="14" spans="1:7" ht="72">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1271</v>
      </c>
      <c r="B15" s="1923"/>
      <c r="C15" s="1923"/>
      <c r="D15" s="1923"/>
      <c r="E15" s="1923"/>
      <c r="F15" s="1923"/>
      <c r="G15" s="1923"/>
    </row>
    <row r="16" spans="1:7" ht="54">
      <c r="A16" s="1927" t="str">
        <f>IF(项目基本情况!D5="房地产市场价值","——",IF(项目基本情况!G5="——","",定义!C57))</f>
        <v>——</v>
      </c>
      <c r="B16" s="1931"/>
      <c r="C16" s="1931"/>
      <c r="D16" s="1931"/>
      <c r="E16" s="1931"/>
      <c r="F16" s="1931"/>
      <c r="G16" s="1931"/>
    </row>
    <row r="17" spans="1:1" ht="18.75">
      <c r="A17" s="1921" t="s">
        <v>1270</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B51" sqref="B51"/>
    </sheetView>
  </sheetViews>
  <sheetFormatPr defaultRowHeight="12.75"/>
  <cols>
    <col min="1" max="1" width="9.75" style="2589" customWidth="1"/>
    <col min="2" max="2" width="19.25" style="2702" customWidth="1"/>
    <col min="3" max="3" width="12.5" style="2512" customWidth="1"/>
    <col min="4" max="4" width="12" style="2512" customWidth="1"/>
    <col min="5" max="5" width="14.625" style="2512" customWidth="1"/>
    <col min="6" max="8" width="12" style="2512" customWidth="1"/>
    <col min="9" max="9" width="12.25" style="2512" bestFit="1" customWidth="1"/>
    <col min="10" max="10" width="12" style="2512" customWidth="1"/>
    <col min="11" max="11" width="9.5" style="1464" customWidth="1"/>
    <col min="12" max="12" width="12" style="2512" customWidth="1"/>
    <col min="13" max="13" width="8.5" style="2512" customWidth="1"/>
    <col min="14" max="14" width="9.75" style="2512" customWidth="1"/>
    <col min="15" max="25" width="12" style="2512" customWidth="1"/>
    <col min="26" max="26" width="9.375" style="2589" customWidth="1"/>
    <col min="27" max="32" width="9.375" style="2665" customWidth="1"/>
    <col min="33" max="36" width="9.375" style="2589" customWidth="1"/>
    <col min="37" max="38" width="9.375" style="2512" customWidth="1"/>
    <col min="39" max="16384" width="9" style="2512"/>
  </cols>
  <sheetData>
    <row r="1" spans="1:36" ht="28.5">
      <c r="A1" s="162" t="s">
        <v>2599</v>
      </c>
      <c r="B1" s="2509"/>
      <c r="C1" s="163" t="s">
        <v>2600</v>
      </c>
      <c r="D1" s="2510">
        <f>SUM(D29:D30,D33:D39)</f>
        <v>339.05</v>
      </c>
      <c r="E1" s="2510"/>
      <c r="F1" s="2510"/>
      <c r="G1" s="2510"/>
      <c r="H1" s="2510"/>
      <c r="I1" s="2510"/>
      <c r="J1" s="2510"/>
      <c r="L1" s="2511"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f ca="1">C26</f>
        <v>10645153</v>
      </c>
      <c r="C2" s="2513" t="s">
        <v>2608</v>
      </c>
      <c r="D2" s="2514" t="s">
        <v>2609</v>
      </c>
      <c r="E2" s="2515" t="s">
        <v>2811</v>
      </c>
      <c r="F2" s="2514" t="s">
        <v>2610</v>
      </c>
      <c r="G2" s="2516" t="str">
        <f>项目基本情况!F9</f>
        <v>二级</v>
      </c>
      <c r="H2" s="2517" t="s">
        <v>2611</v>
      </c>
      <c r="I2" s="2516" t="str">
        <f>项目基本情况!F10</f>
        <v>Ⅱ—01</v>
      </c>
      <c r="J2" s="2518"/>
      <c r="L2" s="2519" t="s">
        <v>2612</v>
      </c>
      <c r="M2" s="1121">
        <f>SUMPRODUCT((区片价!B10:B28=I2)*(区片价!C3:F3=E2)*(区片价!C10:F28))</f>
        <v>27450</v>
      </c>
      <c r="N2" s="1124">
        <f>SUMPRODUCT((因素修正幅度!B10:B28=I2)*(因素修正幅度!C3:F3=E2)*(因素修正幅度!C10:F28))</f>
        <v>8.8999999999999996E-2</v>
      </c>
      <c r="O2" s="1464"/>
      <c r="P2" s="1464"/>
      <c r="Q2" s="1464"/>
      <c r="R2" s="1715">
        <v>1</v>
      </c>
      <c r="S2" s="1715">
        <f>ROUND(IF(G3&gt;1,IF(R2&lt;7,SUMPRODUCT((B93:B98=R2)*(C92:N92=G2)*(C93:N98)),SUMIF(C92:N92,G2,C100:N100)),IF(R2&lt;7,SUMPRODUCT((B102:B107=R2)*(C92:N92=G2)*(C102:N107)),SUMIF(C92:N92,G2,C109:N109))),4)</f>
        <v>1.9361999999999999</v>
      </c>
      <c r="T2" s="1715">
        <f ca="1">ROUND($C$5*$C$18*$C$19*$C$20*S2*$C$24,0)</f>
        <v>60792</v>
      </c>
      <c r="U2" s="1716"/>
      <c r="V2" s="1715">
        <f ca="1">ROUND(T2*U2/10000,0)</f>
        <v>0</v>
      </c>
      <c r="W2" s="1719"/>
      <c r="X2" s="1719"/>
      <c r="Y2" s="1719"/>
      <c r="Z2" s="1719"/>
      <c r="AA2" s="1719"/>
      <c r="AB2" s="1719"/>
      <c r="AC2" s="1720"/>
      <c r="AD2" s="1721"/>
      <c r="AE2" s="1721"/>
      <c r="AF2" s="1721"/>
      <c r="AG2" s="1721"/>
      <c r="AH2" s="1721"/>
      <c r="AI2" s="1721"/>
      <c r="AJ2" s="1722"/>
    </row>
    <row r="3" spans="1:36" ht="15.75">
      <c r="A3" s="168" t="s">
        <v>2613</v>
      </c>
      <c r="B3" s="169">
        <f ca="1">ROUND(B2/D1,0)</f>
        <v>31397</v>
      </c>
      <c r="C3" s="2513" t="s">
        <v>2614</v>
      </c>
      <c r="D3" s="2514" t="s">
        <v>2615</v>
      </c>
      <c r="E3" s="2520" t="s">
        <v>2857</v>
      </c>
      <c r="F3" s="2521" t="s">
        <v>2616</v>
      </c>
      <c r="G3" s="942">
        <f>项目基本情况!C15</f>
        <v>3.5</v>
      </c>
      <c r="H3" s="116" t="s">
        <v>2617</v>
      </c>
      <c r="I3" s="975">
        <v>7</v>
      </c>
      <c r="J3" s="2518" t="s">
        <v>2618</v>
      </c>
      <c r="L3" s="2519" t="s">
        <v>2619</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44578</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48"/>
      <c r="B4" s="3049"/>
      <c r="C4" s="3049"/>
      <c r="D4" s="3050"/>
      <c r="E4" s="3050"/>
      <c r="F4" s="3050"/>
      <c r="G4" s="3050"/>
      <c r="H4" s="3050"/>
      <c r="I4" s="3050"/>
      <c r="J4" s="3051"/>
      <c r="L4" s="2519" t="s">
        <v>2620</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36402</v>
      </c>
      <c r="U4" s="1716"/>
      <c r="V4" s="1715">
        <f t="shared" ca="1" si="1"/>
        <v>0</v>
      </c>
      <c r="W4" s="1719"/>
      <c r="X4" s="1719"/>
      <c r="Y4" s="1719"/>
      <c r="Z4" s="1719"/>
      <c r="AA4" s="1719"/>
      <c r="AB4" s="1719"/>
      <c r="AC4" s="1720"/>
      <c r="AD4" s="1721"/>
      <c r="AE4" s="1721"/>
      <c r="AF4" s="1721"/>
      <c r="AG4" s="1721"/>
      <c r="AH4" s="1721"/>
      <c r="AI4" s="1721"/>
      <c r="AJ4" s="1722"/>
    </row>
    <row r="5" spans="1:36" s="2531" customFormat="1" ht="15.75" thickBot="1">
      <c r="A5" s="2522" t="s">
        <v>2621</v>
      </c>
      <c r="B5" s="2523" t="s">
        <v>2622</v>
      </c>
      <c r="C5" s="943">
        <f>ROUND(IF(E2="商业",IF(F16="增加",C6*C7+C16,C6*C7-C16),IF(E2="住宅",IF(F16="增加",C6*C12+C16,C6*C12-C16),IF(F16="增加",C6+C16,C6-C16))),0)</f>
        <v>27481</v>
      </c>
      <c r="D5" s="1883">
        <f>ROUND(IF(E2="商业",IF(F16="增加",C6+C16,C6-C16)),0)</f>
        <v>27481</v>
      </c>
      <c r="E5" s="2524"/>
      <c r="F5" s="2524"/>
      <c r="G5" s="2525"/>
      <c r="H5" s="2525"/>
      <c r="I5" s="2525"/>
      <c r="J5" s="2526"/>
      <c r="K5" s="2527"/>
      <c r="L5" s="2519" t="s">
        <v>2623</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30211</v>
      </c>
      <c r="U5" s="1716"/>
      <c r="V5" s="1715">
        <f t="shared" ca="1" si="1"/>
        <v>0</v>
      </c>
      <c r="W5" s="1719"/>
      <c r="X5" s="1719"/>
      <c r="Y5" s="1719"/>
      <c r="Z5" s="1719"/>
      <c r="AA5" s="1719"/>
      <c r="AB5" s="1719"/>
      <c r="AC5" s="2528"/>
      <c r="AD5" s="2529"/>
      <c r="AE5" s="2529"/>
      <c r="AF5" s="2529"/>
      <c r="AG5" s="2529"/>
      <c r="AH5" s="2529"/>
      <c r="AI5" s="2529"/>
      <c r="AJ5" s="2530"/>
    </row>
    <row r="6" spans="1:36" ht="15.75" thickBot="1">
      <c r="A6" s="2532">
        <v>1</v>
      </c>
      <c r="B6" s="2533" t="s">
        <v>2624</v>
      </c>
      <c r="C6" s="944">
        <f>SUMIF(L1:L12,G2,M1:M12)</f>
        <v>27450</v>
      </c>
      <c r="D6" s="2534" t="s">
        <v>2625</v>
      </c>
      <c r="E6" s="2535"/>
      <c r="F6" s="2535"/>
      <c r="G6" s="2536"/>
      <c r="H6" s="2536"/>
      <c r="I6" s="2536"/>
      <c r="J6" s="2537"/>
      <c r="K6" s="2538"/>
      <c r="L6" s="2519" t="s">
        <v>2626</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26427</v>
      </c>
      <c r="U6" s="1716"/>
      <c r="V6" s="1715">
        <f t="shared" ca="1" si="1"/>
        <v>0</v>
      </c>
      <c r="W6" s="1719"/>
      <c r="X6" s="1719"/>
      <c r="Y6" s="1719"/>
      <c r="Z6" s="1719"/>
      <c r="AA6" s="1719"/>
      <c r="AB6" s="1719"/>
      <c r="AC6" s="2528"/>
      <c r="AD6" s="2529"/>
      <c r="AE6" s="2529"/>
      <c r="AF6" s="2529"/>
      <c r="AG6" s="2529"/>
      <c r="AH6" s="2529"/>
      <c r="AI6" s="2529"/>
      <c r="AJ6" s="2530"/>
    </row>
    <row r="7" spans="1:36" ht="24">
      <c r="A7" s="3032" t="str">
        <f>IF(E2="商业",IF(C8="不临58条商业街","",2),"")</f>
        <v/>
      </c>
      <c r="B7" s="2539" t="s">
        <v>2627</v>
      </c>
      <c r="C7" s="945">
        <f>IF(C8="不临58条商业街",1,ROUND(1+(1.6*E8+1.2*E9+0.8*E10+0.4*E11)*C9,4))</f>
        <v>1</v>
      </c>
      <c r="D7" s="2540" t="s">
        <v>2628</v>
      </c>
      <c r="E7" s="976"/>
      <c r="F7" s="2541"/>
      <c r="G7" s="2542"/>
      <c r="H7" s="2542"/>
      <c r="I7" s="2542"/>
      <c r="J7" s="2543"/>
      <c r="K7" s="2538"/>
      <c r="L7" s="2519" t="s">
        <v>2629</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23887</v>
      </c>
      <c r="U7" s="1716"/>
      <c r="V7" s="1715">
        <f t="shared" ca="1" si="1"/>
        <v>0</v>
      </c>
      <c r="W7" s="1911" t="s">
        <v>2630</v>
      </c>
      <c r="X7" s="1717" t="str">
        <f>G2</f>
        <v>二级</v>
      </c>
      <c r="Y7" s="1717" t="s">
        <v>2631</v>
      </c>
      <c r="Z7" s="1718">
        <f>G3</f>
        <v>3.5</v>
      </c>
      <c r="AA7" s="1719"/>
      <c r="AB7" s="1719"/>
      <c r="AC7" s="1720"/>
      <c r="AD7" s="1721"/>
      <c r="AE7" s="1721"/>
      <c r="AF7" s="1721"/>
      <c r="AG7" s="1721"/>
      <c r="AH7" s="1721"/>
      <c r="AI7" s="1721"/>
      <c r="AJ7" s="1722"/>
    </row>
    <row r="8" spans="1:36" ht="15">
      <c r="A8" s="3033"/>
      <c r="B8" s="116" t="s">
        <v>2632</v>
      </c>
      <c r="C8" s="2544" t="s">
        <v>2841</v>
      </c>
      <c r="D8" s="946" t="s">
        <v>89</v>
      </c>
      <c r="E8" s="947" t="e">
        <f>ROUND(C11/E7,4)</f>
        <v>#DIV/0!</v>
      </c>
      <c r="F8" s="2545" t="s">
        <v>2633</v>
      </c>
      <c r="G8" s="2546"/>
      <c r="H8" s="2546"/>
      <c r="I8" s="2546"/>
      <c r="J8" s="2547"/>
      <c r="L8" s="2519"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45" t="s">
        <v>2635</v>
      </c>
      <c r="X8" s="3046"/>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33"/>
      <c r="B9" s="116" t="s">
        <v>2648</v>
      </c>
      <c r="C9" s="948">
        <f>SUMIF(修正!C59:C119,C8,修正!E59:E119)</f>
        <v>0</v>
      </c>
      <c r="D9" s="118" t="s">
        <v>90</v>
      </c>
      <c r="E9" s="118" t="e">
        <f>ROUND(C11/E7,4)</f>
        <v>#DIV/0!</v>
      </c>
      <c r="F9" s="2545" t="s">
        <v>2649</v>
      </c>
      <c r="G9" s="2546"/>
      <c r="H9" s="2546"/>
      <c r="I9" s="2546"/>
      <c r="J9" s="2547"/>
      <c r="L9" s="2519"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47"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33"/>
      <c r="B10" s="116" t="s">
        <v>2653</v>
      </c>
      <c r="C10" s="118">
        <f>SUMIF(修正!C59:C119,C8,修正!F59:F119)</f>
        <v>0</v>
      </c>
      <c r="D10" s="118" t="s">
        <v>91</v>
      </c>
      <c r="E10" s="118" t="e">
        <f>ROUND(C11/E7,4)</f>
        <v>#DIV/0!</v>
      </c>
      <c r="F10" s="2545" t="s">
        <v>2654</v>
      </c>
      <c r="G10" s="2546"/>
      <c r="H10" s="2546"/>
      <c r="I10" s="2546"/>
      <c r="J10" s="2547"/>
      <c r="L10" s="2519"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47"/>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33"/>
      <c r="B11" s="2548" t="s">
        <v>2656</v>
      </c>
      <c r="C11" s="949">
        <f>C10/4</f>
        <v>0</v>
      </c>
      <c r="D11" s="949" t="s">
        <v>92</v>
      </c>
      <c r="E11" s="949" t="e">
        <f>ROUND(C11/E7,4)</f>
        <v>#DIV/0!</v>
      </c>
      <c r="F11" s="2549" t="s">
        <v>2657</v>
      </c>
      <c r="G11" s="2550"/>
      <c r="H11" s="2550"/>
      <c r="I11" s="2550"/>
      <c r="J11" s="2551"/>
      <c r="L11" s="2519"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47" t="s">
        <v>2659</v>
      </c>
      <c r="X11" s="1728" t="s">
        <v>2660</v>
      </c>
      <c r="Y11" s="1729">
        <f>$G$3</f>
        <v>3.5</v>
      </c>
      <c r="Z11" s="1729">
        <f t="shared" ref="Z11:AJ11" si="3">$G$3</f>
        <v>3.5</v>
      </c>
      <c r="AA11" s="1729">
        <f t="shared" si="3"/>
        <v>3.5</v>
      </c>
      <c r="AB11" s="1729">
        <f t="shared" si="3"/>
        <v>3.5</v>
      </c>
      <c r="AC11" s="1729">
        <f t="shared" si="3"/>
        <v>3.5</v>
      </c>
      <c r="AD11" s="1729">
        <f t="shared" si="3"/>
        <v>3.5</v>
      </c>
      <c r="AE11" s="1729">
        <f t="shared" si="3"/>
        <v>3.5</v>
      </c>
      <c r="AF11" s="1729">
        <f t="shared" si="3"/>
        <v>3.5</v>
      </c>
      <c r="AG11" s="1729">
        <f t="shared" si="3"/>
        <v>3.5</v>
      </c>
      <c r="AH11" s="1729">
        <f t="shared" si="3"/>
        <v>3.5</v>
      </c>
      <c r="AI11" s="1729">
        <f t="shared" si="3"/>
        <v>3.5</v>
      </c>
      <c r="AJ11" s="1729">
        <f t="shared" si="3"/>
        <v>3.5</v>
      </c>
    </row>
    <row r="12" spans="1:36" ht="25.5" thickBot="1">
      <c r="A12" s="3032" t="str">
        <f>IF(E2="住宅",2,"")</f>
        <v/>
      </c>
      <c r="B12" s="2552" t="s">
        <v>2661</v>
      </c>
      <c r="C12" s="945">
        <f>ROUND(C15*D15*E15*F15*G15*H15*I15*J15,4)</f>
        <v>1</v>
      </c>
      <c r="D12" s="2553" t="s">
        <v>2662</v>
      </c>
      <c r="E12" s="2554"/>
      <c r="F12" s="2554"/>
      <c r="G12" s="2555"/>
      <c r="H12" s="2555"/>
      <c r="I12" s="2555"/>
      <c r="J12" s="2556"/>
      <c r="L12" s="2557"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47"/>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52"/>
      <c r="B13" s="2558" t="s">
        <v>2665</v>
      </c>
      <c r="C13" s="2559" t="s">
        <v>2666</v>
      </c>
      <c r="D13" s="2560" t="s">
        <v>2667</v>
      </c>
      <c r="E13" s="2560" t="s">
        <v>2668</v>
      </c>
      <c r="F13" s="20" t="s">
        <v>2669</v>
      </c>
      <c r="G13" s="2561" t="s">
        <v>2670</v>
      </c>
      <c r="H13" s="2561" t="s">
        <v>2670</v>
      </c>
      <c r="I13" s="2561" t="s">
        <v>2670</v>
      </c>
      <c r="J13" s="2562" t="s">
        <v>2670</v>
      </c>
      <c r="L13" s="1464"/>
      <c r="M13" s="1464"/>
      <c r="N13" s="1464"/>
      <c r="O13" s="1464"/>
      <c r="P13" s="1464"/>
      <c r="Q13" s="1464"/>
      <c r="R13" s="1715">
        <v>12</v>
      </c>
      <c r="S13" s="1716"/>
      <c r="T13" s="1715">
        <f t="shared" ca="1" si="0"/>
        <v>0</v>
      </c>
      <c r="U13" s="1716"/>
      <c r="V13" s="1715">
        <f t="shared" ca="1" si="1"/>
        <v>0</v>
      </c>
      <c r="W13" s="3047"/>
      <c r="X13" s="1730"/>
      <c r="Y13" s="1727">
        <f>(-0.163*(Y12^2)-0.59*Y12+7617)*(10^(-4))/Y11</f>
        <v>0.21762857142857145</v>
      </c>
      <c r="Z13" s="1727">
        <f t="shared" ref="Z13:AJ13" si="5">(-0.163*(Z12^2)-0.59*Z12+7617)*(10^(-4))/Z11</f>
        <v>0.21762857142857145</v>
      </c>
      <c r="AA13" s="1727">
        <f t="shared" si="5"/>
        <v>0.21762857142857145</v>
      </c>
      <c r="AB13" s="1727">
        <f t="shared" si="5"/>
        <v>0.21762857142857145</v>
      </c>
      <c r="AC13" s="1727">
        <f t="shared" si="5"/>
        <v>0.21762857142857145</v>
      </c>
      <c r="AD13" s="1727">
        <f t="shared" si="5"/>
        <v>0.21762857142857145</v>
      </c>
      <c r="AE13" s="1727">
        <f t="shared" si="5"/>
        <v>0.21762857142857145</v>
      </c>
      <c r="AF13" s="1727">
        <f t="shared" si="5"/>
        <v>0.21762857142857145</v>
      </c>
      <c r="AG13" s="1727">
        <f t="shared" si="5"/>
        <v>0.21762857142857145</v>
      </c>
      <c r="AH13" s="1727">
        <f t="shared" si="5"/>
        <v>0.21762857142857145</v>
      </c>
      <c r="AI13" s="1727">
        <f t="shared" si="5"/>
        <v>0.21762857142857145</v>
      </c>
      <c r="AJ13" s="1727">
        <f t="shared" si="5"/>
        <v>0.21762857142857145</v>
      </c>
    </row>
    <row r="14" spans="1:36" ht="15">
      <c r="A14" s="3052"/>
      <c r="B14" s="2563"/>
      <c r="C14" s="2564" t="s">
        <v>2842</v>
      </c>
      <c r="D14" s="2565" t="s">
        <v>2671</v>
      </c>
      <c r="E14" s="2565" t="s">
        <v>2671</v>
      </c>
      <c r="F14" s="2566" t="s">
        <v>2843</v>
      </c>
      <c r="G14" s="2567" t="s">
        <v>2672</v>
      </c>
      <c r="H14" s="2568"/>
      <c r="I14" s="2569"/>
      <c r="J14" s="2570"/>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53"/>
      <c r="B15" s="2571" t="s">
        <v>2673</v>
      </c>
      <c r="C15" s="151">
        <f>IF(C14="有",1.1,1)</f>
        <v>1</v>
      </c>
      <c r="D15" s="151">
        <f>IF(D14="有",1.1,1)</f>
        <v>1</v>
      </c>
      <c r="E15" s="151">
        <f>IF(E14="有",1.1,1)</f>
        <v>1</v>
      </c>
      <c r="F15" s="151">
        <f>IF(F14="500米范围内",1.2,IF(F14="500-1000米",1.1,1))</f>
        <v>1</v>
      </c>
      <c r="G15" s="977">
        <v>1</v>
      </c>
      <c r="H15" s="977">
        <v>1</v>
      </c>
      <c r="I15" s="977">
        <v>1</v>
      </c>
      <c r="J15" s="978">
        <v>1</v>
      </c>
      <c r="L15" s="2572" t="s">
        <v>2674</v>
      </c>
      <c r="M15" s="946" t="s">
        <v>2675</v>
      </c>
      <c r="N15" s="946" t="s">
        <v>2676</v>
      </c>
      <c r="O15" s="946" t="s">
        <v>2677</v>
      </c>
      <c r="P15" s="2573" t="s">
        <v>2678</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32">
        <f>IF(E2="办公",2,IF(E2="工业",2,IF(E2="住宅",3,IF(E2="商业",IF(C8="不临58条商业街",2,3)))))</f>
        <v>2</v>
      </c>
      <c r="B16" s="2539" t="s">
        <v>2679</v>
      </c>
      <c r="C16" s="1891">
        <f>ROUND(SUM(G17:J17)/C17,0)</f>
        <v>31</v>
      </c>
      <c r="D16" s="2574" t="s">
        <v>2680</v>
      </c>
      <c r="E16" s="2575" t="s">
        <v>2844</v>
      </c>
      <c r="F16" s="2576" t="s">
        <v>2847</v>
      </c>
      <c r="G16" s="2577" t="s">
        <v>2845</v>
      </c>
      <c r="H16" s="2577" t="s">
        <v>2846</v>
      </c>
      <c r="I16" s="2577"/>
      <c r="J16" s="2578"/>
      <c r="L16" s="1462" t="s">
        <v>2681</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33"/>
      <c r="B17" s="2579" t="s">
        <v>2682</v>
      </c>
      <c r="C17" s="950">
        <f>SUMPRODUCT((修正!A2:A5=E2)*(修正!B1:M1=G2)*(修正!B2:M5))</f>
        <v>3.5</v>
      </c>
      <c r="D17" s="2580" t="s">
        <v>2683</v>
      </c>
      <c r="E17" s="949" t="str">
        <f>IF(OR(G2="八级",G2="九级",G2="十级",G2="十一级",G2="十二级"),"五通一平","七通一平")</f>
        <v>七通一平</v>
      </c>
      <c r="F17" s="950" t="s">
        <v>2684</v>
      </c>
      <c r="G17" s="950">
        <f>SUMPRODUCT((七通一平=G16)*(修正!B1:M1=G2)*(修正!B6:M14))</f>
        <v>60</v>
      </c>
      <c r="H17" s="950">
        <f>SUMPRODUCT((七通一平=H16)*(修正!B1:M1=G2)*(修正!B6:M14))</f>
        <v>50</v>
      </c>
      <c r="I17" s="950">
        <f>SUMPRODUCT((七通一平=I16)*(修正!B1:M1=G2)*(修正!B6:M14))</f>
        <v>0</v>
      </c>
      <c r="J17" s="951">
        <f>SUMPRODUCT((七通一平=J16)*(修正!B1:M1=G2)*(修正!B6:M14))</f>
        <v>0</v>
      </c>
      <c r="L17" s="1466" t="s">
        <v>2685</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2"/>
      <c r="AH17" s="2512"/>
      <c r="AI17" s="2512"/>
      <c r="AJ17" s="2512"/>
    </row>
    <row r="18" spans="1:37" s="2531" customFormat="1" ht="15.75" thickBot="1">
      <c r="A18" s="2581" t="s">
        <v>2686</v>
      </c>
      <c r="B18" s="2582" t="s">
        <v>2687</v>
      </c>
      <c r="C18" s="952">
        <f>SUMIF(修正!C18:C39,E3,修正!E18:E39)</f>
        <v>1</v>
      </c>
      <c r="D18" s="2583"/>
      <c r="E18" s="2584"/>
      <c r="F18" s="2585"/>
      <c r="G18" s="2586"/>
      <c r="H18" s="2586"/>
      <c r="I18" s="2586"/>
      <c r="J18" s="2587"/>
      <c r="K18" s="2588"/>
      <c r="O18" s="1464"/>
      <c r="P18" s="1464"/>
      <c r="Q18" s="1464"/>
      <c r="R18" s="1464"/>
      <c r="S18" s="1464"/>
      <c r="T18" s="1464"/>
      <c r="U18" s="1464"/>
      <c r="V18" s="1464"/>
      <c r="W18" s="1464"/>
      <c r="X18" s="1464"/>
      <c r="Y18" s="1464"/>
      <c r="Z18" s="1464"/>
      <c r="AA18" s="1464"/>
      <c r="AB18" s="1464"/>
      <c r="AC18" s="1464"/>
      <c r="AD18" s="1464"/>
      <c r="AE18" s="1465"/>
      <c r="AF18" s="1465"/>
      <c r="AG18" s="2589"/>
      <c r="AH18" s="2589"/>
      <c r="AI18" s="2589"/>
    </row>
    <row r="19" spans="1:37" s="2531" customFormat="1" ht="29.25" thickBot="1">
      <c r="A19" s="2581" t="s">
        <v>2688</v>
      </c>
      <c r="B19" s="2582" t="s">
        <v>2689</v>
      </c>
      <c r="C19" s="953">
        <f>ROUND(IF(H19="按公示增长率计算",SUMPRODUCT((地价!A3:A19=YEAR(G19)&amp;"-"&amp;ROUNDUP(MONTH(G19)/3,0))*(地价!X2:AB2=E2)*(地价!X3:AB19)),IF(H19="地价指数",M20/M19,(1+I19)^O19)),4)</f>
        <v>1.2401</v>
      </c>
      <c r="D19" s="2590" t="s">
        <v>2690</v>
      </c>
      <c r="E19" s="954">
        <v>41640</v>
      </c>
      <c r="F19" s="2590" t="s">
        <v>2691</v>
      </c>
      <c r="G19" s="955">
        <f>'数据-取费表'!B2</f>
        <v>42990</v>
      </c>
      <c r="H19" s="2591" t="s">
        <v>2848</v>
      </c>
      <c r="I19" s="956" t="str">
        <f>IF(H19="季度增幅（自定义）",SUMIF(N21:N24,E2,O21:O24),"")</f>
        <v/>
      </c>
      <c r="J19" s="2587"/>
      <c r="K19" s="2588"/>
      <c r="L19" s="2592" t="s">
        <v>2692</v>
      </c>
      <c r="M19" s="1832">
        <f>ROUND(SUMIF(地价!B2:F2,E2,地价!B19:F19),0)</f>
        <v>258</v>
      </c>
      <c r="N19" s="1468" t="s">
        <v>2693</v>
      </c>
      <c r="O19" s="957">
        <f>ROUNDDOWN(DATEDIF(E19,G19,"M")/3,0)</f>
        <v>14</v>
      </c>
      <c r="P19" s="1465"/>
      <c r="R19" s="1464"/>
      <c r="S19" s="1464"/>
      <c r="T19" s="1464"/>
      <c r="U19" s="1464"/>
      <c r="V19" s="1464"/>
      <c r="W19" s="1464"/>
      <c r="X19" s="1464"/>
      <c r="Y19" s="1464"/>
      <c r="Z19" s="1464"/>
      <c r="AA19" s="1464"/>
      <c r="AB19" s="1464"/>
      <c r="AC19" s="1464"/>
      <c r="AD19" s="1464"/>
      <c r="AE19" s="2588"/>
      <c r="AF19" s="2593"/>
      <c r="AG19" s="2594"/>
      <c r="AH19" s="2589"/>
      <c r="AI19" s="2595"/>
      <c r="AJ19" s="2595"/>
      <c r="AK19" s="2595"/>
    </row>
    <row r="20" spans="1:37" s="2531" customFormat="1" ht="27.75" thickBot="1">
      <c r="A20" s="2596" t="s">
        <v>2694</v>
      </c>
      <c r="B20" s="2597" t="s">
        <v>2695</v>
      </c>
      <c r="C20" s="958">
        <f ca="1">ROUND(POWER(1+G20,J20-I20)*(POWER(1+G20,I20)-1)/(POWER(1+G20,J20)-1),4)</f>
        <v>0.8911</v>
      </c>
      <c r="D20" s="2598" t="s">
        <v>2696</v>
      </c>
      <c r="E20" s="1862">
        <f ca="1">存贷款利率!D4/100</f>
        <v>4.3499999999999997E-2</v>
      </c>
      <c r="F20" s="2598" t="s">
        <v>2685</v>
      </c>
      <c r="G20" s="964">
        <f ca="1">SUMIF(M15:P15,E2,M17:P17)</f>
        <v>5.3999999999999999E-2</v>
      </c>
      <c r="H20" s="2598" t="s">
        <v>2697</v>
      </c>
      <c r="I20" s="965">
        <f>'数据-取费表'!B13</f>
        <v>29</v>
      </c>
      <c r="J20" s="966">
        <f>IF(E2="住宅",70,IF(E2="商业",40,50))</f>
        <v>40</v>
      </c>
      <c r="K20" s="2588"/>
      <c r="L20" s="2599" t="s">
        <v>2698</v>
      </c>
      <c r="M20" s="1833">
        <f>ROUND(SUMPRODUCT((地价!A4:A19=YEAR(G19)&amp;"-"&amp;ROUNDUP(MONTH(G19)/3,0))*(地价!B2:F2=E2)*(地价!B4:F19)),0)</f>
        <v>319</v>
      </c>
      <c r="N20" s="2600" t="s">
        <v>2699</v>
      </c>
      <c r="O20" s="2601" t="s">
        <v>2700</v>
      </c>
      <c r="P20" s="2602" t="s">
        <v>2701</v>
      </c>
      <c r="R20" s="1464"/>
      <c r="S20" s="1464"/>
      <c r="T20" s="1464"/>
      <c r="U20" s="1464"/>
      <c r="V20" s="1464"/>
      <c r="W20" s="1464"/>
      <c r="X20" s="1464"/>
      <c r="Y20" s="1464"/>
      <c r="Z20" s="1464"/>
      <c r="AA20" s="1464"/>
      <c r="AB20" s="1464"/>
      <c r="AC20" s="1464"/>
      <c r="AD20" s="1464"/>
      <c r="AE20" s="2588"/>
      <c r="AF20" s="2588"/>
    </row>
    <row r="21" spans="1:37" s="2531" customFormat="1" ht="14.25">
      <c r="A21" s="2603" t="s">
        <v>2702</v>
      </c>
      <c r="B21" s="2604" t="s">
        <v>2703</v>
      </c>
      <c r="C21" s="967">
        <f>IF(B21="容积率修正",IF(G3&lt;=10,D22,J22),C23)</f>
        <v>1</v>
      </c>
      <c r="D21" s="2605"/>
      <c r="E21" s="2605"/>
      <c r="F21" s="2605"/>
      <c r="G21" s="2605"/>
      <c r="H21" s="2605"/>
      <c r="I21" s="2605"/>
      <c r="J21" s="2606"/>
      <c r="K21" s="2588"/>
      <c r="N21" s="2607"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8"/>
      <c r="AF21" s="2588"/>
    </row>
    <row r="22" spans="1:37" s="2531" customFormat="1" ht="14.25">
      <c r="A22" s="2608">
        <v>1</v>
      </c>
      <c r="B22" s="2609" t="s">
        <v>2705</v>
      </c>
      <c r="C22" s="1905" t="s">
        <v>2706</v>
      </c>
      <c r="D22" s="1905">
        <f>IF(E22=G22,F22,IF(G3&lt;=10,ROUND(F22+(H22-F22)*(G3-E22)/(G22-E22),4),"——"))</f>
        <v>1</v>
      </c>
      <c r="E22" s="942">
        <f>ROUNDDOWN(G3,1)</f>
        <v>3.5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3.5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88"/>
      <c r="N22" s="2607"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8"/>
      <c r="AF22" s="2588"/>
    </row>
    <row r="23" spans="1:37" ht="27">
      <c r="A23" s="2608">
        <v>2</v>
      </c>
      <c r="B23" s="2609" t="s">
        <v>2708</v>
      </c>
      <c r="C23" s="959">
        <f>ROUND(IF(G3&gt;1,IF(I3&lt;7,SUMPRODUCT((B93:B98=I3)*(C92:N92=G2)*(C93:N98)),SUMIF(C92:N92,G2,C100:N100)),IF(I3&lt;7,SUMPRODUCT((B102:B107=I3)*(C92:N92=G2)*(C102:N107)),SUMIF(C92:N92,G2,C109:N109))),4)</f>
        <v>0.76049999999999995</v>
      </c>
      <c r="D23" s="2568"/>
      <c r="E23" s="2568"/>
      <c r="F23" s="2610"/>
      <c r="G23" s="2611"/>
      <c r="H23" s="2612"/>
      <c r="I23" s="2613"/>
      <c r="J23" s="2614"/>
      <c r="N23" s="2607"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89"/>
    </row>
    <row r="24" spans="1:37" s="2531" customFormat="1" ht="15.75" thickBot="1">
      <c r="A24" s="2615" t="s">
        <v>2710</v>
      </c>
      <c r="B24" s="2616" t="s">
        <v>2711</v>
      </c>
      <c r="C24" s="969">
        <f>SUMIF(A46:A88,E2,B46:B88)</f>
        <v>1.0339</v>
      </c>
      <c r="D24" s="2617"/>
      <c r="E24" s="2618"/>
      <c r="F24" s="2618"/>
      <c r="G24" s="2618"/>
      <c r="H24" s="2618"/>
      <c r="I24" s="2618"/>
      <c r="J24" s="2619"/>
      <c r="K24" s="2588"/>
      <c r="N24" s="2620"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8"/>
      <c r="AF24" s="2588"/>
    </row>
    <row r="25" spans="1:37" ht="15" thickBot="1">
      <c r="A25" s="2596" t="s">
        <v>2713</v>
      </c>
      <c r="B25" s="2621" t="s">
        <v>2714</v>
      </c>
      <c r="C25" s="960"/>
      <c r="D25" s="2542"/>
      <c r="E25" s="2542"/>
      <c r="F25" s="2622"/>
      <c r="G25" s="2542"/>
      <c r="H25" s="2542"/>
      <c r="I25" s="2542"/>
      <c r="J25" s="2543"/>
      <c r="L25" s="1464"/>
      <c r="M25" s="1464"/>
      <c r="N25" s="2623"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4"/>
      <c r="B26" s="2609" t="s">
        <v>2716</v>
      </c>
      <c r="C26" s="124">
        <f ca="1">E29+SUM(E33:E39)</f>
        <v>10645153</v>
      </c>
      <c r="D26" s="2625"/>
      <c r="E26" s="2568"/>
      <c r="F26" s="2626"/>
      <c r="G26" s="2568"/>
      <c r="H26" s="2568"/>
      <c r="I26" s="2568"/>
      <c r="J26" s="2627"/>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4"/>
      <c r="B27" s="2628" t="s">
        <v>2717</v>
      </c>
      <c r="C27" s="961" t="e">
        <f ca="1">E30+SUM(I33:I39)</f>
        <v>#DIV/0!</v>
      </c>
      <c r="D27" s="2629"/>
      <c r="E27" s="2630"/>
      <c r="F27" s="2631"/>
      <c r="G27" s="2630"/>
      <c r="H27" s="2630"/>
      <c r="I27" s="2630"/>
      <c r="J27" s="2632"/>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6"/>
      <c r="B28" s="2633" t="s">
        <v>2718</v>
      </c>
      <c r="C28" s="2634" t="s">
        <v>2719</v>
      </c>
      <c r="D28" s="2634" t="s">
        <v>2720</v>
      </c>
      <c r="E28" s="2635" t="s">
        <v>2721</v>
      </c>
      <c r="F28" s="2636"/>
      <c r="G28" s="2555"/>
      <c r="H28" s="2555"/>
      <c r="I28" s="2555"/>
      <c r="J28" s="2556"/>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7"/>
      <c r="B29" s="2638" t="s">
        <v>2722</v>
      </c>
      <c r="C29" s="124">
        <f ca="1">ROUND(C5*C18*C19*C20*C21*C24,0)</f>
        <v>31397</v>
      </c>
      <c r="D29" s="2639">
        <v>339.05</v>
      </c>
      <c r="E29" s="973">
        <f ca="1">ROUND(C29*D29,0)</f>
        <v>10645153</v>
      </c>
      <c r="F29" s="2640" t="s">
        <v>2723</v>
      </c>
      <c r="G29" s="2641"/>
      <c r="H29" s="2641"/>
      <c r="I29" s="2641"/>
      <c r="J29" s="2642"/>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2"/>
      <c r="AH29" s="2512"/>
      <c r="AI29" s="2512"/>
      <c r="AJ29" s="2512"/>
    </row>
    <row r="30" spans="1:37" ht="25.5" thickBot="1">
      <c r="A30" s="2643"/>
      <c r="B30" s="2644" t="s">
        <v>2724</v>
      </c>
      <c r="C30" s="151">
        <f ca="1">ROUND(IF(E2="工业",C29*M39,C29*M38),0)</f>
        <v>7849</v>
      </c>
      <c r="D30" s="2645"/>
      <c r="E30" s="973">
        <f ca="1">ROUND(C30*D30,0)</f>
        <v>0</v>
      </c>
      <c r="F30" s="2646" t="s">
        <v>2725</v>
      </c>
      <c r="G30" s="2647"/>
      <c r="H30" s="2647"/>
      <c r="I30" s="2647"/>
      <c r="J30" s="2648"/>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2"/>
      <c r="AH30" s="2512"/>
      <c r="AI30" s="2512"/>
      <c r="AJ30" s="2512"/>
    </row>
    <row r="31" spans="1:37">
      <c r="A31" s="2649"/>
      <c r="B31" s="2650" t="s">
        <v>2726</v>
      </c>
      <c r="C31" s="2651" t="s">
        <v>2727</v>
      </c>
      <c r="D31" s="2555"/>
      <c r="E31" s="2651"/>
      <c r="F31" s="2651"/>
      <c r="G31" s="2553" t="s">
        <v>2728</v>
      </c>
      <c r="H31" s="2555"/>
      <c r="I31" s="2652"/>
      <c r="J31" s="2556"/>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2"/>
      <c r="AH31" s="2512"/>
      <c r="AI31" s="2512"/>
      <c r="AJ31" s="2512"/>
    </row>
    <row r="32" spans="1:37" ht="24">
      <c r="A32" s="2637"/>
      <c r="B32" s="2653"/>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2"/>
      <c r="AH32" s="2512"/>
      <c r="AI32" s="2512"/>
      <c r="AJ32" s="2512"/>
    </row>
    <row r="33" spans="1:37">
      <c r="A33" s="3042" t="s">
        <v>2730</v>
      </c>
      <c r="B33" s="2654" t="s">
        <v>2731</v>
      </c>
      <c r="C33" s="124">
        <f ca="1">ROUND(D5*C19*C20*C24*F33,0)</f>
        <v>25118</v>
      </c>
      <c r="D33" s="2639"/>
      <c r="E33" s="118">
        <f t="shared" ref="E33:E39" ca="1" si="6">ROUND(C33*D33,0)</f>
        <v>0</v>
      </c>
      <c r="F33" s="118">
        <f>SUMIF(修正!A45:A56,G2,修正!B45:B56)</f>
        <v>0.8</v>
      </c>
      <c r="G33" s="118">
        <f t="shared" ref="G33:G39" ca="1" si="7">ROUND(IF(E2="工业",C33*$M$39,C33*$M$38),0)</f>
        <v>6280</v>
      </c>
      <c r="H33" s="118">
        <f>D33</f>
        <v>0</v>
      </c>
      <c r="I33" s="118">
        <f t="shared" ref="I33:I39" ca="1" si="8">ROUND(G33*H33,0)</f>
        <v>0</v>
      </c>
      <c r="J33" s="2655"/>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43"/>
      <c r="B34" s="2559" t="s">
        <v>2732</v>
      </c>
      <c r="C34" s="124">
        <f ca="1">ROUND(D5*C19*C20*C24*F34,0)</f>
        <v>15699</v>
      </c>
      <c r="D34" s="2639"/>
      <c r="E34" s="118">
        <f t="shared" ca="1" si="6"/>
        <v>0</v>
      </c>
      <c r="F34" s="118">
        <f>SUMIF(修正!A45:A56,G2,修正!C45:C56)</f>
        <v>0.5</v>
      </c>
      <c r="G34" s="118">
        <f t="shared" ca="1" si="7"/>
        <v>3925</v>
      </c>
      <c r="H34" s="118">
        <f t="shared" ref="H34:H39" si="9">D34</f>
        <v>0</v>
      </c>
      <c r="I34" s="118">
        <f t="shared" ca="1" si="8"/>
        <v>0</v>
      </c>
      <c r="J34" s="2655"/>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43"/>
      <c r="B35" s="2559" t="s">
        <v>2733</v>
      </c>
      <c r="C35" s="124">
        <f ca="1">ROUND(D5*C19*C20*C24*F35,0)</f>
        <v>11303</v>
      </c>
      <c r="D35" s="2639"/>
      <c r="E35" s="118">
        <f t="shared" ca="1" si="6"/>
        <v>0</v>
      </c>
      <c r="F35" s="118">
        <f>SUMIF(修正!A45:A56,G2,修正!D45:D56)</f>
        <v>0.36</v>
      </c>
      <c r="G35" s="118">
        <f t="shared" ca="1" si="7"/>
        <v>2826</v>
      </c>
      <c r="H35" s="118">
        <f t="shared" si="9"/>
        <v>0</v>
      </c>
      <c r="I35" s="118">
        <f t="shared" ca="1" si="8"/>
        <v>0</v>
      </c>
      <c r="J35" s="2655"/>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44"/>
      <c r="B36" s="2559" t="s">
        <v>2734</v>
      </c>
      <c r="C36" s="124">
        <f ca="1">ROUND(D5*C19*C20*C24*F36,0)</f>
        <v>9419</v>
      </c>
      <c r="D36" s="2639"/>
      <c r="E36" s="118">
        <f t="shared" ca="1" si="6"/>
        <v>0</v>
      </c>
      <c r="F36" s="118">
        <f>SUMIF(修正!A45:A56,G2,修正!E45:E56)</f>
        <v>0.3</v>
      </c>
      <c r="G36" s="118">
        <f t="shared" ca="1" si="7"/>
        <v>2355</v>
      </c>
      <c r="H36" s="118">
        <f t="shared" si="9"/>
        <v>0</v>
      </c>
      <c r="I36" s="118">
        <f t="shared" ca="1" si="8"/>
        <v>0</v>
      </c>
      <c r="J36" s="2655"/>
      <c r="L36" s="2656"/>
      <c r="M36" s="2656"/>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7"/>
      <c r="B37" s="2559" t="s">
        <v>2735</v>
      </c>
      <c r="C37" s="118">
        <f ca="1">ROUND(C5*C19*C20*C24*F37,0)</f>
        <v>9419</v>
      </c>
      <c r="D37" s="2639"/>
      <c r="E37" s="118">
        <f t="shared" ca="1" si="6"/>
        <v>0</v>
      </c>
      <c r="F37" s="124">
        <f>SUMIF(修正!A45:A56,G2,修正!F45:F56)</f>
        <v>0.3</v>
      </c>
      <c r="G37" s="118">
        <f t="shared" ca="1" si="7"/>
        <v>2355</v>
      </c>
      <c r="H37" s="118">
        <f t="shared" si="9"/>
        <v>0</v>
      </c>
      <c r="I37" s="118">
        <f t="shared" ca="1" si="8"/>
        <v>0</v>
      </c>
      <c r="J37" s="2655"/>
      <c r="L37" s="2658" t="s">
        <v>2736</v>
      </c>
      <c r="M37" s="2543"/>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7"/>
      <c r="B38" s="2559" t="s">
        <v>2737</v>
      </c>
      <c r="C38" s="118">
        <f ca="1">ROUND(C5*C19*C20*C24*F38,0)</f>
        <v>9419</v>
      </c>
      <c r="D38" s="2639"/>
      <c r="E38" s="118">
        <f t="shared" ca="1" si="6"/>
        <v>0</v>
      </c>
      <c r="F38" s="124">
        <f>SUMIF(修正!A45:A56,G2,修正!G45:G56)</f>
        <v>0.3</v>
      </c>
      <c r="G38" s="118">
        <f t="shared" ca="1" si="7"/>
        <v>2355</v>
      </c>
      <c r="H38" s="118">
        <f t="shared" si="9"/>
        <v>0</v>
      </c>
      <c r="I38" s="118">
        <f t="shared" ca="1" si="8"/>
        <v>0</v>
      </c>
      <c r="J38" s="2655"/>
      <c r="L38" s="2659" t="s">
        <v>2738</v>
      </c>
      <c r="M38" s="2660">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3"/>
      <c r="B39" s="2661" t="s">
        <v>2739</v>
      </c>
      <c r="C39" s="151">
        <f ca="1">ROUND(C5*C19*C20*C24*F39,0)</f>
        <v>7849</v>
      </c>
      <c r="D39" s="2645"/>
      <c r="E39" s="151">
        <f t="shared" ca="1" si="6"/>
        <v>0</v>
      </c>
      <c r="F39" s="962">
        <f>SUMIF(修正!A45:A56,G2,修正!H45:H56)</f>
        <v>0.25</v>
      </c>
      <c r="G39" s="151" t="e">
        <f t="shared" si="7"/>
        <v>#DIV/0!</v>
      </c>
      <c r="H39" s="151">
        <f t="shared" si="9"/>
        <v>0</v>
      </c>
      <c r="I39" s="151" t="e">
        <f t="shared" si="8"/>
        <v>#DIV/0!</v>
      </c>
      <c r="J39" s="2662"/>
      <c r="L39" s="2663" t="s">
        <v>2678</v>
      </c>
      <c r="M39" s="2664">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6"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5"/>
      <c r="AH40" s="2665"/>
      <c r="AI40" s="2665"/>
      <c r="AJ40" s="2665"/>
    </row>
    <row r="41" spans="1:37" s="2666" customFormat="1">
      <c r="A41" s="1465"/>
      <c r="B41" s="2667"/>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5"/>
      <c r="AH41" s="2665"/>
      <c r="AI41" s="2665"/>
      <c r="AJ41" s="2665"/>
    </row>
    <row r="42" spans="1:37" s="2666" customFormat="1">
      <c r="A42" s="1465"/>
      <c r="B42" s="2667"/>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5"/>
      <c r="AH42" s="2665"/>
      <c r="AI42" s="2665"/>
      <c r="AJ42" s="2665"/>
    </row>
    <row r="43" spans="1:37" s="2666" customFormat="1">
      <c r="A43" s="1465"/>
      <c r="B43" s="2667"/>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5"/>
      <c r="AH43" s="2665"/>
      <c r="AI43" s="2665"/>
      <c r="AJ43" s="2665"/>
    </row>
    <row r="44" spans="1:37" s="2666" customFormat="1">
      <c r="A44" s="1465"/>
      <c r="B44" s="2667"/>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5"/>
      <c r="AH44" s="2665"/>
      <c r="AI44" s="2665"/>
      <c r="AJ44" s="2665"/>
    </row>
    <row r="45" spans="1:37" s="2666" customFormat="1" ht="15.75" thickBot="1">
      <c r="A45" s="2668" t="s">
        <v>2740</v>
      </c>
      <c r="B45" s="2669"/>
      <c r="C45" s="9"/>
      <c r="D45" s="9"/>
      <c r="E45" s="9"/>
      <c r="F45" s="7"/>
      <c r="G45" s="9"/>
      <c r="H45" s="7"/>
      <c r="I45" s="9"/>
      <c r="J45" s="9"/>
      <c r="K45" s="9"/>
      <c r="L45" s="9"/>
      <c r="M45" s="9"/>
      <c r="N45" s="2510"/>
      <c r="O45" s="1464"/>
      <c r="P45" s="1464"/>
      <c r="Q45" s="1464"/>
      <c r="R45" s="1464"/>
      <c r="S45" s="1464"/>
      <c r="T45" s="1464"/>
      <c r="U45" s="1464"/>
      <c r="V45" s="1464"/>
      <c r="W45" s="1464"/>
      <c r="X45" s="1464"/>
      <c r="Y45" s="1464"/>
      <c r="Z45" s="1465"/>
      <c r="AA45" s="1465"/>
      <c r="AB45" s="1465"/>
      <c r="AC45" s="1465"/>
      <c r="AD45" s="1465"/>
      <c r="AE45" s="1465"/>
      <c r="AF45" s="1465"/>
      <c r="AG45" s="2665"/>
      <c r="AH45" s="2665"/>
      <c r="AI45" s="2665"/>
      <c r="AJ45" s="2665"/>
    </row>
    <row r="46" spans="1:37" s="2666" customFormat="1" ht="15">
      <c r="A46" s="2670" t="s">
        <v>2741</v>
      </c>
      <c r="B46" s="2671">
        <f>1+E48</f>
        <v>1.0339</v>
      </c>
      <c r="C46" s="2672"/>
      <c r="D46" s="818"/>
      <c r="E46" s="819"/>
      <c r="F46" s="2673"/>
      <c r="G46" s="7"/>
      <c r="H46" s="9"/>
      <c r="I46" s="9"/>
      <c r="J46" s="9"/>
      <c r="K46" s="9"/>
      <c r="L46" s="9"/>
      <c r="M46" s="2510"/>
      <c r="N46" s="2674"/>
      <c r="O46" s="1464"/>
      <c r="P46" s="1464"/>
      <c r="Q46" s="1464"/>
      <c r="R46" s="1464"/>
      <c r="S46" s="1464"/>
      <c r="T46" s="1464"/>
      <c r="U46" s="1464"/>
      <c r="V46" s="1464"/>
      <c r="W46" s="1464"/>
      <c r="X46" s="1464"/>
      <c r="Y46" s="1465"/>
      <c r="Z46" s="1465"/>
      <c r="AA46" s="1465"/>
      <c r="AB46" s="1465"/>
      <c r="AC46" s="1465"/>
      <c r="AD46" s="1465"/>
      <c r="AE46" s="1465"/>
      <c r="AF46" s="2665"/>
      <c r="AG46" s="2665"/>
      <c r="AH46" s="2665"/>
      <c r="AI46" s="2665"/>
    </row>
    <row r="47" spans="1:37" s="2666" customFormat="1" ht="24.75">
      <c r="A47" s="2675" t="s">
        <v>2742</v>
      </c>
      <c r="B47" s="824" t="s">
        <v>2743</v>
      </c>
      <c r="C47" s="824" t="s">
        <v>2744</v>
      </c>
      <c r="D47" s="824" t="s">
        <v>2745</v>
      </c>
      <c r="E47" s="825" t="s">
        <v>2746</v>
      </c>
      <c r="F47" s="2676" t="s">
        <v>2747</v>
      </c>
      <c r="G47" s="824" t="s">
        <v>2748</v>
      </c>
      <c r="H47" s="2677"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5"/>
      <c r="AI47" s="2665"/>
      <c r="AJ47" s="2665"/>
      <c r="AK47" s="2665"/>
    </row>
    <row r="48" spans="1:37" s="2666" customFormat="1" ht="38.25">
      <c r="A48" s="2675" t="s">
        <v>2756</v>
      </c>
      <c r="B48" s="2678" t="str">
        <f>估价对象房地状况!C16</f>
        <v>估价对象位于新街口商圈，周边商业氛围成熟，人流量大，商业繁华度较好</v>
      </c>
      <c r="C48" s="2565" t="s">
        <v>30</v>
      </c>
      <c r="D48" s="1378">
        <f t="shared" ref="D48:D56" si="10">SUMIF($J$47:$N$47,C48,J48:N48)</f>
        <v>1.46E-2</v>
      </c>
      <c r="E48" s="830">
        <f>ROUND(SUM(D48:D56),4)</f>
        <v>3.39E-2</v>
      </c>
      <c r="F48" s="2281">
        <f>IF(E2="商业",SUMIF(L1:L12,G2,N1:N12),"——")</f>
        <v>8.8999999999999996E-2</v>
      </c>
      <c r="G48" s="1379">
        <v>1.46E-2</v>
      </c>
      <c r="H48" s="1383">
        <f t="shared" ref="G48:H56" si="11">IFERROR(ROUNDDOWN($F$48*I48/2,4),"——")</f>
        <v>1.46E-2</v>
      </c>
      <c r="I48" s="829">
        <v>0.33</v>
      </c>
      <c r="J48" s="1380">
        <f t="shared" ref="J48:J56" si="12">K48+$G48</f>
        <v>2.92E-2</v>
      </c>
      <c r="K48" s="1380">
        <f t="shared" ref="K48:K56" si="13">$L48+$G48</f>
        <v>1.46E-2</v>
      </c>
      <c r="L48" s="1380">
        <v>0</v>
      </c>
      <c r="M48" s="1380">
        <f t="shared" ref="M48:N56" si="14">L48-$G48</f>
        <v>-1.46E-2</v>
      </c>
      <c r="N48" s="1380">
        <f t="shared" si="14"/>
        <v>-2.92E-2</v>
      </c>
      <c r="O48" s="1464"/>
      <c r="P48" s="1464"/>
      <c r="Q48" s="1464"/>
      <c r="R48" s="1464"/>
      <c r="S48" s="1464"/>
      <c r="T48" s="1464"/>
      <c r="U48" s="1464"/>
      <c r="V48" s="1464"/>
      <c r="W48" s="1464"/>
      <c r="X48" s="1464"/>
      <c r="Y48" s="1464"/>
      <c r="Z48" s="1464"/>
      <c r="AA48" s="1465"/>
      <c r="AB48" s="1465"/>
      <c r="AC48" s="1465"/>
      <c r="AD48" s="1465"/>
      <c r="AE48" s="1465"/>
      <c r="AF48" s="1465"/>
      <c r="AG48" s="1465"/>
      <c r="AH48" s="2665"/>
      <c r="AI48" s="2665"/>
      <c r="AJ48" s="2665"/>
      <c r="AK48" s="2665"/>
    </row>
    <row r="49" spans="1:37" s="2666" customFormat="1" ht="51">
      <c r="A49" s="2675" t="s">
        <v>2757</v>
      </c>
      <c r="B49" s="2679" t="str">
        <f>估价对象房地状况!C18</f>
        <v>估价对象紧邻城市支道路——新街口四条，有22路、47路、86路、409路等多条公交线路及地铁2号线（积水潭站）、地铁6号线（新街口站)通过，交通便捷度较好。</v>
      </c>
      <c r="C49" s="2565" t="s">
        <v>31</v>
      </c>
      <c r="D49" s="1378">
        <f t="shared" si="10"/>
        <v>0</v>
      </c>
      <c r="E49" s="833"/>
      <c r="F49" s="2281"/>
      <c r="G49" s="1379">
        <v>1.11E-2</v>
      </c>
      <c r="H49" s="1383">
        <f t="shared" si="11"/>
        <v>1.11E-2</v>
      </c>
      <c r="I49" s="829">
        <v>0.25</v>
      </c>
      <c r="J49" s="1380">
        <f t="shared" si="12"/>
        <v>2.2200000000000001E-2</v>
      </c>
      <c r="K49" s="1380">
        <f t="shared" si="13"/>
        <v>1.11E-2</v>
      </c>
      <c r="L49" s="1380">
        <v>0</v>
      </c>
      <c r="M49" s="1380">
        <f t="shared" si="14"/>
        <v>-1.11E-2</v>
      </c>
      <c r="N49" s="1380">
        <f t="shared" si="14"/>
        <v>-2.2200000000000001E-2</v>
      </c>
      <c r="O49" s="1464"/>
      <c r="P49" s="1464"/>
      <c r="Q49" s="1464"/>
      <c r="R49" s="1464"/>
      <c r="S49" s="1464"/>
      <c r="T49" s="1464"/>
      <c r="U49" s="1464"/>
      <c r="V49" s="1464"/>
      <c r="W49" s="1464"/>
      <c r="X49" s="1464"/>
      <c r="Y49" s="1464"/>
      <c r="Z49" s="1464"/>
      <c r="AA49" s="1465"/>
      <c r="AB49" s="1465"/>
      <c r="AC49" s="1465"/>
      <c r="AD49" s="1465"/>
      <c r="AE49" s="1465"/>
      <c r="AF49" s="1465"/>
      <c r="AG49" s="1465"/>
      <c r="AH49" s="2665"/>
      <c r="AI49" s="2665"/>
      <c r="AJ49" s="2665"/>
      <c r="AK49" s="2665"/>
    </row>
    <row r="50" spans="1:37" s="2666" customFormat="1" ht="24">
      <c r="A50" s="2675" t="s">
        <v>2758</v>
      </c>
      <c r="B50" s="2679">
        <f>估价对象房地状况!C19</f>
        <v>0</v>
      </c>
      <c r="C50" s="2565" t="s">
        <v>30</v>
      </c>
      <c r="D50" s="1378">
        <f t="shared" si="10"/>
        <v>2.2000000000000001E-3</v>
      </c>
      <c r="E50" s="833"/>
      <c r="F50" s="2281"/>
      <c r="G50" s="1379">
        <v>2.2000000000000001E-3</v>
      </c>
      <c r="H50" s="1383">
        <f t="shared" si="11"/>
        <v>2.2000000000000001E-3</v>
      </c>
      <c r="I50" s="829">
        <v>0.05</v>
      </c>
      <c r="J50" s="1380">
        <f t="shared" si="12"/>
        <v>4.4000000000000003E-3</v>
      </c>
      <c r="K50" s="1380">
        <f t="shared" si="13"/>
        <v>2.2000000000000001E-3</v>
      </c>
      <c r="L50" s="1380">
        <v>0</v>
      </c>
      <c r="M50" s="1380">
        <f t="shared" si="14"/>
        <v>-2.2000000000000001E-3</v>
      </c>
      <c r="N50" s="1380">
        <f t="shared" si="14"/>
        <v>-4.4000000000000003E-3</v>
      </c>
      <c r="O50" s="1464"/>
      <c r="P50" s="1464"/>
      <c r="Q50" s="1464"/>
      <c r="R50" s="1464"/>
      <c r="S50" s="1464"/>
      <c r="T50" s="1464"/>
      <c r="U50" s="1464"/>
      <c r="V50" s="1464"/>
      <c r="W50" s="1464"/>
      <c r="X50" s="1464"/>
      <c r="Y50" s="1464"/>
      <c r="Z50" s="1464"/>
      <c r="AA50" s="1465"/>
      <c r="AB50" s="1465"/>
      <c r="AC50" s="1465"/>
      <c r="AD50" s="1465"/>
      <c r="AE50" s="1465"/>
      <c r="AF50" s="1465"/>
      <c r="AG50" s="1465"/>
      <c r="AH50" s="2665"/>
      <c r="AI50" s="2665"/>
      <c r="AJ50" s="2665"/>
      <c r="AK50" s="2665"/>
    </row>
    <row r="51" spans="1:37" s="2666" customFormat="1" ht="36.75">
      <c r="A51" s="2675" t="s">
        <v>2759</v>
      </c>
      <c r="B51" s="2680" t="s">
        <v>2760</v>
      </c>
      <c r="C51" s="2565" t="s">
        <v>31</v>
      </c>
      <c r="D51" s="1378">
        <f t="shared" si="10"/>
        <v>0</v>
      </c>
      <c r="E51" s="833"/>
      <c r="F51" s="2281"/>
      <c r="G51" s="1379">
        <v>2.2000000000000001E-3</v>
      </c>
      <c r="H51" s="1383">
        <f t="shared" si="11"/>
        <v>2.2000000000000001E-3</v>
      </c>
      <c r="I51" s="829">
        <v>0.05</v>
      </c>
      <c r="J51" s="1380">
        <f t="shared" si="12"/>
        <v>4.4000000000000003E-3</v>
      </c>
      <c r="K51" s="1380">
        <f t="shared" si="13"/>
        <v>2.2000000000000001E-3</v>
      </c>
      <c r="L51" s="1380">
        <v>0</v>
      </c>
      <c r="M51" s="1380">
        <f t="shared" si="14"/>
        <v>-2.2000000000000001E-3</v>
      </c>
      <c r="N51" s="1380">
        <f t="shared" si="14"/>
        <v>-4.4000000000000003E-3</v>
      </c>
      <c r="O51" s="1464"/>
      <c r="P51" s="1464"/>
      <c r="Q51" s="1464"/>
      <c r="R51" s="1464"/>
      <c r="S51" s="1464"/>
      <c r="T51" s="1464"/>
      <c r="U51" s="1464"/>
      <c r="V51" s="1464"/>
      <c r="W51" s="1464"/>
      <c r="X51" s="1464"/>
      <c r="Y51" s="1464"/>
      <c r="Z51" s="1464"/>
      <c r="AA51" s="1465"/>
      <c r="AB51" s="1465"/>
      <c r="AC51" s="1465"/>
      <c r="AD51" s="1465"/>
      <c r="AE51" s="1465"/>
      <c r="AF51" s="1465"/>
      <c r="AG51" s="1465"/>
      <c r="AH51" s="2665"/>
      <c r="AI51" s="2665"/>
      <c r="AJ51" s="2665"/>
      <c r="AK51" s="2665"/>
    </row>
    <row r="52" spans="1:37" s="2666" customFormat="1" ht="24">
      <c r="A52" s="2675" t="s">
        <v>2761</v>
      </c>
      <c r="B52" s="2679" t="str">
        <f>估价对象房地状况!C24</f>
        <v>城市支道路——新街口四条</v>
      </c>
      <c r="C52" s="2565" t="s">
        <v>31</v>
      </c>
      <c r="D52" s="1378">
        <f t="shared" si="10"/>
        <v>0</v>
      </c>
      <c r="E52" s="833"/>
      <c r="F52" s="2281"/>
      <c r="G52" s="1379">
        <v>3.5000000000000001E-3</v>
      </c>
      <c r="H52" s="1383">
        <f t="shared" si="11"/>
        <v>3.5000000000000001E-3</v>
      </c>
      <c r="I52" s="829">
        <v>0.08</v>
      </c>
      <c r="J52" s="1380">
        <f t="shared" si="12"/>
        <v>7.0000000000000001E-3</v>
      </c>
      <c r="K52" s="1380">
        <f t="shared" si="13"/>
        <v>3.5000000000000001E-3</v>
      </c>
      <c r="L52" s="1380">
        <v>0</v>
      </c>
      <c r="M52" s="1380">
        <f t="shared" si="14"/>
        <v>-3.5000000000000001E-3</v>
      </c>
      <c r="N52" s="1380">
        <f t="shared" si="14"/>
        <v>-7.0000000000000001E-3</v>
      </c>
      <c r="O52" s="1464"/>
      <c r="P52" s="1464"/>
      <c r="Q52" s="1464"/>
      <c r="R52" s="1464"/>
      <c r="S52" s="1464"/>
      <c r="T52" s="1464"/>
      <c r="U52" s="1464"/>
      <c r="V52" s="1464"/>
      <c r="W52" s="1464"/>
      <c r="X52" s="1464"/>
      <c r="Y52" s="1464"/>
      <c r="Z52" s="1464"/>
      <c r="AA52" s="1465"/>
      <c r="AB52" s="1465"/>
      <c r="AC52" s="1465"/>
      <c r="AD52" s="1465"/>
      <c r="AE52" s="1465"/>
      <c r="AF52" s="1465"/>
      <c r="AG52" s="1465"/>
      <c r="AH52" s="2665"/>
      <c r="AI52" s="2665"/>
      <c r="AJ52" s="2665"/>
      <c r="AK52" s="2665"/>
    </row>
    <row r="53" spans="1:37" s="2666" customFormat="1" ht="24">
      <c r="A53" s="2675" t="s">
        <v>2762</v>
      </c>
      <c r="B53" s="2681" t="s">
        <v>2763</v>
      </c>
      <c r="C53" s="2565" t="s">
        <v>30</v>
      </c>
      <c r="D53" s="1378">
        <f t="shared" si="10"/>
        <v>1.2999999999999999E-3</v>
      </c>
      <c r="E53" s="833"/>
      <c r="F53" s="2281"/>
      <c r="G53" s="1379">
        <v>1.2999999999999999E-3</v>
      </c>
      <c r="H53" s="1383">
        <f t="shared" si="11"/>
        <v>1.2999999999999999E-3</v>
      </c>
      <c r="I53" s="829">
        <v>0.03</v>
      </c>
      <c r="J53" s="1380">
        <f t="shared" si="12"/>
        <v>2.5999999999999999E-3</v>
      </c>
      <c r="K53" s="1380">
        <f t="shared" si="13"/>
        <v>1.2999999999999999E-3</v>
      </c>
      <c r="L53" s="1380">
        <v>0</v>
      </c>
      <c r="M53" s="1380">
        <f t="shared" si="14"/>
        <v>-1.2999999999999999E-3</v>
      </c>
      <c r="N53" s="1380">
        <f t="shared" si="14"/>
        <v>-2.5999999999999999E-3</v>
      </c>
      <c r="O53" s="1464"/>
      <c r="P53" s="1464"/>
      <c r="Q53" s="1464"/>
      <c r="R53" s="1464"/>
      <c r="S53" s="1464"/>
      <c r="T53" s="1464"/>
      <c r="U53" s="1464"/>
      <c r="V53" s="1464"/>
      <c r="W53" s="1464"/>
      <c r="X53" s="1464"/>
      <c r="Y53" s="1464"/>
      <c r="Z53" s="1464"/>
      <c r="AA53" s="1465"/>
      <c r="AB53" s="1465"/>
      <c r="AC53" s="1465"/>
      <c r="AD53" s="1465"/>
      <c r="AE53" s="1465"/>
      <c r="AF53" s="1465"/>
      <c r="AG53" s="1465"/>
      <c r="AH53" s="2665"/>
      <c r="AI53" s="2665"/>
      <c r="AJ53" s="2665"/>
      <c r="AK53" s="2665"/>
    </row>
    <row r="54" spans="1:37" s="2666" customFormat="1" ht="25.5">
      <c r="A54" s="2682" t="s">
        <v>2764</v>
      </c>
      <c r="B54" s="2683" t="str">
        <f>估价对象房地状况!C21</f>
        <v>估价对象所在区域公共配套设施好</v>
      </c>
      <c r="C54" s="2565" t="s">
        <v>29</v>
      </c>
      <c r="D54" s="1378">
        <f t="shared" si="10"/>
        <v>4.4000000000000003E-3</v>
      </c>
      <c r="E54" s="833"/>
      <c r="F54" s="2281"/>
      <c r="G54" s="1379">
        <v>2.2000000000000001E-3</v>
      </c>
      <c r="H54" s="1383">
        <f t="shared" si="11"/>
        <v>2.2000000000000001E-3</v>
      </c>
      <c r="I54" s="829">
        <v>0.05</v>
      </c>
      <c r="J54" s="1380">
        <f t="shared" si="12"/>
        <v>4.4000000000000003E-3</v>
      </c>
      <c r="K54" s="1380">
        <f t="shared" si="13"/>
        <v>2.2000000000000001E-3</v>
      </c>
      <c r="L54" s="1380">
        <v>0</v>
      </c>
      <c r="M54" s="1380">
        <f t="shared" si="14"/>
        <v>-2.2000000000000001E-3</v>
      </c>
      <c r="N54" s="1380">
        <f t="shared" si="14"/>
        <v>-4.4000000000000003E-3</v>
      </c>
      <c r="O54" s="1464"/>
      <c r="P54" s="1464"/>
      <c r="Q54" s="1464"/>
      <c r="R54" s="1464"/>
      <c r="S54" s="1464"/>
      <c r="T54" s="1464"/>
      <c r="U54" s="1464"/>
      <c r="V54" s="1464"/>
      <c r="W54" s="1464"/>
      <c r="X54" s="1464"/>
      <c r="Y54" s="1464"/>
      <c r="Z54" s="1464"/>
      <c r="AA54" s="1465"/>
      <c r="AB54" s="1465"/>
      <c r="AC54" s="1465"/>
      <c r="AD54" s="1465"/>
      <c r="AE54" s="1465"/>
      <c r="AF54" s="1465"/>
      <c r="AG54" s="1465"/>
      <c r="AH54" s="2665"/>
      <c r="AI54" s="2665"/>
      <c r="AJ54" s="2665"/>
      <c r="AK54" s="2665"/>
    </row>
    <row r="55" spans="1:37" s="2666" customFormat="1" ht="25.5">
      <c r="A55" s="2682" t="s">
        <v>2765</v>
      </c>
      <c r="B55" s="2679" t="str">
        <f>估价对象房地状况!C22</f>
        <v>七通一平</v>
      </c>
      <c r="C55" s="2565" t="s">
        <v>29</v>
      </c>
      <c r="D55" s="1378">
        <f t="shared" si="10"/>
        <v>8.8000000000000005E-3</v>
      </c>
      <c r="E55" s="833"/>
      <c r="F55" s="2281"/>
      <c r="G55" s="1379">
        <v>4.4000000000000003E-3</v>
      </c>
      <c r="H55" s="1383">
        <f t="shared" si="11"/>
        <v>4.4000000000000003E-3</v>
      </c>
      <c r="I55" s="829">
        <v>0.1</v>
      </c>
      <c r="J55" s="1380">
        <f t="shared" si="12"/>
        <v>8.8000000000000005E-3</v>
      </c>
      <c r="K55" s="1380">
        <f t="shared" si="13"/>
        <v>4.4000000000000003E-3</v>
      </c>
      <c r="L55" s="1380">
        <v>0</v>
      </c>
      <c r="M55" s="1380">
        <f t="shared" si="14"/>
        <v>-4.4000000000000003E-3</v>
      </c>
      <c r="N55" s="1380">
        <f t="shared" si="14"/>
        <v>-8.8000000000000005E-3</v>
      </c>
      <c r="O55" s="1464"/>
      <c r="P55" s="1464"/>
      <c r="Q55" s="1464"/>
      <c r="R55" s="1464"/>
      <c r="S55" s="1464"/>
      <c r="T55" s="1464"/>
      <c r="U55" s="1464"/>
      <c r="V55" s="1464"/>
      <c r="W55" s="1464"/>
      <c r="X55" s="1464"/>
      <c r="Y55" s="1464"/>
      <c r="Z55" s="1464"/>
      <c r="AA55" s="1465"/>
      <c r="AB55" s="1465"/>
      <c r="AC55" s="1465"/>
      <c r="AD55" s="1465"/>
      <c r="AE55" s="1465"/>
      <c r="AF55" s="1465"/>
      <c r="AG55" s="1465"/>
      <c r="AH55" s="2665"/>
      <c r="AI55" s="2665"/>
      <c r="AJ55" s="2665"/>
      <c r="AK55" s="2665"/>
    </row>
    <row r="56" spans="1:37" s="2666" customFormat="1" ht="39" thickBot="1">
      <c r="A56" s="2684" t="s">
        <v>2766</v>
      </c>
      <c r="B56" s="2685" t="str">
        <f>估价对象房地状况!C20</f>
        <v>自然环境：什刹海公园、官园公园、护城河；人文环境：西城区青少年儿童图书馆、西城区图书馆（总馆）、恭王府、北京古代钱币博物馆、北京工艺美术博物馆；综合评价环境状况好。</v>
      </c>
      <c r="C56" s="2565" t="s">
        <v>30</v>
      </c>
      <c r="D56" s="1378">
        <f t="shared" si="10"/>
        <v>2.5999999999999999E-3</v>
      </c>
      <c r="E56" s="839"/>
      <c r="F56" s="2281"/>
      <c r="G56" s="1379">
        <v>2.5999999999999999E-3</v>
      </c>
      <c r="H56" s="1383">
        <f t="shared" si="11"/>
        <v>2.5999999999999999E-3</v>
      </c>
      <c r="I56" s="838">
        <v>0.06</v>
      </c>
      <c r="J56" s="1380">
        <f t="shared" si="12"/>
        <v>5.1999999999999998E-3</v>
      </c>
      <c r="K56" s="1380">
        <f t="shared" si="13"/>
        <v>2.5999999999999999E-3</v>
      </c>
      <c r="L56" s="1380">
        <v>0</v>
      </c>
      <c r="M56" s="1380">
        <f t="shared" si="14"/>
        <v>-2.5999999999999999E-3</v>
      </c>
      <c r="N56" s="1380">
        <f t="shared" si="14"/>
        <v>-5.1999999999999998E-3</v>
      </c>
      <c r="O56" s="1464"/>
      <c r="P56" s="1464"/>
      <c r="Q56" s="1464"/>
      <c r="R56" s="1464"/>
      <c r="S56" s="1464"/>
      <c r="T56" s="1464"/>
      <c r="U56" s="1464"/>
      <c r="V56" s="1464"/>
      <c r="W56" s="1464"/>
      <c r="X56" s="1464"/>
      <c r="Y56" s="1464"/>
      <c r="Z56" s="1464"/>
      <c r="AA56" s="1465"/>
      <c r="AB56" s="1465"/>
      <c r="AC56" s="1465"/>
      <c r="AD56" s="1465"/>
      <c r="AE56" s="1465"/>
      <c r="AF56" s="1465"/>
      <c r="AG56" s="1465"/>
      <c r="AH56" s="2665"/>
      <c r="AI56" s="2665"/>
      <c r="AJ56" s="2665"/>
      <c r="AK56" s="2665"/>
    </row>
    <row r="57" spans="1:37" s="2666" customFormat="1" ht="15">
      <c r="A57" s="2670" t="s">
        <v>2767</v>
      </c>
      <c r="B57" s="2686">
        <f>1+E59</f>
        <v>1</v>
      </c>
      <c r="C57" s="818"/>
      <c r="D57" s="818"/>
      <c r="E57" s="819"/>
      <c r="F57" s="2673"/>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5"/>
      <c r="AI57" s="2665"/>
      <c r="AJ57" s="2665"/>
      <c r="AK57" s="2665"/>
    </row>
    <row r="58" spans="1:37" s="2666" customFormat="1" ht="24.75">
      <c r="A58" s="2675" t="s">
        <v>2742</v>
      </c>
      <c r="B58" s="2679"/>
      <c r="C58" s="824" t="s">
        <v>2744</v>
      </c>
      <c r="D58" s="824" t="s">
        <v>2745</v>
      </c>
      <c r="E58" s="825" t="s">
        <v>2746</v>
      </c>
      <c r="F58" s="2676" t="s">
        <v>2747</v>
      </c>
      <c r="G58" s="824" t="s">
        <v>2768</v>
      </c>
      <c r="H58" s="2677" t="s">
        <v>2769</v>
      </c>
      <c r="I58" s="824" t="s">
        <v>2770</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5"/>
      <c r="AI58" s="2665"/>
      <c r="AJ58" s="2665"/>
      <c r="AK58" s="2665"/>
    </row>
    <row r="59" spans="1:37" s="2666" customFormat="1" ht="38.25">
      <c r="A59" s="2675" t="s">
        <v>2771</v>
      </c>
      <c r="B59" s="2678" t="str">
        <f>估价对象房地状况!C17</f>
        <v>估价对象位于XX商圈，周边办公楼项目较多，入驻率高，办公集聚程度较好</v>
      </c>
      <c r="C59" s="2565"/>
      <c r="D59" s="1378">
        <f t="shared" ref="D59:D67" si="15">SUMIF($J$58:$N$58,C59,J59:N59)</f>
        <v>0</v>
      </c>
      <c r="E59" s="830">
        <f>ROUND(SUM(D59:D67),4)</f>
        <v>0</v>
      </c>
      <c r="F59" s="2281"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5"/>
      <c r="AI59" s="2665"/>
      <c r="AJ59" s="2665"/>
      <c r="AK59" s="2665"/>
    </row>
    <row r="60" spans="1:37" s="2666" customFormat="1" ht="51">
      <c r="A60" s="2675" t="s">
        <v>2757</v>
      </c>
      <c r="B60" s="2679" t="str">
        <f>估价对象房地状况!C18</f>
        <v>估价对象紧邻城市支道路——新街口四条，有22路、47路、86路、409路等多条公交线路及地铁2号线（积水潭站）、地铁6号线（新街口站)通过，交通便捷度较好。</v>
      </c>
      <c r="C60" s="2565"/>
      <c r="D60" s="1378">
        <f t="shared" si="15"/>
        <v>0</v>
      </c>
      <c r="E60" s="833"/>
      <c r="F60" s="2281"/>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5"/>
      <c r="AI60" s="2665"/>
      <c r="AJ60" s="2665"/>
      <c r="AK60" s="2665"/>
    </row>
    <row r="61" spans="1:37" s="2666" customFormat="1" ht="24">
      <c r="A61" s="2675" t="s">
        <v>2758</v>
      </c>
      <c r="B61" s="2679">
        <f>估价对象房地状况!C19</f>
        <v>0</v>
      </c>
      <c r="C61" s="2565"/>
      <c r="D61" s="1378">
        <f t="shared" si="15"/>
        <v>0</v>
      </c>
      <c r="E61" s="833"/>
      <c r="F61" s="2281"/>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5"/>
      <c r="AI61" s="2665"/>
      <c r="AJ61" s="2665"/>
      <c r="AK61" s="2665"/>
    </row>
    <row r="62" spans="1:37" s="2666" customFormat="1" ht="36.75">
      <c r="A62" s="2675" t="s">
        <v>2759</v>
      </c>
      <c r="B62" s="2680" t="s">
        <v>2760</v>
      </c>
      <c r="C62" s="2565"/>
      <c r="D62" s="1378">
        <f t="shared" si="15"/>
        <v>0</v>
      </c>
      <c r="E62" s="833"/>
      <c r="F62" s="2281"/>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5"/>
      <c r="AI62" s="2665"/>
      <c r="AJ62" s="2665"/>
      <c r="AK62" s="2665"/>
    </row>
    <row r="63" spans="1:37" s="2666" customFormat="1" ht="24">
      <c r="A63" s="2675" t="s">
        <v>2761</v>
      </c>
      <c r="B63" s="2679" t="str">
        <f>估价对象房地状况!C24</f>
        <v>城市支道路——新街口四条</v>
      </c>
      <c r="C63" s="2565"/>
      <c r="D63" s="1378">
        <f t="shared" si="15"/>
        <v>0</v>
      </c>
      <c r="E63" s="833"/>
      <c r="F63" s="2281"/>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5"/>
      <c r="AI63" s="2665"/>
      <c r="AJ63" s="2665"/>
      <c r="AK63" s="2665"/>
    </row>
    <row r="64" spans="1:37" s="2666" customFormat="1" ht="24">
      <c r="A64" s="2675" t="s">
        <v>2762</v>
      </c>
      <c r="B64" s="2681" t="s">
        <v>2763</v>
      </c>
      <c r="C64" s="2565"/>
      <c r="D64" s="1378">
        <f t="shared" si="15"/>
        <v>0</v>
      </c>
      <c r="E64" s="833"/>
      <c r="F64" s="2281"/>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5"/>
      <c r="AI64" s="2665"/>
      <c r="AJ64" s="2665"/>
      <c r="AK64" s="2665"/>
    </row>
    <row r="65" spans="1:37" s="2666" customFormat="1" ht="25.5">
      <c r="A65" s="2675" t="s">
        <v>2764</v>
      </c>
      <c r="B65" s="2683" t="str">
        <f>估价对象房地状况!C21</f>
        <v>估价对象所在区域公共配套设施好</v>
      </c>
      <c r="C65" s="2565"/>
      <c r="D65" s="1378">
        <f t="shared" si="15"/>
        <v>0</v>
      </c>
      <c r="E65" s="833"/>
      <c r="F65" s="2281"/>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5"/>
      <c r="AI65" s="2665"/>
      <c r="AJ65" s="2665"/>
      <c r="AK65" s="2665"/>
    </row>
    <row r="66" spans="1:37" s="2666" customFormat="1" ht="25.5">
      <c r="A66" s="2675" t="s">
        <v>2765</v>
      </c>
      <c r="B66" s="2683" t="str">
        <f>估价对象房地状况!C22</f>
        <v>七通一平</v>
      </c>
      <c r="C66" s="2565"/>
      <c r="D66" s="1378">
        <f t="shared" si="15"/>
        <v>0</v>
      </c>
      <c r="E66" s="833"/>
      <c r="F66" s="2281"/>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5"/>
      <c r="AI66" s="2665"/>
      <c r="AJ66" s="2665"/>
      <c r="AK66" s="2665"/>
    </row>
    <row r="67" spans="1:37" s="2666" customFormat="1" ht="39" thickBot="1">
      <c r="A67" s="2684" t="s">
        <v>2766</v>
      </c>
      <c r="B67" s="2687" t="str">
        <f>估价对象房地状况!C20</f>
        <v>自然环境：什刹海公园、官园公园、护城河；人文环境：西城区青少年儿童图书馆、西城区图书馆（总馆）、恭王府、北京古代钱币博物馆、北京工艺美术博物馆；综合评价环境状况好。</v>
      </c>
      <c r="C67" s="2565"/>
      <c r="D67" s="1378">
        <f t="shared" si="15"/>
        <v>0</v>
      </c>
      <c r="E67" s="839"/>
      <c r="F67" s="2281"/>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5"/>
      <c r="AI67" s="2665"/>
      <c r="AJ67" s="2665"/>
      <c r="AK67" s="2665"/>
    </row>
    <row r="68" spans="1:37" s="2666" customFormat="1" ht="15">
      <c r="A68" s="2670" t="s">
        <v>2772</v>
      </c>
      <c r="B68" s="2686">
        <f>1+E70</f>
        <v>1</v>
      </c>
      <c r="C68" s="818"/>
      <c r="D68" s="818"/>
      <c r="E68" s="819"/>
      <c r="F68" s="2673"/>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5"/>
      <c r="AI68" s="2665"/>
      <c r="AJ68" s="2665"/>
      <c r="AK68" s="2665"/>
    </row>
    <row r="69" spans="1:37" s="2666" customFormat="1" ht="24.75">
      <c r="A69" s="2675" t="s">
        <v>2742</v>
      </c>
      <c r="B69" s="2679"/>
      <c r="C69" s="824" t="s">
        <v>2744</v>
      </c>
      <c r="D69" s="824" t="s">
        <v>2745</v>
      </c>
      <c r="E69" s="825" t="s">
        <v>2746</v>
      </c>
      <c r="F69" s="2676" t="s">
        <v>2747</v>
      </c>
      <c r="G69" s="824" t="s">
        <v>2768</v>
      </c>
      <c r="H69" s="2677" t="s">
        <v>2769</v>
      </c>
      <c r="I69" s="824" t="s">
        <v>2770</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5"/>
      <c r="AI69" s="2665"/>
      <c r="AJ69" s="2665"/>
      <c r="AK69" s="2665"/>
    </row>
    <row r="70" spans="1:37" s="2666" customFormat="1" ht="51">
      <c r="A70" s="2675" t="s">
        <v>2773</v>
      </c>
      <c r="B70" s="2678" t="str">
        <f>估价对象房地状况!C15</f>
        <v>周边有新街口西里、玉桃园、如意里、冠英园西区等居住社区，综合评价居住社区成熟度好。</v>
      </c>
      <c r="C70" s="2565"/>
      <c r="D70" s="1378">
        <f t="shared" ref="D70:D78" si="20">SUMIF($J$69:$N$69,C70,J70:N70)</f>
        <v>0</v>
      </c>
      <c r="E70" s="830">
        <f>ROUND(SUM(D70:D78),4)</f>
        <v>0</v>
      </c>
      <c r="F70" s="2281"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5"/>
      <c r="AI70" s="2665"/>
      <c r="AJ70" s="2665"/>
      <c r="AK70" s="2665"/>
    </row>
    <row r="71" spans="1:37" s="2666" customFormat="1" ht="51">
      <c r="A71" s="2675" t="s">
        <v>2757</v>
      </c>
      <c r="B71" s="2679" t="str">
        <f>估价对象房地状况!C18</f>
        <v>估价对象紧邻城市支道路——新街口四条，有22路、47路、86路、409路等多条公交线路及地铁2号线（积水潭站）、地铁6号线（新街口站)通过，交通便捷度较好。</v>
      </c>
      <c r="C71" s="2565"/>
      <c r="D71" s="1378">
        <f t="shared" si="20"/>
        <v>0</v>
      </c>
      <c r="E71" s="841"/>
      <c r="F71" s="2688"/>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5"/>
      <c r="AI71" s="2665"/>
      <c r="AJ71" s="2665"/>
      <c r="AK71" s="2665"/>
    </row>
    <row r="72" spans="1:37" s="2666" customFormat="1" ht="24">
      <c r="A72" s="2675" t="s">
        <v>2758</v>
      </c>
      <c r="B72" s="2679">
        <f>估价对象房地状况!C19</f>
        <v>0</v>
      </c>
      <c r="C72" s="2565"/>
      <c r="D72" s="1378">
        <f t="shared" si="20"/>
        <v>0</v>
      </c>
      <c r="E72" s="841"/>
      <c r="F72" s="2688"/>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5"/>
      <c r="AI72" s="2665"/>
      <c r="AJ72" s="2665"/>
      <c r="AK72" s="2665"/>
    </row>
    <row r="73" spans="1:37" s="2666" customFormat="1" ht="14.25">
      <c r="A73" s="2675" t="s">
        <v>2774</v>
      </c>
      <c r="B73" s="2679" t="str">
        <f>估价对象房地状况!C24</f>
        <v>城市支道路——新街口四条</v>
      </c>
      <c r="C73" s="2565"/>
      <c r="D73" s="1378">
        <f t="shared" si="20"/>
        <v>0</v>
      </c>
      <c r="E73" s="841"/>
      <c r="F73" s="2688"/>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5"/>
      <c r="AI73" s="2665"/>
      <c r="AJ73" s="2665"/>
      <c r="AK73" s="2665"/>
    </row>
    <row r="74" spans="1:37" s="2666" customFormat="1" ht="25.5">
      <c r="A74" s="2675" t="s">
        <v>2764</v>
      </c>
      <c r="B74" s="2683" t="str">
        <f>估价对象房地状况!C21</f>
        <v>估价对象所在区域公共配套设施好</v>
      </c>
      <c r="C74" s="2565"/>
      <c r="D74" s="1378">
        <f t="shared" si="20"/>
        <v>0</v>
      </c>
      <c r="E74" s="841"/>
      <c r="F74" s="2688"/>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5"/>
      <c r="AI74" s="2665"/>
      <c r="AJ74" s="2665"/>
      <c r="AK74" s="2665"/>
    </row>
    <row r="75" spans="1:37" s="2666" customFormat="1" ht="25.5">
      <c r="A75" s="2675" t="s">
        <v>2765</v>
      </c>
      <c r="B75" s="2683" t="str">
        <f>估价对象房地状况!C22</f>
        <v>七通一平</v>
      </c>
      <c r="C75" s="2565"/>
      <c r="D75" s="1378">
        <f t="shared" si="20"/>
        <v>0</v>
      </c>
      <c r="E75" s="841"/>
      <c r="F75" s="2688"/>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5"/>
      <c r="AI75" s="2665"/>
      <c r="AJ75" s="2665"/>
      <c r="AK75" s="2665"/>
    </row>
    <row r="76" spans="1:37" ht="24">
      <c r="A76" s="2675" t="s">
        <v>2762</v>
      </c>
      <c r="B76" s="2681" t="s">
        <v>2763</v>
      </c>
      <c r="C76" s="2565"/>
      <c r="D76" s="1378">
        <f t="shared" si="20"/>
        <v>0</v>
      </c>
      <c r="E76" s="841"/>
      <c r="F76" s="2688"/>
      <c r="G76" s="1379"/>
      <c r="H76" s="1383" t="str">
        <f t="shared" si="21"/>
        <v>——</v>
      </c>
      <c r="I76" s="829">
        <v>0.05</v>
      </c>
      <c r="J76" s="1380">
        <f t="shared" si="22"/>
        <v>0</v>
      </c>
      <c r="K76" s="1380">
        <f t="shared" si="23"/>
        <v>0</v>
      </c>
      <c r="L76" s="1380">
        <v>0</v>
      </c>
      <c r="M76" s="1380">
        <f t="shared" si="24"/>
        <v>0</v>
      </c>
      <c r="N76" s="1380">
        <f t="shared" si="24"/>
        <v>0</v>
      </c>
      <c r="Z76" s="2512"/>
      <c r="AA76" s="2589"/>
      <c r="AG76" s="2665"/>
      <c r="AK76" s="2589"/>
    </row>
    <row r="77" spans="1:37" ht="38.25">
      <c r="A77" s="2675" t="s">
        <v>2766</v>
      </c>
      <c r="B77" s="2678" t="str">
        <f>估价对象房地状况!C20</f>
        <v>自然环境：什刹海公园、官园公园、护城河；人文环境：西城区青少年儿童图书馆、西城区图书馆（总馆）、恭王府、北京古代钱币博物馆、北京工艺美术博物馆；综合评价环境状况好。</v>
      </c>
      <c r="C77" s="2565"/>
      <c r="D77" s="1378">
        <f t="shared" si="20"/>
        <v>0</v>
      </c>
      <c r="E77" s="841"/>
      <c r="F77" s="2688"/>
      <c r="G77" s="1379"/>
      <c r="H77" s="1383" t="str">
        <f t="shared" si="21"/>
        <v>——</v>
      </c>
      <c r="I77" s="829">
        <v>0.15</v>
      </c>
      <c r="J77" s="1380">
        <f t="shared" si="22"/>
        <v>0</v>
      </c>
      <c r="K77" s="1380">
        <f t="shared" si="23"/>
        <v>0</v>
      </c>
      <c r="L77" s="1380">
        <v>0</v>
      </c>
      <c r="M77" s="1380">
        <f t="shared" si="24"/>
        <v>0</v>
      </c>
      <c r="N77" s="1380">
        <f t="shared" si="24"/>
        <v>0</v>
      </c>
      <c r="Z77" s="2512"/>
      <c r="AA77" s="2589"/>
      <c r="AG77" s="2665"/>
      <c r="AK77" s="2589"/>
    </row>
    <row r="78" spans="1:37" ht="24.75" thickBot="1">
      <c r="A78" s="2684" t="s">
        <v>2775</v>
      </c>
      <c r="B78" s="2689"/>
      <c r="C78" s="2565"/>
      <c r="D78" s="1378">
        <f t="shared" si="20"/>
        <v>0</v>
      </c>
      <c r="E78" s="842"/>
      <c r="F78" s="2688"/>
      <c r="G78" s="1379"/>
      <c r="H78" s="1383" t="str">
        <f t="shared" si="21"/>
        <v>——</v>
      </c>
      <c r="I78" s="838">
        <v>0.04</v>
      </c>
      <c r="J78" s="1380">
        <f t="shared" si="22"/>
        <v>0</v>
      </c>
      <c r="K78" s="1380">
        <f t="shared" si="23"/>
        <v>0</v>
      </c>
      <c r="L78" s="1380">
        <v>0</v>
      </c>
      <c r="M78" s="1380">
        <f t="shared" si="24"/>
        <v>0</v>
      </c>
      <c r="N78" s="1380">
        <f t="shared" si="24"/>
        <v>0</v>
      </c>
      <c r="Z78" s="2512"/>
      <c r="AA78" s="2589"/>
      <c r="AG78" s="2665"/>
      <c r="AK78" s="2589"/>
    </row>
    <row r="79" spans="1:37" ht="15">
      <c r="A79" s="2670" t="s">
        <v>2776</v>
      </c>
      <c r="B79" s="2686">
        <f>1+E81</f>
        <v>1</v>
      </c>
      <c r="C79" s="818"/>
      <c r="D79" s="818"/>
      <c r="E79" s="819"/>
      <c r="F79" s="2673"/>
      <c r="G79" s="7"/>
      <c r="H79" s="7"/>
      <c r="I79" s="7"/>
      <c r="J79" s="9"/>
      <c r="K79" s="9"/>
      <c r="L79" s="9"/>
      <c r="M79" s="9"/>
      <c r="N79" s="9"/>
      <c r="Z79" s="2512"/>
      <c r="AA79" s="2589"/>
      <c r="AG79" s="2665"/>
      <c r="AK79" s="2589"/>
    </row>
    <row r="80" spans="1:37" ht="24.75">
      <c r="A80" s="2675" t="s">
        <v>2742</v>
      </c>
      <c r="B80" s="2679"/>
      <c r="C80" s="824" t="s">
        <v>2744</v>
      </c>
      <c r="D80" s="824" t="s">
        <v>2745</v>
      </c>
      <c r="E80" s="825" t="s">
        <v>2746</v>
      </c>
      <c r="F80" s="2676" t="s">
        <v>2747</v>
      </c>
      <c r="G80" s="824" t="s">
        <v>2768</v>
      </c>
      <c r="H80" s="2677" t="s">
        <v>2769</v>
      </c>
      <c r="I80" s="824" t="s">
        <v>2770</v>
      </c>
      <c r="J80" s="588" t="s">
        <v>2405</v>
      </c>
      <c r="K80" s="588" t="s">
        <v>2406</v>
      </c>
      <c r="L80" s="588" t="s">
        <v>2407</v>
      </c>
      <c r="M80" s="588" t="s">
        <v>2408</v>
      </c>
      <c r="N80" s="588" t="s">
        <v>2409</v>
      </c>
      <c r="Z80" s="2512"/>
      <c r="AA80" s="2589"/>
      <c r="AG80" s="2665"/>
      <c r="AK80" s="2589"/>
    </row>
    <row r="81" spans="1:37" ht="38.25">
      <c r="A81" s="2675" t="s">
        <v>2777</v>
      </c>
      <c r="B81" s="2679" t="str">
        <f>估价对象房地状况!G15</f>
        <v>估价对象位于XX开发区，园区建设成熟度XX，产业集聚程度XX</v>
      </c>
      <c r="C81" s="2565"/>
      <c r="D81" s="1378">
        <f t="shared" ref="D81:D88" si="25">SUMIF($J$80:$N$80,C81,J81:N81)</f>
        <v>0</v>
      </c>
      <c r="E81" s="830">
        <f>ROUND(SUM(D81:D88),4)</f>
        <v>0</v>
      </c>
      <c r="F81" s="2281"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2"/>
      <c r="AA81" s="2589"/>
      <c r="AG81" s="2665"/>
      <c r="AK81" s="2589"/>
    </row>
    <row r="82" spans="1:37" ht="51">
      <c r="A82" s="2675" t="s">
        <v>2757</v>
      </c>
      <c r="B82" s="2679" t="str">
        <f>估价对象房地状况!G16</f>
        <v>估价对象周边道路状况、公共交通通达情况、停车便捷程度，综合评价交通便捷度较好</v>
      </c>
      <c r="C82" s="2565"/>
      <c r="D82" s="1378">
        <f t="shared" si="25"/>
        <v>0</v>
      </c>
      <c r="E82" s="841"/>
      <c r="F82" s="2688"/>
      <c r="G82" s="1379"/>
      <c r="H82" s="1383" t="str">
        <f t="shared" si="26"/>
        <v>——</v>
      </c>
      <c r="I82" s="829">
        <v>0.33</v>
      </c>
      <c r="J82" s="1380">
        <f t="shared" si="27"/>
        <v>0</v>
      </c>
      <c r="K82" s="1380">
        <f t="shared" si="28"/>
        <v>0</v>
      </c>
      <c r="L82" s="1380">
        <v>0</v>
      </c>
      <c r="M82" s="1380">
        <f t="shared" si="29"/>
        <v>0</v>
      </c>
      <c r="N82" s="1380">
        <f t="shared" si="29"/>
        <v>0</v>
      </c>
      <c r="Z82" s="2512"/>
      <c r="AA82" s="2589"/>
      <c r="AG82" s="2665"/>
      <c r="AK82" s="2589"/>
    </row>
    <row r="83" spans="1:37" ht="24">
      <c r="A83" s="2675" t="s">
        <v>2758</v>
      </c>
      <c r="B83" s="2679">
        <f>估价对象房地状况!G17</f>
        <v>0</v>
      </c>
      <c r="C83" s="2565"/>
      <c r="D83" s="1378">
        <f t="shared" si="25"/>
        <v>0</v>
      </c>
      <c r="E83" s="841"/>
      <c r="F83" s="2688"/>
      <c r="G83" s="1379"/>
      <c r="H83" s="1383" t="str">
        <f t="shared" si="26"/>
        <v>——</v>
      </c>
      <c r="I83" s="829">
        <v>0.05</v>
      </c>
      <c r="J83" s="1380">
        <f t="shared" si="27"/>
        <v>0</v>
      </c>
      <c r="K83" s="1380">
        <f t="shared" si="28"/>
        <v>0</v>
      </c>
      <c r="L83" s="1380">
        <v>0</v>
      </c>
      <c r="M83" s="1380">
        <f t="shared" si="29"/>
        <v>0</v>
      </c>
      <c r="N83" s="1380">
        <f t="shared" si="29"/>
        <v>0</v>
      </c>
      <c r="Z83" s="2512"/>
      <c r="AA83" s="2589"/>
      <c r="AG83" s="2665"/>
      <c r="AK83" s="2589"/>
    </row>
    <row r="84" spans="1:37" ht="14.25">
      <c r="A84" s="2675" t="s">
        <v>2774</v>
      </c>
      <c r="B84" s="2679">
        <f>估价对象房地状况!G22</f>
        <v>0</v>
      </c>
      <c r="C84" s="2565"/>
      <c r="D84" s="1378">
        <f t="shared" si="25"/>
        <v>0</v>
      </c>
      <c r="E84" s="841"/>
      <c r="F84" s="2688"/>
      <c r="G84" s="1379"/>
      <c r="H84" s="1383" t="str">
        <f t="shared" si="26"/>
        <v>——</v>
      </c>
      <c r="I84" s="829">
        <v>0.04</v>
      </c>
      <c r="J84" s="1380">
        <f t="shared" si="27"/>
        <v>0</v>
      </c>
      <c r="K84" s="1380">
        <f t="shared" si="28"/>
        <v>0</v>
      </c>
      <c r="L84" s="1380">
        <v>0</v>
      </c>
      <c r="M84" s="1380">
        <f t="shared" si="29"/>
        <v>0</v>
      </c>
      <c r="N84" s="1380">
        <f t="shared" si="29"/>
        <v>0</v>
      </c>
      <c r="Z84" s="2512"/>
      <c r="AA84" s="2589"/>
      <c r="AG84" s="2665"/>
      <c r="AK84" s="2589"/>
    </row>
    <row r="85" spans="1:37" ht="25.5">
      <c r="A85" s="2675" t="s">
        <v>2764</v>
      </c>
      <c r="B85" s="2683" t="str">
        <f>估价对象房地状况!G19</f>
        <v>估价对象所在区域公共配套设施齐备情况</v>
      </c>
      <c r="C85" s="2565"/>
      <c r="D85" s="1378">
        <f t="shared" si="25"/>
        <v>0</v>
      </c>
      <c r="E85" s="841"/>
      <c r="F85" s="2688"/>
      <c r="G85" s="1379"/>
      <c r="H85" s="1383" t="str">
        <f t="shared" si="26"/>
        <v>——</v>
      </c>
      <c r="I85" s="829">
        <v>0.06</v>
      </c>
      <c r="J85" s="1380">
        <f t="shared" si="27"/>
        <v>0</v>
      </c>
      <c r="K85" s="1380">
        <f t="shared" si="28"/>
        <v>0</v>
      </c>
      <c r="L85" s="1380">
        <v>0</v>
      </c>
      <c r="M85" s="1380">
        <f t="shared" si="29"/>
        <v>0</v>
      </c>
      <c r="N85" s="1380">
        <f t="shared" si="29"/>
        <v>0</v>
      </c>
      <c r="Z85" s="2512"/>
      <c r="AA85" s="2589"/>
      <c r="AG85" s="2665"/>
      <c r="AK85" s="2589"/>
    </row>
    <row r="86" spans="1:37" ht="25.5">
      <c r="A86" s="2675" t="s">
        <v>2765</v>
      </c>
      <c r="B86" s="2683" t="str">
        <f>估价对象房地状况!G20</f>
        <v>估价对象所在区域基础设施水平</v>
      </c>
      <c r="C86" s="2565"/>
      <c r="D86" s="1378">
        <f t="shared" si="25"/>
        <v>0</v>
      </c>
      <c r="E86" s="841"/>
      <c r="F86" s="2688"/>
      <c r="G86" s="1379"/>
      <c r="H86" s="1383" t="str">
        <f t="shared" si="26"/>
        <v>——</v>
      </c>
      <c r="I86" s="829">
        <v>0.15</v>
      </c>
      <c r="J86" s="1380">
        <f t="shared" si="27"/>
        <v>0</v>
      </c>
      <c r="K86" s="1380">
        <f t="shared" si="28"/>
        <v>0</v>
      </c>
      <c r="L86" s="1380">
        <v>0</v>
      </c>
      <c r="M86" s="1380">
        <f t="shared" si="29"/>
        <v>0</v>
      </c>
      <c r="N86" s="1380">
        <f t="shared" si="29"/>
        <v>0</v>
      </c>
      <c r="Z86" s="2512"/>
      <c r="AA86" s="2589"/>
      <c r="AG86" s="2665"/>
      <c r="AK86" s="2589"/>
    </row>
    <row r="87" spans="1:37" ht="24">
      <c r="A87" s="2675" t="s">
        <v>2762</v>
      </c>
      <c r="B87" s="2681" t="s">
        <v>2763</v>
      </c>
      <c r="C87" s="2565"/>
      <c r="D87" s="1378">
        <f t="shared" si="25"/>
        <v>0</v>
      </c>
      <c r="E87" s="841"/>
      <c r="F87" s="2688"/>
      <c r="G87" s="1379"/>
      <c r="H87" s="1383" t="str">
        <f t="shared" si="26"/>
        <v>——</v>
      </c>
      <c r="I87" s="829">
        <v>0.05</v>
      </c>
      <c r="J87" s="1380">
        <f t="shared" si="27"/>
        <v>0</v>
      </c>
      <c r="K87" s="1380">
        <f t="shared" si="28"/>
        <v>0</v>
      </c>
      <c r="L87" s="1380">
        <v>0</v>
      </c>
      <c r="M87" s="1380">
        <f t="shared" si="29"/>
        <v>0</v>
      </c>
      <c r="N87" s="1380">
        <f t="shared" si="29"/>
        <v>0</v>
      </c>
      <c r="Z87" s="2512"/>
      <c r="AA87" s="2589"/>
      <c r="AG87" s="2665"/>
      <c r="AK87" s="2589"/>
    </row>
    <row r="88" spans="1:37" ht="39" thickBot="1">
      <c r="A88" s="2684" t="s">
        <v>2778</v>
      </c>
      <c r="B88" s="2690" t="str">
        <f>估价对象房地状况!G18</f>
        <v>该园区内是否有污染型企业，绿化情况，卫生条件，整体环境状况判断</v>
      </c>
      <c r="C88" s="2691"/>
      <c r="D88" s="1384">
        <f t="shared" si="25"/>
        <v>0</v>
      </c>
      <c r="E88" s="842"/>
      <c r="F88" s="2688"/>
      <c r="G88" s="1379"/>
      <c r="H88" s="1383" t="str">
        <f t="shared" si="26"/>
        <v>——</v>
      </c>
      <c r="I88" s="838">
        <v>0.06</v>
      </c>
      <c r="J88" s="1380">
        <f t="shared" si="27"/>
        <v>0</v>
      </c>
      <c r="K88" s="1380">
        <f t="shared" si="28"/>
        <v>0</v>
      </c>
      <c r="L88" s="1380">
        <v>0</v>
      </c>
      <c r="M88" s="1380">
        <f t="shared" si="29"/>
        <v>0</v>
      </c>
      <c r="N88" s="1380">
        <f t="shared" si="29"/>
        <v>0</v>
      </c>
      <c r="Z88" s="2512"/>
      <c r="AA88" s="2589"/>
      <c r="AG88" s="2665"/>
      <c r="AK88" s="2589"/>
    </row>
    <row r="90" spans="1:37">
      <c r="A90" s="3034" t="s">
        <v>2779</v>
      </c>
      <c r="B90" s="3034"/>
      <c r="C90" s="3034"/>
      <c r="D90" s="3034"/>
      <c r="E90" s="3034"/>
      <c r="F90" s="3034"/>
      <c r="G90" s="3034"/>
      <c r="H90" s="3034"/>
      <c r="I90" s="3034"/>
      <c r="J90" s="3034"/>
      <c r="K90" s="2692"/>
      <c r="L90" s="2692"/>
      <c r="M90" s="2692"/>
      <c r="N90" s="2692"/>
    </row>
    <row r="91" spans="1:37">
      <c r="A91" s="3036" t="s">
        <v>2780</v>
      </c>
      <c r="B91" s="3036" t="s">
        <v>2781</v>
      </c>
      <c r="C91" s="2640" t="s">
        <v>2782</v>
      </c>
      <c r="D91" s="2641"/>
      <c r="E91" s="2641"/>
      <c r="F91" s="2641"/>
      <c r="G91" s="2641"/>
      <c r="H91" s="2641"/>
      <c r="I91" s="2641"/>
      <c r="J91" s="2693"/>
      <c r="K91" s="2694"/>
      <c r="L91" s="2694"/>
      <c r="M91" s="2694"/>
      <c r="N91" s="2694"/>
    </row>
    <row r="92" spans="1:37">
      <c r="A92" s="3036"/>
      <c r="B92" s="3036"/>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37" t="s">
        <v>2783</v>
      </c>
      <c r="B93" s="2695">
        <v>1</v>
      </c>
      <c r="C93" s="2696">
        <v>1.9361999999999999</v>
      </c>
      <c r="D93" s="2696">
        <v>1.9361999999999999</v>
      </c>
      <c r="E93" s="2696">
        <v>1.8629</v>
      </c>
      <c r="F93" s="2696">
        <v>1.8629</v>
      </c>
      <c r="G93" s="2696">
        <v>1.8629</v>
      </c>
      <c r="H93" s="2696">
        <v>1.8629</v>
      </c>
      <c r="I93" s="2696">
        <v>1.8629</v>
      </c>
      <c r="J93" s="2696">
        <v>1.9419999999999999</v>
      </c>
      <c r="K93" s="2696">
        <v>1.9419999999999999</v>
      </c>
      <c r="L93" s="2696">
        <v>1.9419999999999999</v>
      </c>
      <c r="M93" s="2696">
        <v>1.9419999999999999</v>
      </c>
      <c r="N93" s="2696">
        <v>1.9419999999999999</v>
      </c>
    </row>
    <row r="94" spans="1:37">
      <c r="A94" s="3038"/>
      <c r="B94" s="2695">
        <v>2</v>
      </c>
      <c r="C94" s="2696">
        <v>1.4198</v>
      </c>
      <c r="D94" s="2696">
        <v>1.4198</v>
      </c>
      <c r="E94" s="2696">
        <v>1.3371999999999999</v>
      </c>
      <c r="F94" s="2696">
        <v>1.3371999999999999</v>
      </c>
      <c r="G94" s="2696">
        <v>1.3371999999999999</v>
      </c>
      <c r="H94" s="2696">
        <v>1.3371999999999999</v>
      </c>
      <c r="I94" s="2696">
        <v>1.3371999999999999</v>
      </c>
      <c r="J94" s="2696">
        <v>1.2799</v>
      </c>
      <c r="K94" s="2696">
        <v>1.2799</v>
      </c>
      <c r="L94" s="2696">
        <v>1.2799</v>
      </c>
      <c r="M94" s="2696">
        <v>1.2799</v>
      </c>
      <c r="N94" s="2696">
        <v>1.2799</v>
      </c>
    </row>
    <row r="95" spans="1:37">
      <c r="A95" s="3038"/>
      <c r="B95" s="2695">
        <v>3</v>
      </c>
      <c r="C95" s="2696">
        <v>1.1594</v>
      </c>
      <c r="D95" s="2696">
        <v>1.1594</v>
      </c>
      <c r="E95" s="2696">
        <v>1.0788</v>
      </c>
      <c r="F95" s="2696">
        <v>1.0788</v>
      </c>
      <c r="G95" s="2696">
        <v>1.0788</v>
      </c>
      <c r="H95" s="2696">
        <v>1.0788</v>
      </c>
      <c r="I95" s="2696">
        <v>1.0788</v>
      </c>
      <c r="J95" s="2696">
        <v>1.0072000000000001</v>
      </c>
      <c r="K95" s="2696">
        <v>1.0072000000000001</v>
      </c>
      <c r="L95" s="2696">
        <v>1.0072000000000001</v>
      </c>
      <c r="M95" s="2696">
        <v>1.0072000000000001</v>
      </c>
      <c r="N95" s="2696">
        <v>1.0072000000000001</v>
      </c>
    </row>
    <row r="96" spans="1:37">
      <c r="A96" s="3038"/>
      <c r="B96" s="2695">
        <v>4</v>
      </c>
      <c r="C96" s="2696">
        <v>0.96220000000000006</v>
      </c>
      <c r="D96" s="2696">
        <v>0.96220000000000006</v>
      </c>
      <c r="E96" s="2696">
        <v>0.86560000000000004</v>
      </c>
      <c r="F96" s="2696">
        <v>0.86560000000000004</v>
      </c>
      <c r="G96" s="2696">
        <v>0.86560000000000004</v>
      </c>
      <c r="H96" s="2696">
        <v>0.86560000000000004</v>
      </c>
      <c r="I96" s="2696">
        <v>0.86560000000000004</v>
      </c>
      <c r="J96" s="2696">
        <v>0.75249999999999995</v>
      </c>
      <c r="K96" s="2696">
        <v>0.75249999999999995</v>
      </c>
      <c r="L96" s="2696">
        <v>0.75249999999999995</v>
      </c>
      <c r="M96" s="2696">
        <v>0.75249999999999995</v>
      </c>
      <c r="N96" s="2696">
        <v>0.75249999999999995</v>
      </c>
    </row>
    <row r="97" spans="1:14">
      <c r="A97" s="3038"/>
      <c r="B97" s="2695">
        <v>5</v>
      </c>
      <c r="C97" s="2696">
        <v>0.8417</v>
      </c>
      <c r="D97" s="2696">
        <v>0.8417</v>
      </c>
      <c r="E97" s="2696">
        <v>0.73709999999999998</v>
      </c>
      <c r="F97" s="2696">
        <v>0.73709999999999998</v>
      </c>
      <c r="G97" s="2696">
        <v>0.73709999999999998</v>
      </c>
      <c r="H97" s="2696">
        <v>0.73709999999999998</v>
      </c>
      <c r="I97" s="2696">
        <v>0.73709999999999998</v>
      </c>
      <c r="J97" s="2696">
        <v>0.56589999999999996</v>
      </c>
      <c r="K97" s="2696">
        <v>0.56589999999999996</v>
      </c>
      <c r="L97" s="2696">
        <v>0.56589999999999996</v>
      </c>
      <c r="M97" s="2696">
        <v>0.56589999999999996</v>
      </c>
      <c r="N97" s="2696">
        <v>0.56589999999999996</v>
      </c>
    </row>
    <row r="98" spans="1:14">
      <c r="A98" s="3038"/>
      <c r="B98" s="2695">
        <v>6</v>
      </c>
      <c r="C98" s="2696">
        <v>0.76080000000000003</v>
      </c>
      <c r="D98" s="2696">
        <v>0.76080000000000003</v>
      </c>
      <c r="E98" s="2696">
        <v>0.6482</v>
      </c>
      <c r="F98" s="2696">
        <v>0.6482</v>
      </c>
      <c r="G98" s="2696">
        <v>0.6482</v>
      </c>
      <c r="H98" s="2696">
        <v>0.6482</v>
      </c>
      <c r="I98" s="2696">
        <v>0.6482</v>
      </c>
      <c r="J98" s="2696">
        <v>0.45250000000000001</v>
      </c>
      <c r="K98" s="2696">
        <v>0.45250000000000001</v>
      </c>
      <c r="L98" s="2696">
        <v>0.45250000000000001</v>
      </c>
      <c r="M98" s="2696">
        <v>0.45250000000000001</v>
      </c>
      <c r="N98" s="2696">
        <v>0.45250000000000001</v>
      </c>
    </row>
    <row r="99" spans="1:14">
      <c r="A99" s="3038"/>
      <c r="B99" s="2695" t="s">
        <v>2652</v>
      </c>
      <c r="C99" s="2697">
        <f>$I$3</f>
        <v>7</v>
      </c>
      <c r="D99" s="2697">
        <f t="shared" ref="D99:M99" si="30">$I$3</f>
        <v>7</v>
      </c>
      <c r="E99" s="2697">
        <f t="shared" si="30"/>
        <v>7</v>
      </c>
      <c r="F99" s="2697">
        <f t="shared" si="30"/>
        <v>7</v>
      </c>
      <c r="G99" s="2697">
        <f t="shared" si="30"/>
        <v>7</v>
      </c>
      <c r="H99" s="2697">
        <f t="shared" si="30"/>
        <v>7</v>
      </c>
      <c r="I99" s="2697">
        <f t="shared" si="30"/>
        <v>7</v>
      </c>
      <c r="J99" s="2697">
        <f t="shared" si="30"/>
        <v>7</v>
      </c>
      <c r="K99" s="2697">
        <f t="shared" si="30"/>
        <v>7</v>
      </c>
      <c r="L99" s="2697">
        <f t="shared" si="30"/>
        <v>7</v>
      </c>
      <c r="M99" s="2697">
        <f t="shared" si="30"/>
        <v>7</v>
      </c>
      <c r="N99" s="2697">
        <f>$I$3</f>
        <v>7</v>
      </c>
    </row>
    <row r="100" spans="1:14">
      <c r="A100" s="3039"/>
      <c r="B100" s="2695">
        <v>7</v>
      </c>
      <c r="C100" s="2698">
        <f>(-0.163*(C99^2)-0.59*C99+7617)*(10^(-4))</f>
        <v>0.76048830000000001</v>
      </c>
      <c r="D100" s="2698">
        <f>(-0.163*(D99^2)-0.59*D99+7617)*(10^(-4))</f>
        <v>0.76048830000000001</v>
      </c>
      <c r="E100" s="2698">
        <f>(-0.161*(E99^2)-7.509*E99+6533)*(10^(-4))</f>
        <v>0.64725480000000002</v>
      </c>
      <c r="F100" s="2698">
        <f>(-0.161*(F99^2)-7.509*F99+6533)*(10^(-4))</f>
        <v>0.64725480000000002</v>
      </c>
      <c r="G100" s="2698">
        <f>(-0.161*(G99^2)-7.509*G99+6533)*(10^(-4))</f>
        <v>0.64725480000000002</v>
      </c>
      <c r="H100" s="2698">
        <f>(-0.161*(H99^2)-7.509*H99+6533)*(10^(-4))</f>
        <v>0.64725480000000002</v>
      </c>
      <c r="I100" s="2698">
        <f>(-0.161*(I99^2)-7.509*I99+6533)*(10^(-4))</f>
        <v>0.64725480000000002</v>
      </c>
      <c r="J100" s="2698">
        <f>(-0.214*(J99^2)-21.991*J99+4665)*(10^(-4))</f>
        <v>0.45005770000000006</v>
      </c>
      <c r="K100" s="2698">
        <f>(-0.214*(K99^2)-21.991*K99+4665)*(10^(-4))</f>
        <v>0.45005770000000006</v>
      </c>
      <c r="L100" s="2698">
        <f>(-0.214*(L99^2)-21.991*L99+4665)*(10^(-4))</f>
        <v>0.45005770000000006</v>
      </c>
      <c r="M100" s="2698">
        <f>(-0.214*(M99^2)-21.991*M99+4665)*(10^(-4))</f>
        <v>0.45005770000000006</v>
      </c>
      <c r="N100" s="2698">
        <f>(-0.214*(N99^2)-21.991*N99+4665)*(10^(-4))</f>
        <v>0.45005770000000006</v>
      </c>
    </row>
    <row r="101" spans="1:14">
      <c r="A101" s="3037" t="s">
        <v>2784</v>
      </c>
      <c r="B101" s="2699" t="s">
        <v>2785</v>
      </c>
      <c r="C101" s="2700">
        <f>$G$3</f>
        <v>3.5</v>
      </c>
      <c r="D101" s="2700">
        <f t="shared" ref="D101:N101" si="31">$G$3</f>
        <v>3.5</v>
      </c>
      <c r="E101" s="2700">
        <f t="shared" si="31"/>
        <v>3.5</v>
      </c>
      <c r="F101" s="2700">
        <f t="shared" si="31"/>
        <v>3.5</v>
      </c>
      <c r="G101" s="2700">
        <f t="shared" si="31"/>
        <v>3.5</v>
      </c>
      <c r="H101" s="2700">
        <f t="shared" si="31"/>
        <v>3.5</v>
      </c>
      <c r="I101" s="2700">
        <f t="shared" si="31"/>
        <v>3.5</v>
      </c>
      <c r="J101" s="2700">
        <f t="shared" si="31"/>
        <v>3.5</v>
      </c>
      <c r="K101" s="2700">
        <f t="shared" si="31"/>
        <v>3.5</v>
      </c>
      <c r="L101" s="2700">
        <f t="shared" si="31"/>
        <v>3.5</v>
      </c>
      <c r="M101" s="2700">
        <f t="shared" si="31"/>
        <v>3.5</v>
      </c>
      <c r="N101" s="2700">
        <f t="shared" si="31"/>
        <v>3.5</v>
      </c>
    </row>
    <row r="102" spans="1:14">
      <c r="A102" s="3038"/>
      <c r="B102" s="2695">
        <v>1</v>
      </c>
      <c r="C102" s="2696">
        <f>1.9362/C101</f>
        <v>0.55320000000000003</v>
      </c>
      <c r="D102" s="2696">
        <f>1.9362/D101</f>
        <v>0.55320000000000003</v>
      </c>
      <c r="E102" s="2696">
        <f>1.8629/E101</f>
        <v>0.53225714285714287</v>
      </c>
      <c r="F102" s="2696">
        <f>1.8629/F101</f>
        <v>0.53225714285714287</v>
      </c>
      <c r="G102" s="2696">
        <f>1.8629/G101</f>
        <v>0.53225714285714287</v>
      </c>
      <c r="H102" s="2696">
        <f>1.8629/H101</f>
        <v>0.53225714285714287</v>
      </c>
      <c r="I102" s="2696">
        <f>1.8629/I101</f>
        <v>0.53225714285714287</v>
      </c>
      <c r="J102" s="2696">
        <f>1.942/J101</f>
        <v>0.55485714285714283</v>
      </c>
      <c r="K102" s="2696">
        <f>1.942/K101</f>
        <v>0.55485714285714283</v>
      </c>
      <c r="L102" s="2696">
        <f>1.942/L101</f>
        <v>0.55485714285714283</v>
      </c>
      <c r="M102" s="2696">
        <f>1.942/M101</f>
        <v>0.55485714285714283</v>
      </c>
      <c r="N102" s="2696">
        <f>1.942/N101</f>
        <v>0.55485714285714283</v>
      </c>
    </row>
    <row r="103" spans="1:14">
      <c r="A103" s="3038"/>
      <c r="B103" s="2695">
        <v>2</v>
      </c>
      <c r="C103" s="2696">
        <f>1.4198/C101</f>
        <v>0.40565714285714283</v>
      </c>
      <c r="D103" s="2696">
        <f>1.4198/D101</f>
        <v>0.40565714285714283</v>
      </c>
      <c r="E103" s="2696">
        <f>1.3372/E101</f>
        <v>0.38205714285714282</v>
      </c>
      <c r="F103" s="2696">
        <f>1.3372/F101</f>
        <v>0.38205714285714282</v>
      </c>
      <c r="G103" s="2696">
        <f>1.3372/G101</f>
        <v>0.38205714285714282</v>
      </c>
      <c r="H103" s="2696">
        <f>1.3372/H101</f>
        <v>0.38205714285714282</v>
      </c>
      <c r="I103" s="2696">
        <f>1.3372/I101</f>
        <v>0.38205714285714282</v>
      </c>
      <c r="J103" s="2696">
        <f>1.2799/J101</f>
        <v>0.36568571428571428</v>
      </c>
      <c r="K103" s="2696">
        <f>1.2799/K101</f>
        <v>0.36568571428571428</v>
      </c>
      <c r="L103" s="2696">
        <f>1.2799/L101</f>
        <v>0.36568571428571428</v>
      </c>
      <c r="M103" s="2696">
        <f>1.2799/M101</f>
        <v>0.36568571428571428</v>
      </c>
      <c r="N103" s="2696">
        <f>1.2799/N101</f>
        <v>0.36568571428571428</v>
      </c>
    </row>
    <row r="104" spans="1:14">
      <c r="A104" s="3038"/>
      <c r="B104" s="2695">
        <v>3</v>
      </c>
      <c r="C104" s="2696">
        <f>1.1594/C101</f>
        <v>0.33125714285714286</v>
      </c>
      <c r="D104" s="2696">
        <f>1.1594/D101</f>
        <v>0.33125714285714286</v>
      </c>
      <c r="E104" s="2696">
        <f>1.0788/E101</f>
        <v>0.30822857142857141</v>
      </c>
      <c r="F104" s="2696">
        <f>1.0788/F101</f>
        <v>0.30822857142857141</v>
      </c>
      <c r="G104" s="2696">
        <f>1.0788/G101</f>
        <v>0.30822857142857141</v>
      </c>
      <c r="H104" s="2696">
        <f>1.0788/H101</f>
        <v>0.30822857142857141</v>
      </c>
      <c r="I104" s="2696">
        <f>1.0788/I101</f>
        <v>0.30822857142857141</v>
      </c>
      <c r="J104" s="2696">
        <f>1.0072/J101</f>
        <v>0.28777142857142862</v>
      </c>
      <c r="K104" s="2696">
        <f>1.0072/K101</f>
        <v>0.28777142857142862</v>
      </c>
      <c r="L104" s="2696">
        <f>1.0072/L101</f>
        <v>0.28777142857142862</v>
      </c>
      <c r="M104" s="2696">
        <f>1.0072/M101</f>
        <v>0.28777142857142862</v>
      </c>
      <c r="N104" s="2696">
        <f>1.0072/N101</f>
        <v>0.28777142857142862</v>
      </c>
    </row>
    <row r="105" spans="1:14">
      <c r="A105" s="3038"/>
      <c r="B105" s="2695">
        <v>4</v>
      </c>
      <c r="C105" s="2696">
        <f>0.9622/C101</f>
        <v>0.27491428571428572</v>
      </c>
      <c r="D105" s="2696">
        <f>0.9622/D101</f>
        <v>0.27491428571428572</v>
      </c>
      <c r="E105" s="2696">
        <f>0.8656/E101</f>
        <v>0.24731428571428574</v>
      </c>
      <c r="F105" s="2696">
        <f>0.8656/F101</f>
        <v>0.24731428571428574</v>
      </c>
      <c r="G105" s="2696">
        <f>0.8656/G101</f>
        <v>0.24731428571428574</v>
      </c>
      <c r="H105" s="2696">
        <f>0.8656/H101</f>
        <v>0.24731428571428574</v>
      </c>
      <c r="I105" s="2696">
        <f>0.8656/I101</f>
        <v>0.24731428571428574</v>
      </c>
      <c r="J105" s="2696">
        <f>0.7525/J101</f>
        <v>0.215</v>
      </c>
      <c r="K105" s="2696">
        <f>0.7525/K101</f>
        <v>0.215</v>
      </c>
      <c r="L105" s="2696">
        <f>0.7525/L101</f>
        <v>0.215</v>
      </c>
      <c r="M105" s="2696">
        <f>0.7525/M101</f>
        <v>0.215</v>
      </c>
      <c r="N105" s="2696">
        <f>0.7525/N101</f>
        <v>0.215</v>
      </c>
    </row>
    <row r="106" spans="1:14">
      <c r="A106" s="3038"/>
      <c r="B106" s="2695">
        <v>5</v>
      </c>
      <c r="C106" s="2696">
        <f>0.8417/C101</f>
        <v>0.24048571428571427</v>
      </c>
      <c r="D106" s="2696">
        <f>0.8417/D101</f>
        <v>0.24048571428571427</v>
      </c>
      <c r="E106" s="2696">
        <f>0.7371/E101</f>
        <v>0.21059999999999998</v>
      </c>
      <c r="F106" s="2696">
        <f>0.7371/F101</f>
        <v>0.21059999999999998</v>
      </c>
      <c r="G106" s="2696">
        <f>0.7371/G101</f>
        <v>0.21059999999999998</v>
      </c>
      <c r="H106" s="2696">
        <f>0.7371/H101</f>
        <v>0.21059999999999998</v>
      </c>
      <c r="I106" s="2696">
        <f>0.7371/I101</f>
        <v>0.21059999999999998</v>
      </c>
      <c r="J106" s="2696">
        <f>0.5659/J101</f>
        <v>0.16168571428571427</v>
      </c>
      <c r="K106" s="2696">
        <f>0.5659/K101</f>
        <v>0.16168571428571427</v>
      </c>
      <c r="L106" s="2696">
        <f>0.5659/L101</f>
        <v>0.16168571428571427</v>
      </c>
      <c r="M106" s="2696">
        <f>0.5659/M101</f>
        <v>0.16168571428571427</v>
      </c>
      <c r="N106" s="2696">
        <f>0.5659/N101</f>
        <v>0.16168571428571427</v>
      </c>
    </row>
    <row r="107" spans="1:14">
      <c r="A107" s="3038"/>
      <c r="B107" s="2695">
        <v>6</v>
      </c>
      <c r="C107" s="2696">
        <f>0.7608/C101</f>
        <v>0.21737142857142858</v>
      </c>
      <c r="D107" s="2696">
        <f>0.7608/D101</f>
        <v>0.21737142857142858</v>
      </c>
      <c r="E107" s="2696">
        <f>0.6482/E101</f>
        <v>0.1852</v>
      </c>
      <c r="F107" s="2696">
        <f>0.6482/F101</f>
        <v>0.1852</v>
      </c>
      <c r="G107" s="2696">
        <f>0.6482/G101</f>
        <v>0.1852</v>
      </c>
      <c r="H107" s="2696">
        <f>0.6482/H101</f>
        <v>0.1852</v>
      </c>
      <c r="I107" s="2696">
        <f>0.6482/I101</f>
        <v>0.1852</v>
      </c>
      <c r="J107" s="2696">
        <f>0.4525/J101</f>
        <v>0.12928571428571428</v>
      </c>
      <c r="K107" s="2696">
        <f>0.4525/K101</f>
        <v>0.12928571428571428</v>
      </c>
      <c r="L107" s="2696">
        <f>0.4525/L101</f>
        <v>0.12928571428571428</v>
      </c>
      <c r="M107" s="2696">
        <f>0.4525/M101</f>
        <v>0.12928571428571428</v>
      </c>
      <c r="N107" s="2696">
        <f>0.4525/N101</f>
        <v>0.12928571428571428</v>
      </c>
    </row>
    <row r="108" spans="1:14">
      <c r="A108" s="3038"/>
      <c r="B108" s="3040" t="s">
        <v>2786</v>
      </c>
      <c r="C108" s="2697">
        <f>C99</f>
        <v>7</v>
      </c>
      <c r="D108" s="2697">
        <f t="shared" ref="D108:N108" si="32">D99</f>
        <v>7</v>
      </c>
      <c r="E108" s="2697">
        <f t="shared" si="32"/>
        <v>7</v>
      </c>
      <c r="F108" s="2697">
        <f t="shared" si="32"/>
        <v>7</v>
      </c>
      <c r="G108" s="2697">
        <f t="shared" si="32"/>
        <v>7</v>
      </c>
      <c r="H108" s="2697">
        <f t="shared" si="32"/>
        <v>7</v>
      </c>
      <c r="I108" s="2697">
        <f t="shared" si="32"/>
        <v>7</v>
      </c>
      <c r="J108" s="2697">
        <f t="shared" si="32"/>
        <v>7</v>
      </c>
      <c r="K108" s="2697">
        <f t="shared" si="32"/>
        <v>7</v>
      </c>
      <c r="L108" s="2697">
        <f t="shared" si="32"/>
        <v>7</v>
      </c>
      <c r="M108" s="2697">
        <f t="shared" si="32"/>
        <v>7</v>
      </c>
      <c r="N108" s="2697">
        <f t="shared" si="32"/>
        <v>7</v>
      </c>
    </row>
    <row r="109" spans="1:14">
      <c r="A109" s="3039"/>
      <c r="B109" s="3041"/>
      <c r="C109" s="2698">
        <f>(-0.163*(C108^2)-0.59*C108+7617)*(10^(-4))/C101</f>
        <v>0.21728237142857143</v>
      </c>
      <c r="D109" s="2698">
        <f>(-0.163*(D108^2)-0.59*D108+7617)*(10^(-4))/D101</f>
        <v>0.21728237142857143</v>
      </c>
      <c r="E109" s="2698">
        <f>(-0.161*(E108^2)-7.509*E108+6533)*(10^(-4))/E101</f>
        <v>0.18492994285714287</v>
      </c>
      <c r="F109" s="2698">
        <f>(-0.161*(F108^2)-7.509*F108+6533)*(10^(-4))/F101</f>
        <v>0.18492994285714287</v>
      </c>
      <c r="G109" s="2698">
        <f>(-0.161*(G108^2)-7.509*G108+6533)*(10^(-4))/G101</f>
        <v>0.18492994285714287</v>
      </c>
      <c r="H109" s="2698">
        <f>(-0.161*(H108^2)-7.509*H108+6533)*(10^(-4))/H101</f>
        <v>0.18492994285714287</v>
      </c>
      <c r="I109" s="2698">
        <f>(-0.161*(I108^2)-7.509*I108+6533)*(10^(-4))/I101</f>
        <v>0.18492994285714287</v>
      </c>
      <c r="J109" s="2698">
        <f>(-0.214*(J108^2)-21.991*J108+4665)*(10^(-4))/J101</f>
        <v>0.12858791428571431</v>
      </c>
      <c r="K109" s="2698">
        <f>(-0.214*(K108^2)-21.991*K108+4665)*(10^(-4))/K101</f>
        <v>0.12858791428571431</v>
      </c>
      <c r="L109" s="2698">
        <f>(-0.214*(L108^2)-21.991*L108+4665)*(10^(-4))/L101</f>
        <v>0.12858791428571431</v>
      </c>
      <c r="M109" s="2698">
        <f>(-0.214*(M108^2)-21.991*M108+4665)*(10^(-4))/M101</f>
        <v>0.12858791428571431</v>
      </c>
      <c r="N109" s="2698">
        <f>(-0.214*(N108^2)-21.991*N108+4665)*(10^(-4))/N101</f>
        <v>0.12858791428571431</v>
      </c>
    </row>
    <row r="110" spans="1:14">
      <c r="A110" s="3035" t="s">
        <v>2787</v>
      </c>
      <c r="B110" s="3035"/>
      <c r="C110" s="3035"/>
      <c r="D110" s="3035"/>
      <c r="E110" s="3035"/>
      <c r="F110" s="3035"/>
      <c r="G110" s="3035"/>
      <c r="H110" s="3035"/>
      <c r="I110" s="3035"/>
      <c r="J110" s="3035"/>
      <c r="K110" s="2701"/>
      <c r="L110" s="2701"/>
      <c r="M110" s="2701"/>
      <c r="N110" s="2701"/>
    </row>
    <row r="112" spans="1:14" ht="13.5" thickBot="1"/>
    <row r="113" spans="1:13" ht="25.5" thickBot="1">
      <c r="A113" s="929" t="s">
        <v>2788</v>
      </c>
      <c r="B113" s="1381">
        <f>G3</f>
        <v>3.5</v>
      </c>
      <c r="C113" s="930" t="s">
        <v>2789</v>
      </c>
      <c r="D113" s="931">
        <f>SUMPRODUCT((A115:A118=F113)*(B114:M114=H113)*B115:M118)</f>
        <v>0.90059999999999996</v>
      </c>
      <c r="E113" s="2703" t="s">
        <v>2674</v>
      </c>
      <c r="F113" s="2704" t="str">
        <f>E2</f>
        <v>商业</v>
      </c>
      <c r="G113" s="2703" t="s">
        <v>2610</v>
      </c>
      <c r="H113" s="2704" t="str">
        <f>G2</f>
        <v>二级</v>
      </c>
      <c r="I113" s="2703"/>
      <c r="J113" s="2705"/>
      <c r="K113" s="2705"/>
      <c r="L113" s="2705"/>
      <c r="M113" s="2705"/>
    </row>
    <row r="114" spans="1:13">
      <c r="A114" s="934"/>
      <c r="B114" s="2706" t="s">
        <v>2790</v>
      </c>
      <c r="C114" s="2706" t="s">
        <v>2791</v>
      </c>
      <c r="D114" s="2706" t="s">
        <v>2792</v>
      </c>
      <c r="E114" s="2707" t="s">
        <v>2793</v>
      </c>
      <c r="F114" s="2707" t="s">
        <v>2794</v>
      </c>
      <c r="G114" s="2707" t="s">
        <v>2795</v>
      </c>
      <c r="H114" s="2708" t="s">
        <v>2796</v>
      </c>
      <c r="I114" s="2708" t="s">
        <v>2797</v>
      </c>
      <c r="J114" s="2709" t="s">
        <v>2798</v>
      </c>
      <c r="K114" s="2709" t="s">
        <v>2799</v>
      </c>
      <c r="L114" s="2709" t="s">
        <v>2800</v>
      </c>
      <c r="M114" s="2710" t="s">
        <v>2801</v>
      </c>
    </row>
    <row r="115" spans="1:13">
      <c r="A115" s="935" t="s">
        <v>2675</v>
      </c>
      <c r="B115" s="936">
        <f>ROUND(0.9335-0.0094*B113,4)</f>
        <v>0.90059999999999996</v>
      </c>
      <c r="C115" s="936">
        <f>B115</f>
        <v>0.90059999999999996</v>
      </c>
      <c r="D115" s="936">
        <f>ROUND(0.8331-0.0109*B113,4)</f>
        <v>0.79500000000000004</v>
      </c>
      <c r="E115" s="936">
        <f>D115</f>
        <v>0.79500000000000004</v>
      </c>
      <c r="F115" s="936">
        <f>E115</f>
        <v>0.79500000000000004</v>
      </c>
      <c r="G115" s="936">
        <f>F115</f>
        <v>0.79500000000000004</v>
      </c>
      <c r="H115" s="936">
        <f>G115</f>
        <v>0.79500000000000004</v>
      </c>
      <c r="I115" s="936">
        <f>ROUND(0.689-0.0155*B113,4)</f>
        <v>0.63480000000000003</v>
      </c>
      <c r="J115" s="936">
        <f t="shared" ref="J115:M118" si="33">I115</f>
        <v>0.63480000000000003</v>
      </c>
      <c r="K115" s="936">
        <f t="shared" si="33"/>
        <v>0.63480000000000003</v>
      </c>
      <c r="L115" s="936">
        <f t="shared" si="33"/>
        <v>0.63480000000000003</v>
      </c>
      <c r="M115" s="937">
        <f t="shared" si="33"/>
        <v>0.63480000000000003</v>
      </c>
    </row>
    <row r="116" spans="1:13">
      <c r="A116" s="935" t="s">
        <v>2676</v>
      </c>
      <c r="B116" s="936">
        <f>ROUND(0.949-0.012*B113,4)</f>
        <v>0.90700000000000003</v>
      </c>
      <c r="C116" s="936">
        <f>B116</f>
        <v>0.90700000000000003</v>
      </c>
      <c r="D116" s="936">
        <f>ROUND(0.8567-0.013*B113,4)</f>
        <v>0.81120000000000003</v>
      </c>
      <c r="E116" s="936">
        <f t="shared" ref="E116:H117" si="34">D116</f>
        <v>0.81120000000000003</v>
      </c>
      <c r="F116" s="936">
        <f t="shared" si="34"/>
        <v>0.81120000000000003</v>
      </c>
      <c r="G116" s="936">
        <f t="shared" si="34"/>
        <v>0.81120000000000003</v>
      </c>
      <c r="H116" s="936">
        <f t="shared" si="34"/>
        <v>0.81120000000000003</v>
      </c>
      <c r="I116" s="936">
        <f>ROUND(0.7694-0.014*B113,4)</f>
        <v>0.72040000000000004</v>
      </c>
      <c r="J116" s="936">
        <f t="shared" si="33"/>
        <v>0.72040000000000004</v>
      </c>
      <c r="K116" s="936">
        <f t="shared" si="33"/>
        <v>0.72040000000000004</v>
      </c>
      <c r="L116" s="936">
        <f t="shared" si="33"/>
        <v>0.72040000000000004</v>
      </c>
      <c r="M116" s="937">
        <f t="shared" si="33"/>
        <v>0.72040000000000004</v>
      </c>
    </row>
    <row r="117" spans="1:13">
      <c r="A117" s="935" t="s">
        <v>2677</v>
      </c>
      <c r="B117" s="936">
        <f>ROUND(0.8808-0.006*B113,4)</f>
        <v>0.85980000000000001</v>
      </c>
      <c r="C117" s="936">
        <f>B117</f>
        <v>0.85980000000000001</v>
      </c>
      <c r="D117" s="936">
        <f>ROUND(0.8748-0.008*B113,4)</f>
        <v>0.8468</v>
      </c>
      <c r="E117" s="936">
        <f t="shared" si="34"/>
        <v>0.8468</v>
      </c>
      <c r="F117" s="936">
        <f t="shared" si="34"/>
        <v>0.8468</v>
      </c>
      <c r="G117" s="936">
        <f t="shared" si="34"/>
        <v>0.8468</v>
      </c>
      <c r="H117" s="936">
        <f t="shared" si="34"/>
        <v>0.8468</v>
      </c>
      <c r="I117" s="936">
        <f>ROUND(0.7412-0.0095*B113,4)</f>
        <v>0.70799999999999996</v>
      </c>
      <c r="J117" s="936">
        <f t="shared" si="33"/>
        <v>0.70799999999999996</v>
      </c>
      <c r="K117" s="936">
        <f t="shared" si="33"/>
        <v>0.70799999999999996</v>
      </c>
      <c r="L117" s="936">
        <f t="shared" si="33"/>
        <v>0.70799999999999996</v>
      </c>
      <c r="M117" s="937">
        <f t="shared" si="33"/>
        <v>0.70799999999999996</v>
      </c>
    </row>
    <row r="118" spans="1:13" ht="13.5" thickBot="1">
      <c r="A118" s="703" t="s">
        <v>2678</v>
      </c>
      <c r="B118" s="938">
        <f>ROUND(0.7275-0.01*B113,4)</f>
        <v>0.6925</v>
      </c>
      <c r="C118" s="938">
        <f>B118</f>
        <v>0.6925</v>
      </c>
      <c r="D118" s="938">
        <f>ROUND(0.7043-0.012*B113,4)</f>
        <v>0.6623</v>
      </c>
      <c r="E118" s="938">
        <f>D118</f>
        <v>0.6623</v>
      </c>
      <c r="F118" s="938">
        <f>E118</f>
        <v>0.6623</v>
      </c>
      <c r="G118" s="938">
        <f>ROUND(0.6299-0.0122*B113,4)</f>
        <v>0.58720000000000006</v>
      </c>
      <c r="H118" s="938">
        <f>G118</f>
        <v>0.58720000000000006</v>
      </c>
      <c r="I118" s="938">
        <f>ROUND(0.5667-0.0136*B113,4)</f>
        <v>0.51910000000000001</v>
      </c>
      <c r="J118" s="938">
        <f t="shared" si="33"/>
        <v>0.51910000000000001</v>
      </c>
      <c r="K118" s="938">
        <f t="shared" si="33"/>
        <v>0.51910000000000001</v>
      </c>
      <c r="L118" s="938">
        <f t="shared" si="33"/>
        <v>0.51910000000000001</v>
      </c>
      <c r="M118" s="939">
        <f t="shared" si="33"/>
        <v>0.51910000000000001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1" customWidth="1"/>
    <col min="2" max="2" width="10.25" style="814" customWidth="1"/>
  </cols>
  <sheetData>
    <row r="1" spans="1:6">
      <c r="A1" s="3054" t="s">
        <v>788</v>
      </c>
      <c r="B1" s="3054"/>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估价对象位于新街口商圈，周边商业氛围成熟，人流量大，商业繁华度较好</v>
      </c>
      <c r="C4" s="808" t="s">
        <v>713</v>
      </c>
      <c r="D4" s="828">
        <f>SUMIF($I$3:$M$3,C4,I4:M4)</f>
        <v>0.02</v>
      </c>
      <c r="E4" s="829">
        <v>0.33</v>
      </c>
      <c r="F4" s="830">
        <f>D4*E4+D5*E5+D6*E6+D7*E7+D8*E8+D9*E9+D10*E10+D11*E11+D12*E12</f>
        <v>1.29E-2</v>
      </c>
      <c r="G4" s="831">
        <f>IF(基准地价修正!E2="商业",SUMIF(基准地价修正!L1:L12,基准地价修正!G2,基准地价修正!N1:N12),"——")</f>
        <v>8.8999999999999996E-2</v>
      </c>
      <c r="H4" s="970">
        <v>0.02</v>
      </c>
      <c r="I4" s="807">
        <f>J4+$H4</f>
        <v>0.04</v>
      </c>
      <c r="J4" s="807">
        <f>$K4+$H4</f>
        <v>0.02</v>
      </c>
      <c r="K4" s="806">
        <v>0</v>
      </c>
      <c r="L4" s="807">
        <f t="shared" ref="L4:M12" si="0">K4-$H4</f>
        <v>-0.02</v>
      </c>
      <c r="M4" s="807">
        <f t="shared" si="0"/>
        <v>-0.04</v>
      </c>
    </row>
    <row r="5" spans="1:20" ht="24">
      <c r="A5" s="821" t="s">
        <v>714</v>
      </c>
      <c r="B5" s="832" t="str">
        <f>估价对象房地状况!C6</f>
        <v>估价对象紧邻城市支道路——新街口四条，有22路、47路、86路、409路等多条公交线路及地铁2号线（积水潭站）、地铁6号线（新街口站)通过，交通便捷度较好。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城市支道路——新街口四条</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15" thickBot="1">
      <c r="A12" s="836" t="s">
        <v>721</v>
      </c>
      <c r="B12" s="837" t="str">
        <f>估价对象房地状况!C9</f>
        <v>自然环境：什刹海公园、官园公园、护城河；人文环境：西城区青少年儿童图书馆、西城区图书馆（总馆）、恭王府、北京古代钱币博物馆、北京工艺美术博物馆；综合评价环境状况好。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24">
      <c r="A16" s="821" t="s">
        <v>714</v>
      </c>
      <c r="B16" s="822" t="str">
        <f>估价对象房地状况!C6</f>
        <v>估价对象紧邻城市支道路——新街口四条，有22路、47路、86路、409路等多条公交线路及地铁2号线（积水潭站）、地铁6号线（新街口站)通过，交通便捷度较好。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城市支道路——新街口四条</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15" thickBot="1">
      <c r="A23" s="836" t="s">
        <v>721</v>
      </c>
      <c r="B23" s="840" t="str">
        <f>估价对象房地状况!C9</f>
        <v>自然环境：什刹海公园、官园公园、护城河；人文环境：西城区青少年儿童图书馆、西城区图书馆（总馆）、恭王府、北京古代钱币博物馆、北京工艺美术博物馆；综合评价环境状况好。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周边有新街口西里、玉桃园、如意里、冠英园西区等居住社区，综合评价居住社区成熟度好。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24">
      <c r="A27" s="821" t="s">
        <v>714</v>
      </c>
      <c r="B27" s="822" t="str">
        <f>估价对象房地状况!C6</f>
        <v>估价对象紧邻城市支道路——新街口四条，有22路、47路、86路、409路等多条公交线路及地铁2号线（积水潭站）、地铁6号线（新街口站)通过，交通便捷度较好。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城市支道路——新街口四条</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14.25">
      <c r="A33" s="821" t="s">
        <v>721</v>
      </c>
      <c r="B33" s="827" t="str">
        <f>估价对象房地状况!C9</f>
        <v>自然环境：什刹海公园、官园公园、护城河；人文环境：西城区青少年儿童图书馆、西城区图书馆（总馆）、恭王府、北京古代钱币博物馆、北京工艺美术博物馆；综合评价环境状况好。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54" t="s">
        <v>105</v>
      </c>
      <c r="B1" s="3054"/>
      <c r="C1" s="3054"/>
      <c r="D1" s="3054"/>
      <c r="E1" s="3054"/>
      <c r="F1" s="3054"/>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55" t="s">
        <v>118</v>
      </c>
      <c r="B2" s="3055"/>
      <c r="C2" s="3055"/>
      <c r="D2" s="3055"/>
      <c r="E2" s="3055"/>
      <c r="F2" s="3055"/>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56"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57"/>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27450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58" t="s">
        <v>132</v>
      </c>
      <c r="B18" s="908" t="s">
        <v>517</v>
      </c>
      <c r="C18" s="909" t="s">
        <v>518</v>
      </c>
      <c r="D18" s="910"/>
      <c r="E18" s="908">
        <v>1</v>
      </c>
      <c r="F18" s="911" t="s">
        <v>519</v>
      </c>
      <c r="G18" s="912"/>
      <c r="H18" s="904"/>
      <c r="I18" s="904"/>
    </row>
    <row r="19" spans="1:9" s="913" customFormat="1" ht="19.5" customHeight="1">
      <c r="A19" s="3058"/>
      <c r="B19" s="3058" t="s">
        <v>520</v>
      </c>
      <c r="C19" s="909" t="s">
        <v>521</v>
      </c>
      <c r="D19" s="910"/>
      <c r="E19" s="908">
        <v>0.9</v>
      </c>
      <c r="F19" s="911" t="s">
        <v>522</v>
      </c>
      <c r="G19" s="912"/>
      <c r="H19" s="904"/>
      <c r="I19" s="904"/>
    </row>
    <row r="20" spans="1:9" s="913" customFormat="1" ht="19.5" customHeight="1">
      <c r="A20" s="3058"/>
      <c r="B20" s="3058"/>
      <c r="C20" s="909" t="s">
        <v>523</v>
      </c>
      <c r="D20" s="910"/>
      <c r="E20" s="908">
        <v>1.1000000000000001</v>
      </c>
      <c r="F20" s="911" t="s">
        <v>524</v>
      </c>
      <c r="G20" s="912"/>
      <c r="H20" s="904"/>
      <c r="I20" s="904"/>
    </row>
    <row r="21" spans="1:9" s="913" customFormat="1" ht="19.5" customHeight="1">
      <c r="A21" s="3058"/>
      <c r="B21" s="3058"/>
      <c r="C21" s="909" t="s">
        <v>525</v>
      </c>
      <c r="D21" s="910"/>
      <c r="E21" s="908">
        <v>0.8</v>
      </c>
      <c r="F21" s="911" t="s">
        <v>526</v>
      </c>
      <c r="G21" s="912"/>
      <c r="H21" s="904"/>
      <c r="I21" s="904"/>
    </row>
    <row r="22" spans="1:9" s="913" customFormat="1" ht="19.5" customHeight="1">
      <c r="A22" s="3058"/>
      <c r="B22" s="3058"/>
      <c r="C22" s="909" t="s">
        <v>527</v>
      </c>
      <c r="D22" s="910"/>
      <c r="E22" s="908">
        <v>0.5</v>
      </c>
      <c r="F22" s="911"/>
      <c r="G22" s="912"/>
      <c r="H22" s="904"/>
      <c r="I22" s="904"/>
    </row>
    <row r="23" spans="1:9" s="913" customFormat="1" ht="19.5" customHeight="1">
      <c r="A23" s="3058" t="s">
        <v>133</v>
      </c>
      <c r="B23" s="908" t="s">
        <v>517</v>
      </c>
      <c r="C23" s="909" t="s">
        <v>528</v>
      </c>
      <c r="D23" s="910"/>
      <c r="E23" s="908">
        <v>1</v>
      </c>
      <c r="F23" s="911" t="s">
        <v>529</v>
      </c>
      <c r="G23" s="912"/>
      <c r="H23" s="904"/>
      <c r="I23" s="904"/>
    </row>
    <row r="24" spans="1:9" s="913" customFormat="1" ht="19.5" customHeight="1">
      <c r="A24" s="3058"/>
      <c r="B24" s="3058" t="s">
        <v>520</v>
      </c>
      <c r="C24" s="909" t="s">
        <v>530</v>
      </c>
      <c r="D24" s="910"/>
      <c r="E24" s="908">
        <v>0.5</v>
      </c>
      <c r="F24" s="911"/>
      <c r="G24" s="912"/>
      <c r="H24" s="904"/>
      <c r="I24" s="904"/>
    </row>
    <row r="25" spans="1:9" s="913" customFormat="1" ht="19.5" customHeight="1">
      <c r="A25" s="3058"/>
      <c r="B25" s="3058"/>
      <c r="C25" s="909" t="s">
        <v>531</v>
      </c>
      <c r="D25" s="910"/>
      <c r="E25" s="908">
        <v>1.1000000000000001</v>
      </c>
      <c r="F25" s="911"/>
      <c r="G25" s="912"/>
      <c r="H25" s="904"/>
      <c r="I25" s="904"/>
    </row>
    <row r="26" spans="1:9" s="913" customFormat="1" ht="19.5" customHeight="1">
      <c r="A26" s="3058"/>
      <c r="B26" s="3058"/>
      <c r="C26" s="909" t="s">
        <v>532</v>
      </c>
      <c r="D26" s="910"/>
      <c r="E26" s="908">
        <v>1.1000000000000001</v>
      </c>
      <c r="F26" s="911"/>
      <c r="G26" s="912"/>
      <c r="H26" s="904"/>
      <c r="I26" s="904"/>
    </row>
    <row r="27" spans="1:9" s="913" customFormat="1" ht="19.5" customHeight="1">
      <c r="A27" s="3058"/>
      <c r="B27" s="3058"/>
      <c r="C27" s="909" t="s">
        <v>533</v>
      </c>
      <c r="D27" s="910"/>
      <c r="E27" s="908">
        <v>0.9</v>
      </c>
      <c r="F27" s="911" t="s">
        <v>534</v>
      </c>
      <c r="G27" s="912"/>
      <c r="H27" s="904"/>
      <c r="I27" s="904"/>
    </row>
    <row r="28" spans="1:9" s="913" customFormat="1" ht="19.5" customHeight="1">
      <c r="A28" s="3058"/>
      <c r="B28" s="3058"/>
      <c r="C28" s="909" t="s">
        <v>535</v>
      </c>
      <c r="D28" s="910"/>
      <c r="E28" s="908">
        <v>0.9</v>
      </c>
      <c r="F28" s="911" t="s">
        <v>536</v>
      </c>
      <c r="G28" s="912"/>
      <c r="H28" s="904"/>
      <c r="I28" s="904"/>
    </row>
    <row r="29" spans="1:9" s="913" customFormat="1" ht="19.5" customHeight="1">
      <c r="A29" s="3058"/>
      <c r="B29" s="3058"/>
      <c r="C29" s="909" t="s">
        <v>537</v>
      </c>
      <c r="D29" s="910"/>
      <c r="E29" s="908">
        <v>0.9</v>
      </c>
      <c r="F29" s="911" t="s">
        <v>538</v>
      </c>
      <c r="G29" s="912"/>
      <c r="H29" s="904"/>
      <c r="I29" s="904"/>
    </row>
    <row r="30" spans="1:9" s="913" customFormat="1" ht="19.5" customHeight="1">
      <c r="A30" s="3058"/>
      <c r="B30" s="3058"/>
      <c r="C30" s="909" t="s">
        <v>539</v>
      </c>
      <c r="D30" s="910"/>
      <c r="E30" s="908">
        <v>0.9</v>
      </c>
      <c r="F30" s="911" t="s">
        <v>540</v>
      </c>
      <c r="G30" s="912"/>
      <c r="H30" s="904"/>
      <c r="I30" s="904"/>
    </row>
    <row r="31" spans="1:9" s="913" customFormat="1" ht="19.5" customHeight="1">
      <c r="A31" s="3058"/>
      <c r="B31" s="3058"/>
      <c r="C31" s="909" t="s">
        <v>541</v>
      </c>
      <c r="D31" s="910"/>
      <c r="E31" s="908">
        <v>0.8</v>
      </c>
      <c r="F31" s="911" t="s">
        <v>542</v>
      </c>
      <c r="G31" s="912"/>
      <c r="H31" s="904"/>
      <c r="I31" s="904"/>
    </row>
    <row r="32" spans="1:9" s="913" customFormat="1" ht="19.5" customHeight="1">
      <c r="A32" s="3058"/>
      <c r="B32" s="3058"/>
      <c r="C32" s="909" t="s">
        <v>543</v>
      </c>
      <c r="D32" s="910"/>
      <c r="E32" s="908">
        <v>0.8</v>
      </c>
      <c r="F32" s="911" t="s">
        <v>544</v>
      </c>
      <c r="G32" s="912"/>
      <c r="H32" s="904"/>
      <c r="I32" s="904"/>
    </row>
    <row r="33" spans="1:9" s="913" customFormat="1" ht="19.5" customHeight="1">
      <c r="A33" s="3058" t="s">
        <v>134</v>
      </c>
      <c r="B33" s="908" t="s">
        <v>517</v>
      </c>
      <c r="C33" s="909" t="s">
        <v>545</v>
      </c>
      <c r="D33" s="910"/>
      <c r="E33" s="908">
        <v>1</v>
      </c>
      <c r="F33" s="911" t="s">
        <v>546</v>
      </c>
      <c r="G33" s="912"/>
      <c r="H33" s="904"/>
      <c r="I33" s="904"/>
    </row>
    <row r="34" spans="1:9" s="913" customFormat="1" ht="19.5" customHeight="1">
      <c r="A34" s="3058"/>
      <c r="B34" s="908" t="s">
        <v>520</v>
      </c>
      <c r="C34" s="909" t="s">
        <v>547</v>
      </c>
      <c r="D34" s="910"/>
      <c r="E34" s="908">
        <v>1.5</v>
      </c>
      <c r="F34" s="911" t="s">
        <v>548</v>
      </c>
      <c r="G34" s="912"/>
      <c r="H34" s="904"/>
      <c r="I34" s="904"/>
    </row>
    <row r="35" spans="1:9" s="913" customFormat="1" ht="19.5" customHeight="1">
      <c r="A35" s="3058" t="s">
        <v>135</v>
      </c>
      <c r="B35" s="908" t="s">
        <v>517</v>
      </c>
      <c r="C35" s="909" t="s">
        <v>549</v>
      </c>
      <c r="D35" s="910"/>
      <c r="E35" s="908">
        <v>1</v>
      </c>
      <c r="F35" s="911" t="s">
        <v>550</v>
      </c>
      <c r="G35" s="912"/>
      <c r="H35" s="904"/>
      <c r="I35" s="904"/>
    </row>
    <row r="36" spans="1:9" s="913" customFormat="1" ht="19.5" customHeight="1">
      <c r="A36" s="3058"/>
      <c r="B36" s="3058" t="s">
        <v>520</v>
      </c>
      <c r="C36" s="909" t="s">
        <v>551</v>
      </c>
      <c r="D36" s="910"/>
      <c r="E36" s="908">
        <v>1</v>
      </c>
      <c r="F36" s="911" t="s">
        <v>552</v>
      </c>
      <c r="G36" s="912"/>
      <c r="H36" s="904"/>
      <c r="I36" s="904"/>
    </row>
    <row r="37" spans="1:9" s="913" customFormat="1" ht="19.5" customHeight="1">
      <c r="A37" s="3058"/>
      <c r="B37" s="3058"/>
      <c r="C37" s="909" t="s">
        <v>553</v>
      </c>
      <c r="D37" s="910"/>
      <c r="E37" s="908">
        <v>1.5</v>
      </c>
      <c r="F37" s="911" t="s">
        <v>554</v>
      </c>
      <c r="G37" s="912"/>
      <c r="H37" s="904"/>
      <c r="I37" s="904"/>
    </row>
    <row r="38" spans="1:9" s="913" customFormat="1" ht="19.5" customHeight="1">
      <c r="A38" s="3058"/>
      <c r="B38" s="3058"/>
      <c r="C38" s="909" t="s">
        <v>555</v>
      </c>
      <c r="D38" s="910"/>
      <c r="E38" s="908">
        <v>1</v>
      </c>
      <c r="F38" s="911" t="s">
        <v>556</v>
      </c>
      <c r="G38" s="912"/>
      <c r="H38" s="904"/>
      <c r="I38" s="904"/>
    </row>
    <row r="39" spans="1:9" s="913" customFormat="1" ht="19.5" customHeight="1">
      <c r="A39" s="3058"/>
      <c r="B39" s="3058"/>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58" t="s">
        <v>571</v>
      </c>
      <c r="C61" s="822" t="s">
        <v>572</v>
      </c>
      <c r="D61" s="822" t="s">
        <v>573</v>
      </c>
      <c r="E61" s="921">
        <v>0.5</v>
      </c>
      <c r="F61" s="908">
        <v>80</v>
      </c>
    </row>
    <row r="62" spans="1:8" s="904" customFormat="1" ht="24">
      <c r="A62" s="908">
        <v>2</v>
      </c>
      <c r="B62" s="3058"/>
      <c r="C62" s="822" t="s">
        <v>574</v>
      </c>
      <c r="D62" s="822" t="s">
        <v>575</v>
      </c>
      <c r="E62" s="921">
        <v>0.5</v>
      </c>
      <c r="F62" s="908">
        <v>80</v>
      </c>
    </row>
    <row r="63" spans="1:8" s="904" customFormat="1" ht="36">
      <c r="A63" s="908">
        <v>3</v>
      </c>
      <c r="B63" s="3058"/>
      <c r="C63" s="822" t="s">
        <v>576</v>
      </c>
      <c r="D63" s="822" t="s">
        <v>577</v>
      </c>
      <c r="E63" s="921">
        <v>0.5</v>
      </c>
      <c r="F63" s="908">
        <v>80</v>
      </c>
    </row>
    <row r="64" spans="1:8" s="904" customFormat="1" ht="36">
      <c r="A64" s="908">
        <v>4</v>
      </c>
      <c r="B64" s="3058"/>
      <c r="C64" s="822" t="s">
        <v>578</v>
      </c>
      <c r="D64" s="822" t="s">
        <v>579</v>
      </c>
      <c r="E64" s="921">
        <v>0.4</v>
      </c>
      <c r="F64" s="908">
        <v>60</v>
      </c>
    </row>
    <row r="65" spans="1:6" s="904" customFormat="1" ht="36">
      <c r="A65" s="908">
        <v>5</v>
      </c>
      <c r="B65" s="3058"/>
      <c r="C65" s="822" t="s">
        <v>580</v>
      </c>
      <c r="D65" s="822" t="s">
        <v>581</v>
      </c>
      <c r="E65" s="921">
        <v>0.2</v>
      </c>
      <c r="F65" s="908">
        <v>30</v>
      </c>
    </row>
    <row r="66" spans="1:6" s="904" customFormat="1" ht="36">
      <c r="A66" s="908">
        <v>6</v>
      </c>
      <c r="B66" s="3058"/>
      <c r="C66" s="822" t="s">
        <v>582</v>
      </c>
      <c r="D66" s="822" t="s">
        <v>583</v>
      </c>
      <c r="E66" s="921">
        <v>0.3</v>
      </c>
      <c r="F66" s="908">
        <v>50</v>
      </c>
    </row>
    <row r="67" spans="1:6" s="904" customFormat="1" ht="36">
      <c r="A67" s="908">
        <v>7</v>
      </c>
      <c r="B67" s="3058"/>
      <c r="C67" s="822" t="s">
        <v>584</v>
      </c>
      <c r="D67" s="822" t="s">
        <v>585</v>
      </c>
      <c r="E67" s="921">
        <v>0.2</v>
      </c>
      <c r="F67" s="908">
        <v>30</v>
      </c>
    </row>
    <row r="68" spans="1:6" s="904" customFormat="1" ht="36">
      <c r="A68" s="908">
        <v>8</v>
      </c>
      <c r="B68" s="3058"/>
      <c r="C68" s="822" t="s">
        <v>586</v>
      </c>
      <c r="D68" s="822" t="s">
        <v>587</v>
      </c>
      <c r="E68" s="921">
        <v>0.2</v>
      </c>
      <c r="F68" s="908">
        <v>30</v>
      </c>
    </row>
    <row r="69" spans="1:6" s="904" customFormat="1" ht="36">
      <c r="A69" s="908">
        <v>9</v>
      </c>
      <c r="B69" s="3058"/>
      <c r="C69" s="822" t="s">
        <v>588</v>
      </c>
      <c r="D69" s="822" t="s">
        <v>589</v>
      </c>
      <c r="E69" s="921">
        <v>0.2</v>
      </c>
      <c r="F69" s="908">
        <v>30</v>
      </c>
    </row>
    <row r="70" spans="1:6" s="904" customFormat="1" ht="48">
      <c r="A70" s="908">
        <v>10</v>
      </c>
      <c r="B70" s="3058"/>
      <c r="C70" s="822" t="s">
        <v>590</v>
      </c>
      <c r="D70" s="822" t="s">
        <v>591</v>
      </c>
      <c r="E70" s="921">
        <v>0.2</v>
      </c>
      <c r="F70" s="908">
        <v>30</v>
      </c>
    </row>
    <row r="71" spans="1:6" s="904" customFormat="1" ht="48">
      <c r="A71" s="908">
        <v>11</v>
      </c>
      <c r="B71" s="3058"/>
      <c r="C71" s="822" t="s">
        <v>592</v>
      </c>
      <c r="D71" s="822" t="s">
        <v>593</v>
      </c>
      <c r="E71" s="921">
        <v>0.2</v>
      </c>
      <c r="F71" s="908">
        <v>30</v>
      </c>
    </row>
    <row r="72" spans="1:6" s="904" customFormat="1" ht="36">
      <c r="A72" s="908">
        <v>12</v>
      </c>
      <c r="B72" s="3058"/>
      <c r="C72" s="822" t="s">
        <v>594</v>
      </c>
      <c r="D72" s="822" t="s">
        <v>595</v>
      </c>
      <c r="E72" s="921">
        <v>0.5</v>
      </c>
      <c r="F72" s="908">
        <v>80</v>
      </c>
    </row>
    <row r="73" spans="1:6" s="904" customFormat="1" ht="24">
      <c r="A73" s="908">
        <v>13</v>
      </c>
      <c r="B73" s="3058"/>
      <c r="C73" s="822" t="s">
        <v>596</v>
      </c>
      <c r="D73" s="822" t="s">
        <v>597</v>
      </c>
      <c r="E73" s="921">
        <v>0.4</v>
      </c>
      <c r="F73" s="908">
        <v>60</v>
      </c>
    </row>
    <row r="74" spans="1:6" s="904" customFormat="1" ht="24">
      <c r="A74" s="908">
        <v>14</v>
      </c>
      <c r="B74" s="3058"/>
      <c r="C74" s="822" t="s">
        <v>598</v>
      </c>
      <c r="D74" s="822" t="s">
        <v>599</v>
      </c>
      <c r="E74" s="921">
        <v>0.2</v>
      </c>
      <c r="F74" s="908">
        <v>30</v>
      </c>
    </row>
    <row r="75" spans="1:6" s="904" customFormat="1" ht="24">
      <c r="A75" s="908">
        <v>15</v>
      </c>
      <c r="B75" s="3058"/>
      <c r="C75" s="822" t="s">
        <v>600</v>
      </c>
      <c r="D75" s="822" t="s">
        <v>601</v>
      </c>
      <c r="E75" s="921">
        <v>0.2</v>
      </c>
      <c r="F75" s="908">
        <v>30</v>
      </c>
    </row>
    <row r="76" spans="1:6" s="904" customFormat="1" ht="24">
      <c r="A76" s="908">
        <v>16</v>
      </c>
      <c r="B76" s="3058" t="s">
        <v>602</v>
      </c>
      <c r="C76" s="822" t="s">
        <v>603</v>
      </c>
      <c r="D76" s="822" t="s">
        <v>604</v>
      </c>
      <c r="E76" s="921">
        <v>0.5</v>
      </c>
      <c r="F76" s="908">
        <v>80</v>
      </c>
    </row>
    <row r="77" spans="1:6" s="904" customFormat="1" ht="24">
      <c r="A77" s="908">
        <v>17</v>
      </c>
      <c r="B77" s="3058"/>
      <c r="C77" s="822" t="s">
        <v>605</v>
      </c>
      <c r="D77" s="822" t="s">
        <v>606</v>
      </c>
      <c r="E77" s="921">
        <v>0.5</v>
      </c>
      <c r="F77" s="908">
        <v>80</v>
      </c>
    </row>
    <row r="78" spans="1:6" s="904" customFormat="1" ht="24">
      <c r="A78" s="908">
        <v>18</v>
      </c>
      <c r="B78" s="3058"/>
      <c r="C78" s="822" t="s">
        <v>607</v>
      </c>
      <c r="D78" s="822" t="s">
        <v>608</v>
      </c>
      <c r="E78" s="921">
        <v>0.2</v>
      </c>
      <c r="F78" s="908">
        <v>30</v>
      </c>
    </row>
    <row r="79" spans="1:6" s="904" customFormat="1" ht="24">
      <c r="A79" s="908">
        <v>19</v>
      </c>
      <c r="B79" s="3058"/>
      <c r="C79" s="822" t="s">
        <v>609</v>
      </c>
      <c r="D79" s="822" t="s">
        <v>610</v>
      </c>
      <c r="E79" s="921">
        <v>0.5</v>
      </c>
      <c r="F79" s="908">
        <v>80</v>
      </c>
    </row>
    <row r="80" spans="1:6" s="904" customFormat="1" ht="36">
      <c r="A80" s="908">
        <v>20</v>
      </c>
      <c r="B80" s="3058"/>
      <c r="C80" s="822" t="s">
        <v>611</v>
      </c>
      <c r="D80" s="822" t="s">
        <v>612</v>
      </c>
      <c r="E80" s="921">
        <v>0.2</v>
      </c>
      <c r="F80" s="908">
        <v>30</v>
      </c>
    </row>
    <row r="81" spans="1:6" s="904" customFormat="1" ht="36">
      <c r="A81" s="908">
        <v>21</v>
      </c>
      <c r="B81" s="3058"/>
      <c r="C81" s="822" t="s">
        <v>613</v>
      </c>
      <c r="D81" s="822" t="s">
        <v>614</v>
      </c>
      <c r="E81" s="921">
        <v>0.2</v>
      </c>
      <c r="F81" s="908">
        <v>30</v>
      </c>
    </row>
    <row r="82" spans="1:6" s="904" customFormat="1" ht="48">
      <c r="A82" s="908">
        <v>22</v>
      </c>
      <c r="B82" s="3058"/>
      <c r="C82" s="822" t="s">
        <v>615</v>
      </c>
      <c r="D82" s="822" t="s">
        <v>616</v>
      </c>
      <c r="E82" s="921">
        <v>0.2</v>
      </c>
      <c r="F82" s="908">
        <v>30</v>
      </c>
    </row>
    <row r="83" spans="1:6" s="904" customFormat="1" ht="48">
      <c r="A83" s="908">
        <v>23</v>
      </c>
      <c r="B83" s="3058"/>
      <c r="C83" s="822" t="s">
        <v>617</v>
      </c>
      <c r="D83" s="822" t="s">
        <v>618</v>
      </c>
      <c r="E83" s="921">
        <v>0.2</v>
      </c>
      <c r="F83" s="908">
        <v>30</v>
      </c>
    </row>
    <row r="84" spans="1:6" s="904" customFormat="1" ht="36">
      <c r="A84" s="908">
        <v>24</v>
      </c>
      <c r="B84" s="3058"/>
      <c r="C84" s="822" t="s">
        <v>619</v>
      </c>
      <c r="D84" s="822" t="s">
        <v>620</v>
      </c>
      <c r="E84" s="921">
        <v>0.2</v>
      </c>
      <c r="F84" s="908">
        <v>30</v>
      </c>
    </row>
    <row r="85" spans="1:6" s="904" customFormat="1" ht="36">
      <c r="A85" s="908">
        <v>25</v>
      </c>
      <c r="B85" s="3058"/>
      <c r="C85" s="822" t="s">
        <v>621</v>
      </c>
      <c r="D85" s="822" t="s">
        <v>622</v>
      </c>
      <c r="E85" s="921">
        <v>0.5</v>
      </c>
      <c r="F85" s="908">
        <v>80</v>
      </c>
    </row>
    <row r="86" spans="1:6" s="904" customFormat="1" ht="36">
      <c r="A86" s="908">
        <v>26</v>
      </c>
      <c r="B86" s="3058"/>
      <c r="C86" s="822" t="s">
        <v>623</v>
      </c>
      <c r="D86" s="822" t="s">
        <v>624</v>
      </c>
      <c r="E86" s="921">
        <v>0.2</v>
      </c>
      <c r="F86" s="908">
        <v>30</v>
      </c>
    </row>
    <row r="87" spans="1:6" s="904" customFormat="1" ht="36">
      <c r="A87" s="908">
        <v>27</v>
      </c>
      <c r="B87" s="3058"/>
      <c r="C87" s="822" t="s">
        <v>625</v>
      </c>
      <c r="D87" s="822" t="s">
        <v>626</v>
      </c>
      <c r="E87" s="921">
        <v>0.2</v>
      </c>
      <c r="F87" s="908">
        <v>30</v>
      </c>
    </row>
    <row r="88" spans="1:6" s="904" customFormat="1" ht="36">
      <c r="A88" s="908">
        <v>28</v>
      </c>
      <c r="B88" s="3058"/>
      <c r="C88" s="822" t="s">
        <v>627</v>
      </c>
      <c r="D88" s="822" t="s">
        <v>628</v>
      </c>
      <c r="E88" s="921">
        <v>0.2</v>
      </c>
      <c r="F88" s="908">
        <v>30</v>
      </c>
    </row>
    <row r="89" spans="1:6" s="904" customFormat="1" ht="24">
      <c r="A89" s="908">
        <v>29</v>
      </c>
      <c r="B89" s="3058"/>
      <c r="C89" s="822" t="s">
        <v>629</v>
      </c>
      <c r="D89" s="822" t="s">
        <v>630</v>
      </c>
      <c r="E89" s="921">
        <v>0.2</v>
      </c>
      <c r="F89" s="908">
        <v>30</v>
      </c>
    </row>
    <row r="90" spans="1:6" s="904" customFormat="1" ht="24">
      <c r="A90" s="908">
        <v>30</v>
      </c>
      <c r="B90" s="3058"/>
      <c r="C90" s="822" t="s">
        <v>631</v>
      </c>
      <c r="D90" s="822" t="s">
        <v>632</v>
      </c>
      <c r="E90" s="921">
        <v>0.2</v>
      </c>
      <c r="F90" s="908">
        <v>30</v>
      </c>
    </row>
    <row r="91" spans="1:6" s="904" customFormat="1" ht="36">
      <c r="A91" s="908">
        <v>31</v>
      </c>
      <c r="B91" s="3058"/>
      <c r="C91" s="822" t="s">
        <v>633</v>
      </c>
      <c r="D91" s="822" t="s">
        <v>634</v>
      </c>
      <c r="E91" s="921">
        <v>0.2</v>
      </c>
      <c r="F91" s="908">
        <v>30</v>
      </c>
    </row>
    <row r="92" spans="1:6" s="904" customFormat="1" ht="24">
      <c r="A92" s="908">
        <v>32</v>
      </c>
      <c r="B92" s="3058" t="s">
        <v>635</v>
      </c>
      <c r="C92" s="908" t="s">
        <v>636</v>
      </c>
      <c r="D92" s="822" t="s">
        <v>637</v>
      </c>
      <c r="E92" s="921">
        <v>0.2</v>
      </c>
      <c r="F92" s="908">
        <v>30</v>
      </c>
    </row>
    <row r="93" spans="1:6" s="904" customFormat="1" ht="36">
      <c r="A93" s="908">
        <v>33</v>
      </c>
      <c r="B93" s="3058"/>
      <c r="C93" s="908" t="s">
        <v>638</v>
      </c>
      <c r="D93" s="822" t="s">
        <v>639</v>
      </c>
      <c r="E93" s="921">
        <v>0.2</v>
      </c>
      <c r="F93" s="908">
        <v>30</v>
      </c>
    </row>
    <row r="94" spans="1:6" s="904" customFormat="1" ht="48">
      <c r="A94" s="908">
        <v>34</v>
      </c>
      <c r="B94" s="3058"/>
      <c r="C94" s="908" t="s">
        <v>640</v>
      </c>
      <c r="D94" s="822" t="s">
        <v>641</v>
      </c>
      <c r="E94" s="921">
        <v>0.2</v>
      </c>
      <c r="F94" s="908">
        <v>30</v>
      </c>
    </row>
    <row r="95" spans="1:6" s="904" customFormat="1" ht="36">
      <c r="A95" s="908">
        <v>35</v>
      </c>
      <c r="B95" s="3058"/>
      <c r="C95" s="908" t="s">
        <v>642</v>
      </c>
      <c r="D95" s="822" t="s">
        <v>643</v>
      </c>
      <c r="E95" s="921">
        <v>0.2</v>
      </c>
      <c r="F95" s="908">
        <v>30</v>
      </c>
    </row>
    <row r="96" spans="1:6" s="904" customFormat="1" ht="48">
      <c r="A96" s="908">
        <v>36</v>
      </c>
      <c r="B96" s="3058"/>
      <c r="C96" s="822" t="s">
        <v>644</v>
      </c>
      <c r="D96" s="822" t="s">
        <v>645</v>
      </c>
      <c r="E96" s="921">
        <v>0.2</v>
      </c>
      <c r="F96" s="908">
        <v>30</v>
      </c>
    </row>
    <row r="97" spans="1:6" s="904" customFormat="1" ht="36">
      <c r="A97" s="908">
        <v>37</v>
      </c>
      <c r="B97" s="3058"/>
      <c r="C97" s="908" t="s">
        <v>646</v>
      </c>
      <c r="D97" s="822" t="s">
        <v>647</v>
      </c>
      <c r="E97" s="921">
        <v>0.2</v>
      </c>
      <c r="F97" s="908">
        <v>30</v>
      </c>
    </row>
    <row r="98" spans="1:6" s="904" customFormat="1" ht="36">
      <c r="A98" s="908">
        <v>38</v>
      </c>
      <c r="B98" s="3058"/>
      <c r="C98" s="908" t="s">
        <v>648</v>
      </c>
      <c r="D98" s="822" t="s">
        <v>649</v>
      </c>
      <c r="E98" s="921">
        <v>0.2</v>
      </c>
      <c r="F98" s="908">
        <v>30</v>
      </c>
    </row>
    <row r="99" spans="1:6" s="904" customFormat="1" ht="36">
      <c r="A99" s="908">
        <v>39</v>
      </c>
      <c r="B99" s="3058" t="s">
        <v>650</v>
      </c>
      <c r="C99" s="908" t="s">
        <v>651</v>
      </c>
      <c r="D99" s="822" t="s">
        <v>652</v>
      </c>
      <c r="E99" s="921">
        <v>0.3</v>
      </c>
      <c r="F99" s="908">
        <v>50</v>
      </c>
    </row>
    <row r="100" spans="1:6" s="904" customFormat="1" ht="24">
      <c r="A100" s="908">
        <v>40</v>
      </c>
      <c r="B100" s="3058"/>
      <c r="C100" s="908" t="s">
        <v>653</v>
      </c>
      <c r="D100" s="822" t="s">
        <v>654</v>
      </c>
      <c r="E100" s="921">
        <v>0.2</v>
      </c>
      <c r="F100" s="908">
        <v>30</v>
      </c>
    </row>
    <row r="101" spans="1:6" s="904" customFormat="1" ht="36">
      <c r="A101" s="908">
        <v>41</v>
      </c>
      <c r="B101" s="3058"/>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58" t="s">
        <v>665</v>
      </c>
      <c r="C105" s="908" t="s">
        <v>666</v>
      </c>
      <c r="D105" s="822" t="s">
        <v>667</v>
      </c>
      <c r="E105" s="921">
        <v>0.2</v>
      </c>
      <c r="F105" s="908">
        <v>30</v>
      </c>
    </row>
    <row r="106" spans="1:6" s="904" customFormat="1" ht="36">
      <c r="A106" s="908">
        <v>46</v>
      </c>
      <c r="B106" s="3058"/>
      <c r="C106" s="908" t="s">
        <v>668</v>
      </c>
      <c r="D106" s="822" t="s">
        <v>669</v>
      </c>
      <c r="E106" s="921">
        <v>0.2</v>
      </c>
      <c r="F106" s="908">
        <v>30</v>
      </c>
    </row>
    <row r="107" spans="1:6" s="904" customFormat="1" ht="36">
      <c r="A107" s="908">
        <v>47</v>
      </c>
      <c r="B107" s="3058" t="s">
        <v>670</v>
      </c>
      <c r="C107" s="908" t="s">
        <v>671</v>
      </c>
      <c r="D107" s="822" t="s">
        <v>672</v>
      </c>
      <c r="E107" s="921">
        <v>0.3</v>
      </c>
      <c r="F107" s="908">
        <v>50</v>
      </c>
    </row>
    <row r="108" spans="1:6" s="904" customFormat="1" ht="36">
      <c r="A108" s="908">
        <v>48</v>
      </c>
      <c r="B108" s="3058"/>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58" t="s">
        <v>681</v>
      </c>
      <c r="C111" s="908" t="s">
        <v>682</v>
      </c>
      <c r="D111" s="822" t="s">
        <v>683</v>
      </c>
      <c r="E111" s="921">
        <v>0.2</v>
      </c>
      <c r="F111" s="908">
        <v>30</v>
      </c>
    </row>
    <row r="112" spans="1:6" s="904" customFormat="1" ht="24">
      <c r="A112" s="908">
        <v>52</v>
      </c>
      <c r="B112" s="3058"/>
      <c r="C112" s="908" t="s">
        <v>684</v>
      </c>
      <c r="D112" s="822" t="s">
        <v>685</v>
      </c>
      <c r="E112" s="921">
        <v>0.2</v>
      </c>
      <c r="F112" s="908">
        <v>30</v>
      </c>
    </row>
    <row r="113" spans="1:6" s="904" customFormat="1" ht="24">
      <c r="A113" s="908">
        <v>53</v>
      </c>
      <c r="B113" s="3058"/>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58" t="s">
        <v>694</v>
      </c>
      <c r="C116" s="908" t="s">
        <v>695</v>
      </c>
      <c r="D116" s="822" t="s">
        <v>696</v>
      </c>
      <c r="E116" s="921">
        <v>0.2</v>
      </c>
      <c r="F116" s="908">
        <v>30</v>
      </c>
    </row>
    <row r="117" spans="1:6" ht="36">
      <c r="A117" s="908">
        <v>57</v>
      </c>
      <c r="B117" s="3058"/>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T2" sqref="T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64" t="s">
        <v>1034</v>
      </c>
      <c r="C1" s="3064"/>
      <c r="D1" s="3064"/>
      <c r="E1" s="3064"/>
      <c r="F1" s="3064"/>
      <c r="G1" s="3063" t="s">
        <v>1035</v>
      </c>
      <c r="H1" s="3063"/>
      <c r="I1" s="3063"/>
      <c r="J1" s="3063"/>
      <c r="K1" s="3063"/>
      <c r="L1" s="3063"/>
      <c r="N1" s="3063" t="s">
        <v>1036</v>
      </c>
      <c r="O1" s="3063"/>
      <c r="P1" s="3063"/>
      <c r="Q1" s="3063"/>
      <c r="R1" s="1550"/>
      <c r="S1" s="3063" t="s">
        <v>1037</v>
      </c>
      <c r="T1" s="3063"/>
      <c r="U1" s="3063"/>
      <c r="V1" s="3063"/>
      <c r="X1" s="3062" t="s">
        <v>1038</v>
      </c>
      <c r="Y1" s="3063"/>
      <c r="Z1" s="3063"/>
      <c r="AA1" s="3063"/>
      <c r="AB1" s="3063"/>
      <c r="AD1" s="3062" t="s">
        <v>1039</v>
      </c>
      <c r="AE1" s="3063"/>
      <c r="AF1" s="3063"/>
      <c r="AG1" s="3063"/>
      <c r="AH1" s="3063"/>
    </row>
    <row r="2" spans="1:34" s="1551" customFormat="1" ht="14.25" thickBot="1">
      <c r="B2" s="1552" t="s">
        <v>1040</v>
      </c>
      <c r="C2" s="1552" t="s">
        <v>1041</v>
      </c>
      <c r="D2" s="1553" t="s">
        <v>1042</v>
      </c>
      <c r="E2" s="1553" t="s">
        <v>1043</v>
      </c>
      <c r="F2" s="1552" t="s">
        <v>1044</v>
      </c>
      <c r="G2" s="1554"/>
      <c r="H2" s="1555"/>
      <c r="I2" s="1552" t="s">
        <v>1265</v>
      </c>
      <c r="J2" s="1553" t="s">
        <v>1266</v>
      </c>
      <c r="K2" s="1553" t="s">
        <v>1267</v>
      </c>
      <c r="L2" s="1552" t="s">
        <v>1268</v>
      </c>
      <c r="N2" s="1552" t="s">
        <v>1040</v>
      </c>
      <c r="O2" s="1553" t="s">
        <v>1269</v>
      </c>
      <c r="P2" s="1553" t="s">
        <v>728</v>
      </c>
      <c r="Q2" s="1552" t="s">
        <v>1044</v>
      </c>
      <c r="R2" s="1556"/>
      <c r="S2" s="1552" t="s">
        <v>1040</v>
      </c>
      <c r="T2" s="1553" t="s">
        <v>1269</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65">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60"/>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1264</v>
      </c>
      <c r="B6" s="1586">
        <f>B7*(1+N6)</f>
        <v>419.31181600000002</v>
      </c>
      <c r="C6" s="1586">
        <f t="shared" ref="C6" si="7">C7*(1+O6)</f>
        <v>313.95436800000004</v>
      </c>
      <c r="D6" s="1586">
        <f>C6</f>
        <v>313.95436800000004</v>
      </c>
      <c r="E6" s="1586">
        <f t="shared" si="3"/>
        <v>596.63028431999999</v>
      </c>
      <c r="F6" s="1586">
        <f t="shared" si="3"/>
        <v>274.74220703999998</v>
      </c>
      <c r="G6" s="3060"/>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61"/>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65">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60"/>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60"/>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61"/>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59">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60"/>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60"/>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61"/>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59">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60"/>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60"/>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61"/>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66">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67"/>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67"/>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68"/>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59">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60"/>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60"/>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61"/>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59">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60">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60">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61">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59">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60">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60">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61">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59">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60">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60">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61">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59">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60">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60">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61">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59">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60">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60">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61">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59">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60">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60">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61">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59">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60">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60">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61">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59">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60">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60">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61">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59">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60">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60">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61">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59">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60">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60">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61">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42990</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abSelected="1" topLeftCell="A46" workbookViewId="0">
      <selection activeCell="K84" sqref="K8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M17" sqref="M17"/>
    </sheetView>
  </sheetViews>
  <sheetFormatPr defaultRowHeight="13.5"/>
  <sheetData>
    <row r="1" spans="1:1">
      <c r="A1" t="s">
        <v>2807</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17"/>
      <c r="C2" s="2717"/>
      <c r="D2" s="2717"/>
      <c r="E2" s="2717"/>
    </row>
    <row r="3" spans="1:5" ht="13.5" customHeight="1">
      <c r="A3" s="1936"/>
      <c r="B3" s="1936"/>
      <c r="C3" s="1936"/>
      <c r="D3" s="1936"/>
      <c r="E3" s="1936"/>
    </row>
    <row r="4" spans="1:5" ht="19.5" thickBot="1">
      <c r="A4" s="2718" t="str">
        <f>IF(项目基本情况!D5="房地产市场价值","估价结果一览表（市场价值不需本页表格)","估价结果一览表")</f>
        <v>估价结果一览表（市场价值不需本页表格)</v>
      </c>
      <c r="B4" s="2718"/>
      <c r="C4" s="2718"/>
      <c r="D4" s="2718"/>
      <c r="E4" s="2718"/>
    </row>
    <row r="5" spans="1:5" ht="14.25" customHeight="1" thickTop="1">
      <c r="A5" s="1933"/>
      <c r="B5" s="1937" t="s">
        <v>742</v>
      </c>
      <c r="C5" s="2719" t="s">
        <v>784</v>
      </c>
      <c r="D5" s="2720"/>
      <c r="E5" s="1933"/>
    </row>
    <row r="6" spans="1:5" ht="14.25">
      <c r="A6" s="1933"/>
      <c r="B6" s="1938" t="str">
        <f>项目基本情况!I1</f>
        <v>北京市房地产</v>
      </c>
      <c r="C6" s="2721">
        <f>项目基本情况!C12</f>
        <v>339.05</v>
      </c>
      <c r="D6" s="2721"/>
      <c r="E6" s="1933"/>
    </row>
    <row r="7" spans="1:5" ht="14.25">
      <c r="A7" s="1933"/>
      <c r="B7" s="2715" t="s">
        <v>785</v>
      </c>
      <c r="C7" s="1939" t="str">
        <f>IF('数据-取费表'!B3="万元","总价（万元）","总价（元）")</f>
        <v>总价（元）</v>
      </c>
      <c r="D7" s="1940">
        <f ca="1">IF('数据-取费表'!E3="否",结果表!I102,'结果表 (1修多)'!I103)</f>
        <v>15448474</v>
      </c>
      <c r="E7" s="1933"/>
    </row>
    <row r="8" spans="1:5" ht="14.25">
      <c r="A8" s="1933"/>
      <c r="B8" s="2715"/>
      <c r="C8" s="1941" t="s">
        <v>1179</v>
      </c>
      <c r="D8" s="1942" t="str">
        <f ca="1">IF('数据-取费表'!B3="万元",NUMBERSTRING(INT(D7*10000),2)&amp;"元整",NUMBERSTRING(INT(D7),2)&amp;"元整")</f>
        <v>壹仟伍佰肆拾肆万捌仟肆佰柒拾肆元整</v>
      </c>
      <c r="E8" s="1933"/>
    </row>
    <row r="9" spans="1:5" ht="14.25">
      <c r="A9" s="1933"/>
      <c r="B9" s="2715"/>
      <c r="C9" s="1943" t="s">
        <v>1278</v>
      </c>
      <c r="D9" s="1940">
        <f ca="1">IF('数据-取费表'!E3="否",结果表!I103,'结果表 (1修多)'!I104)</f>
        <v>45564</v>
      </c>
      <c r="E9" s="1933"/>
    </row>
    <row r="10" spans="1:5" ht="14.25">
      <c r="A10" s="1933"/>
      <c r="B10" s="2722"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22"/>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22" t="str">
        <f>IF('数据-取费表'!E3="否",结果表!F110,'结果表 (1修多)'!F111)</f>
        <v>3.房地产抵押价值</v>
      </c>
      <c r="C15" s="1934" t="str">
        <f>C7</f>
        <v>总价（元）</v>
      </c>
      <c r="D15" s="1940">
        <f ca="1">IF('数据-取费表'!E3="否",结果表!I110,'结果表 (1修多)'!I111)</f>
        <v>15448474</v>
      </c>
      <c r="E15" s="1933"/>
    </row>
    <row r="16" spans="1:5" ht="14.25">
      <c r="A16" s="1933"/>
      <c r="B16" s="2722"/>
      <c r="C16" s="1941" t="s">
        <v>1179</v>
      </c>
      <c r="D16" s="1940" t="str">
        <f ca="1">IF('数据-取费表'!B3="万元",NUMBERSTRING(INT(D15*10000),2)&amp;"元整",NUMBERSTRING(INT(D15),2)&amp;"元整")</f>
        <v>壹仟伍佰肆拾肆万捌仟肆佰柒拾肆元整</v>
      </c>
      <c r="E16" s="1933"/>
    </row>
    <row r="17" spans="1:5" ht="14.25">
      <c r="A17" s="1933"/>
      <c r="B17" s="2722"/>
      <c r="C17" s="1943" t="s">
        <v>1278</v>
      </c>
      <c r="D17" s="1940">
        <f ca="1">IF('数据-取费表'!E3="否",结果表!I111,'结果表 (1修多)'!I112)</f>
        <v>45564</v>
      </c>
      <c r="E17" s="1933"/>
    </row>
    <row r="18" spans="1:5" ht="14.25">
      <c r="A18" s="1933"/>
      <c r="B18" s="2722" t="str">
        <f>IF('数据-取费表'!E3="否",结果表!F112,'结果表 (1修多)'!F113)</f>
        <v>——</v>
      </c>
      <c r="C18" s="1934" t="str">
        <f>C7</f>
        <v>总价（元）</v>
      </c>
      <c r="D18" s="1940" t="str">
        <f>IF('数据-取费表'!E3="否",结果表!I112,'结果表 (1修多)'!I113)</f>
        <v>——</v>
      </c>
      <c r="E18" s="1933"/>
    </row>
    <row r="19" spans="1:5" ht="14.25">
      <c r="A19" s="1933"/>
      <c r="B19" s="2722"/>
      <c r="C19" s="1941" t="s">
        <v>1179</v>
      </c>
      <c r="D19" s="1940" t="e">
        <f>IF('数据-取费表'!B3="万元",NUMBERSTRING(INT(D18*10000),2)&amp;"元整",NUMBERSTRING(INT(D18),2)&amp;"元整")</f>
        <v>#VALUE!</v>
      </c>
      <c r="E19" s="1933"/>
    </row>
    <row r="20" spans="1:5" ht="14.25">
      <c r="A20" s="1933"/>
      <c r="B20" s="2722"/>
      <c r="C20" s="1943" t="s">
        <v>1278</v>
      </c>
      <c r="D20" s="1940" t="str">
        <f>IF('数据-取费表'!E3="否",结果表!I113,'结果表 (1修多)'!I114)</f>
        <v>——</v>
      </c>
      <c r="E20" s="1933"/>
    </row>
    <row r="21" spans="1:5" ht="14.25">
      <c r="A21" s="1933"/>
      <c r="B21" s="2715" t="str">
        <f>IF('数据-取费表'!E3="否",结果表!F114,'结果表 (1修多)'!F115)</f>
        <v>——</v>
      </c>
      <c r="C21" s="1939" t="str">
        <f>C7</f>
        <v>总价（元）</v>
      </c>
      <c r="D21" s="1940" t="str">
        <f>IF('数据-取费表'!E3="否",结果表!I114,'结果表 (1修多)'!I115)</f>
        <v>——</v>
      </c>
      <c r="E21" s="1933"/>
    </row>
    <row r="22" spans="1:5" ht="14.25">
      <c r="A22" s="1933"/>
      <c r="B22" s="2715"/>
      <c r="C22" s="1941" t="s">
        <v>1179</v>
      </c>
      <c r="D22" s="1942" t="e">
        <f>IF('数据-取费表'!B3="万元",NUMBERSTRING(INT(D21*10000),2)&amp;"元整",NUMBERSTRING(INT(D21),2)&amp;"元整")</f>
        <v>#VALUE!</v>
      </c>
      <c r="E22" s="1933"/>
    </row>
    <row r="23" spans="1:5" ht="15" thickBot="1">
      <c r="A23" s="1933"/>
      <c r="B23" s="2716"/>
      <c r="C23" s="1948" t="s">
        <v>1278</v>
      </c>
      <c r="D23" s="1949" t="str">
        <f ca="1">IF('数据-取费表'!E3="否",结果表!I115,'结果表 (1修多)'!I116)</f>
        <v>——</v>
      </c>
      <c r="E23" s="1933"/>
    </row>
    <row r="24" spans="1:5" ht="14.25" thickTop="1">
      <c r="A24" s="1933"/>
      <c r="B24" s="1933"/>
      <c r="C24" s="1933"/>
      <c r="D24" s="1933"/>
      <c r="E24" s="1933"/>
    </row>
    <row r="25" spans="1:5" ht="18.75" customHeight="1" thickBot="1">
      <c r="A25" s="1933"/>
      <c r="B25" s="2730" t="s">
        <v>1279</v>
      </c>
      <c r="C25" s="2730"/>
      <c r="D25" s="2730"/>
      <c r="E25" s="1933"/>
    </row>
    <row r="26" spans="1:5" ht="18.75" customHeight="1" thickTop="1">
      <c r="A26" s="1933"/>
      <c r="B26" s="2733" t="s">
        <v>1178</v>
      </c>
      <c r="C26" s="2734"/>
      <c r="D26" s="2731" t="s">
        <v>1177</v>
      </c>
      <c r="E26" s="1933"/>
    </row>
    <row r="27" spans="1:5" ht="18.75" customHeight="1">
      <c r="A27" s="1933"/>
      <c r="B27" s="2735"/>
      <c r="C27" s="2736"/>
      <c r="D27" s="2732"/>
      <c r="E27" s="1933"/>
    </row>
    <row r="28" spans="1:5" ht="14.25">
      <c r="A28" s="1933"/>
      <c r="B28" s="2723" t="s">
        <v>785</v>
      </c>
      <c r="C28" s="1950" t="s">
        <v>1180</v>
      </c>
      <c r="D28" s="1951">
        <f ca="1">IF('数据-取费表'!E3="否",结果表!I102,'结果表 (1修多)'!I103)</f>
        <v>15448474</v>
      </c>
      <c r="E28" s="1933"/>
    </row>
    <row r="29" spans="1:5" ht="14.25">
      <c r="A29" s="1933"/>
      <c r="B29" s="2724"/>
      <c r="C29" s="1952" t="s">
        <v>1179</v>
      </c>
      <c r="D29" s="1953" t="str">
        <f ca="1">IF('数据-取费表'!B3="万元",NUMBERSTRING(INT(D28*10000),2)&amp;"元整",NUMBERSTRING(INT(D28),2)&amp;"元整")</f>
        <v>壹仟伍佰肆拾肆万捌仟肆佰柒拾肆元整</v>
      </c>
      <c r="E29" s="1933"/>
    </row>
    <row r="30" spans="1:5" ht="14.25">
      <c r="A30" s="1933"/>
      <c r="B30" s="2725"/>
      <c r="C30" s="1943" t="s">
        <v>1182</v>
      </c>
      <c r="D30" s="1954">
        <f ca="1">IF('数据-取费表'!E3="否",结果表!I103,'结果表 (1修多)'!I104)</f>
        <v>45564</v>
      </c>
      <c r="E30" s="1933"/>
    </row>
    <row r="31" spans="1:5" ht="14.25">
      <c r="A31" s="1933"/>
      <c r="B31" s="2728" t="str">
        <f>B10</f>
        <v>2.估价师所知悉的法定优先受偿款</v>
      </c>
      <c r="C31" s="1955" t="s">
        <v>1181</v>
      </c>
      <c r="D31" s="1956">
        <f>IF('数据-取费表'!E3="否",结果表!I105,'结果表 (1修多)'!I106)</f>
        <v>0</v>
      </c>
      <c r="E31" s="1933"/>
    </row>
    <row r="32" spans="1:5" ht="14.25">
      <c r="A32" s="1933"/>
      <c r="B32" s="273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26" t="str">
        <f>B15</f>
        <v>3.房地产抵押价值</v>
      </c>
      <c r="C36" s="1955" t="str">
        <f>C28</f>
        <v>总价</v>
      </c>
      <c r="D36" s="1956">
        <f ca="1">IF('数据-取费表'!E3="否",结果表!I110,'结果表 (1修多)'!I111)</f>
        <v>15448474</v>
      </c>
      <c r="E36" s="1933"/>
    </row>
    <row r="37" spans="1:5" ht="14.25">
      <c r="A37" s="1933"/>
      <c r="B37" s="2726"/>
      <c r="C37" s="1952" t="s">
        <v>1179</v>
      </c>
      <c r="D37" s="1957" t="str">
        <f ca="1">IF('数据-取费表'!B3="万元",NUMBERSTRING(INT(D36*10000),2)&amp;"元整",NUMBERSTRING(INT(D36),2)&amp;"元整")</f>
        <v>壹仟伍佰肆拾肆万捌仟肆佰柒拾肆元整</v>
      </c>
      <c r="E37" s="1933"/>
    </row>
    <row r="38" spans="1:5" ht="14.25">
      <c r="A38" s="1933"/>
      <c r="B38" s="2726"/>
      <c r="C38" s="1943" t="s">
        <v>1183</v>
      </c>
      <c r="D38" s="1954">
        <f ca="1">IF('数据-取费表'!E3="否",结果表!D113,'结果表 (1修多)'!D116)</f>
        <v>45564</v>
      </c>
      <c r="E38" s="1933"/>
    </row>
    <row r="39" spans="1:5" ht="14.25">
      <c r="A39" s="1933"/>
      <c r="B39" s="2727" t="str">
        <f>B18</f>
        <v>——</v>
      </c>
      <c r="C39" s="1955" t="str">
        <f>C28</f>
        <v>总价</v>
      </c>
      <c r="D39" s="1956" t="str">
        <f>IF('数据-取费表'!E3="否",结果表!I112,'结果表 (1修多)'!I113)</f>
        <v>——</v>
      </c>
      <c r="E39" s="1933"/>
    </row>
    <row r="40" spans="1:5" ht="14.25">
      <c r="A40" s="1933"/>
      <c r="B40" s="2727"/>
      <c r="C40" s="1952" t="s">
        <v>1179</v>
      </c>
      <c r="D40" s="1957" t="e">
        <f>IF('数据-取费表'!B3="万元",NUMBERSTRING(INT(D39*10000),2)&amp;"元整",NUMBERSTRING(INT(D39),2)&amp;"元整")</f>
        <v>#VALUE!</v>
      </c>
      <c r="E40" s="1933"/>
    </row>
    <row r="41" spans="1:5" ht="14.25">
      <c r="A41" s="1933"/>
      <c r="B41" s="2727"/>
      <c r="C41" s="1943" t="s">
        <v>1183</v>
      </c>
      <c r="D41" s="1954" t="str">
        <f>IF('数据-取费表'!E3="否",结果表!D115,'结果表 (1修多)'!D118)</f>
        <v>——</v>
      </c>
      <c r="E41" s="1933"/>
    </row>
    <row r="42" spans="1:5" ht="14.25">
      <c r="A42" s="1933"/>
      <c r="B42" s="2726" t="str">
        <f>B21</f>
        <v>——</v>
      </c>
      <c r="C42" s="1955" t="str">
        <f>C28</f>
        <v>总价</v>
      </c>
      <c r="D42" s="1956" t="str">
        <f>IF('数据-取费表'!E3="否",结果表!I114,'结果表 (1修多)'!I115)</f>
        <v>——</v>
      </c>
      <c r="E42" s="1933"/>
    </row>
    <row r="43" spans="1:5" ht="14.25">
      <c r="A43" s="1933"/>
      <c r="B43" s="2728"/>
      <c r="C43" s="1952" t="s">
        <v>1179</v>
      </c>
      <c r="D43" s="1958" t="e">
        <f>IF('数据-取费表'!B3="万元",NUMBERSTRING(INT(D42*10000),2)&amp;"元整",NUMBERSTRING(INT(D42),2)&amp;"元整")</f>
        <v>#VALUE!</v>
      </c>
      <c r="E43" s="1933"/>
    </row>
    <row r="44" spans="1:5" ht="15" thickBot="1">
      <c r="A44" s="1933"/>
      <c r="B44" s="272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44" t="str">
        <f>IF(项目基本情况!D5="房地产市场价值","估价结果一览表","结果表-2")</f>
        <v>估价结果一览表</v>
      </c>
      <c r="B1" s="2744"/>
      <c r="C1" s="2744"/>
      <c r="D1" s="2744"/>
      <c r="E1" s="2744"/>
      <c r="F1" s="2744"/>
      <c r="G1" s="2744"/>
      <c r="H1" s="2744"/>
      <c r="I1" s="2744"/>
    </row>
    <row r="2" spans="1:9" ht="30" customHeight="1" thickTop="1">
      <c r="A2" s="2745" t="s">
        <v>1280</v>
      </c>
      <c r="B2" s="2745" t="s">
        <v>1281</v>
      </c>
      <c r="C2" s="2745" t="s">
        <v>1282</v>
      </c>
      <c r="D2" s="2745" t="str">
        <f>IF('数据-取费表'!E3="否",结果表!D119,'结果表 (1修多)'!D122)</f>
        <v>出让国有建设用地使用权价值</v>
      </c>
      <c r="E2" s="2745"/>
      <c r="F2" s="2745" t="s">
        <v>1283</v>
      </c>
      <c r="G2" s="2745"/>
      <c r="H2" s="2745" t="s">
        <v>1284</v>
      </c>
      <c r="I2" s="2745"/>
    </row>
    <row r="3" spans="1:9" ht="15">
      <c r="A3" s="2740"/>
      <c r="B3" s="2740"/>
      <c r="C3" s="2740"/>
      <c r="D3" s="1050" t="s">
        <v>1285</v>
      </c>
      <c r="E3" s="1050" t="s">
        <v>1286</v>
      </c>
      <c r="F3" s="1050" t="s">
        <v>1285</v>
      </c>
      <c r="G3" s="1050" t="s">
        <v>1287</v>
      </c>
      <c r="H3" s="1050" t="s">
        <v>1285</v>
      </c>
      <c r="I3" s="1050" t="s">
        <v>1287</v>
      </c>
    </row>
    <row r="4" spans="1:9" ht="46.5" customHeight="1">
      <c r="A4" s="1050" t="str">
        <f>项目基本情况!I1</f>
        <v>北京市房地产</v>
      </c>
      <c r="B4" s="1050">
        <f>结果表!B121</f>
        <v>339.05</v>
      </c>
      <c r="C4" s="1050">
        <f>结果表!C121</f>
        <v>0</v>
      </c>
      <c r="D4" s="1050">
        <f ca="1">IF('数据-取费表'!E3="否",结果表!D121,'结果表 (1修多)'!D124)</f>
        <v>14351647</v>
      </c>
      <c r="E4" s="1050">
        <f ca="1">IF('数据-取费表'!E3="否",结果表!E121,'结果表 (1修多)'!E124)</f>
        <v>42329</v>
      </c>
      <c r="F4" s="1050">
        <f ca="1">IF('数据-取费表'!E3="否",结果表!F121,'结果表 (1修多)'!F124)</f>
        <v>1096827</v>
      </c>
      <c r="G4" s="1050">
        <f ca="1">IF('数据-取费表'!E3="否",结果表!G121,'结果表 (1修多)'!G124)</f>
        <v>3235</v>
      </c>
      <c r="H4" s="1050">
        <f ca="1">IF('数据-取费表'!E3="否",结果表!H121,'结果表 (1修多)'!H124)</f>
        <v>15448474</v>
      </c>
      <c r="I4" s="1050">
        <f ca="1">IF('数据-取费表'!E3="否",结果表!I121,'结果表 (1修多)'!I124)</f>
        <v>45564</v>
      </c>
    </row>
    <row r="5" spans="1:9" ht="15">
      <c r="A5" s="2740" t="s">
        <v>1288</v>
      </c>
      <c r="B5" s="2740"/>
      <c r="C5" s="2740"/>
      <c r="D5" s="2738" t="str">
        <f ca="1">IF('数据-取费表'!E3="否",结果表!D122,'结果表 (1修多)'!D125)</f>
        <v>壹仟肆佰叁拾伍万壹仟陆佰肆拾柒元整</v>
      </c>
      <c r="E5" s="2738"/>
      <c r="F5" s="2738" t="str">
        <f ca="1">IF('数据-取费表'!E3="否",结果表!F122,'结果表 (1修多)'!F125)</f>
        <v>壹佰零玖万陆仟捌佰贰拾柒元整</v>
      </c>
      <c r="G5" s="2738"/>
      <c r="H5" s="2738" t="str">
        <f ca="1">IF('数据-取费表'!E3="否",结果表!H122,'结果表 (1修多)'!H125)</f>
        <v>壹仟伍佰肆拾肆万捌仟肆佰柒拾肆元整</v>
      </c>
      <c r="I5" s="2738"/>
    </row>
    <row r="6" spans="1:9" ht="15.75">
      <c r="A6" s="2739" t="str">
        <f>IF('数据-取费表'!E3="否",结果表!A123,'结果表 (1修多)'!A126)</f>
        <v>——</v>
      </c>
      <c r="B6" s="2739"/>
      <c r="C6" s="2739"/>
      <c r="D6" s="2739">
        <f>IF('数据-取费表'!E3="否",结果表!D123,'结果表 (1修多)'!D126)</f>
        <v>0</v>
      </c>
      <c r="E6" s="2739"/>
      <c r="F6" s="2739"/>
      <c r="G6" s="2739"/>
      <c r="H6" s="2739"/>
      <c r="I6" s="2739"/>
    </row>
    <row r="7" spans="1:9" ht="15">
      <c r="A7" s="2740" t="s">
        <v>1288</v>
      </c>
      <c r="B7" s="2740"/>
      <c r="C7" s="2740"/>
      <c r="D7" s="2741">
        <f>IF('数据-取费表'!E3="否",结果表!D124,'结果表 (1修多)'!D127)</f>
        <v>0</v>
      </c>
      <c r="E7" s="2742"/>
      <c r="F7" s="2742"/>
      <c r="G7" s="2742"/>
      <c r="H7" s="2742"/>
      <c r="I7" s="2743"/>
    </row>
    <row r="8" spans="1:9" ht="15.75">
      <c r="A8" s="2739" t="str">
        <f>IF('数据-取费表'!E3="否",结果表!A125,'结果表 (1修多)'!A128)</f>
        <v>——</v>
      </c>
      <c r="B8" s="2739"/>
      <c r="C8" s="2739"/>
      <c r="D8" s="2739">
        <f ca="1">IF('数据-取费表'!E3="否",结果表!D125,'结果表 (1修多)'!D128)</f>
        <v>15448474</v>
      </c>
      <c r="E8" s="2739"/>
      <c r="F8" s="2739"/>
      <c r="G8" s="2739"/>
      <c r="H8" s="2739"/>
      <c r="I8" s="2739"/>
    </row>
    <row r="9" spans="1:9" ht="15">
      <c r="A9" s="2740" t="s">
        <v>1288</v>
      </c>
      <c r="B9" s="2740"/>
      <c r="C9" s="2740"/>
      <c r="D9" s="2738">
        <f ca="1">IF('数据-取费表'!E3="否",结果表!D126,'结果表 (1修多)'!D129)</f>
        <v>45564</v>
      </c>
      <c r="E9" s="2738"/>
      <c r="F9" s="2738"/>
      <c r="G9" s="2738"/>
      <c r="H9" s="2738"/>
      <c r="I9" s="2738"/>
    </row>
    <row r="10" spans="1:9" ht="15.75">
      <c r="A10" s="2739" t="str">
        <f>IF('数据-取费表'!E3="否",结果表!A127,'结果表 (1修多)'!A130)</f>
        <v>——</v>
      </c>
      <c r="B10" s="2739"/>
      <c r="C10" s="2739"/>
      <c r="D10" s="2739" t="str">
        <f>IF('数据-取费表'!E3="否",结果表!D127,'结果表 (1修多)'!D129)</f>
        <v>——</v>
      </c>
      <c r="E10" s="2739"/>
      <c r="F10" s="2739"/>
      <c r="G10" s="2739"/>
      <c r="H10" s="2739"/>
      <c r="I10" s="2739"/>
    </row>
    <row r="11" spans="1:9" ht="15">
      <c r="A11" s="2740" t="s">
        <v>1288</v>
      </c>
      <c r="B11" s="2740"/>
      <c r="C11" s="2740"/>
      <c r="D11" s="2738" t="str">
        <f>IF('数据-取费表'!E3="否",结果表!D128,'结果表 (1修多)'!D131)</f>
        <v>——</v>
      </c>
      <c r="E11" s="2738"/>
      <c r="F11" s="2738"/>
      <c r="G11" s="2738"/>
      <c r="H11" s="2738"/>
      <c r="I11" s="2738"/>
    </row>
    <row r="12" spans="1:9" ht="15.75">
      <c r="A12" s="2739" t="str">
        <f>IF('数据-取费表'!E3="否",结果表!A129,'结果表 (1修多)'!A132)</f>
        <v>——</v>
      </c>
      <c r="B12" s="2739"/>
      <c r="C12" s="2739"/>
      <c r="D12" s="2739" t="str">
        <f>IF('数据-取费表'!E3="否",结果表!D129,'结果表 (1修多)'!D132)</f>
        <v>——</v>
      </c>
      <c r="E12" s="2739"/>
      <c r="F12" s="2739"/>
      <c r="G12" s="2739"/>
      <c r="H12" s="2739"/>
      <c r="I12" s="2739"/>
    </row>
    <row r="13" spans="1:9" ht="15.75" thickBot="1">
      <c r="A13" s="2746" t="s">
        <v>1288</v>
      </c>
      <c r="B13" s="2746"/>
      <c r="C13" s="2746"/>
      <c r="D13" s="2747">
        <f>IF('数据-取费表'!E3="否",结果表!D130,'结果表 (1修多)'!D133)</f>
        <v>0</v>
      </c>
      <c r="E13" s="2747"/>
      <c r="F13" s="2747"/>
      <c r="G13" s="2747"/>
      <c r="H13" s="2747"/>
      <c r="I13" s="2747"/>
    </row>
    <row r="14" spans="1:9" ht="15" thickTop="1">
      <c r="A14" s="2748" t="str">
        <f>IF('数据-取费表'!E3="否",结果表!A131,'结果表 (1修多)'!A134)</f>
        <v>单位：平方米、元、元/平方米（币种：人民币）</v>
      </c>
      <c r="B14" s="2748"/>
      <c r="C14" s="2748"/>
      <c r="D14" s="2748"/>
      <c r="E14" s="2748"/>
      <c r="F14" s="2748"/>
      <c r="G14" s="2748"/>
      <c r="H14" s="2748"/>
      <c r="I14" s="2748"/>
    </row>
    <row r="15" spans="1:9">
      <c r="A15" s="716"/>
      <c r="B15" s="716"/>
      <c r="C15" s="716"/>
      <c r="D15" s="716"/>
      <c r="E15" s="716"/>
      <c r="F15" s="716"/>
      <c r="G15" s="716"/>
      <c r="H15" s="716"/>
      <c r="I15" s="716"/>
    </row>
    <row r="16" spans="1:9" ht="18.75">
      <c r="A16" s="1961" t="s">
        <v>1289</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53" t="s">
        <v>1302</v>
      </c>
      <c r="B1" s="2753"/>
      <c r="C1" s="2753"/>
      <c r="D1" s="2753"/>
    </row>
    <row r="2" spans="1:4" ht="18">
      <c r="A2" s="2752" t="s">
        <v>1290</v>
      </c>
      <c r="B2" s="2752"/>
      <c r="C2" s="2752"/>
      <c r="D2" s="2752"/>
    </row>
    <row r="3" spans="1:4" ht="18.75">
      <c r="A3" s="1962" t="s">
        <v>1291</v>
      </c>
      <c r="B3" s="1962" t="s">
        <v>1292</v>
      </c>
      <c r="C3" s="1962" t="s">
        <v>1293</v>
      </c>
      <c r="D3" s="1962" t="s">
        <v>1294</v>
      </c>
    </row>
    <row r="4" spans="1:4" ht="56.25" customHeight="1">
      <c r="A4" s="1963" t="str">
        <f>项目基本情况!B3</f>
        <v>叶凌</v>
      </c>
      <c r="B4" s="1964">
        <f ca="1">项目基本情况!C3</f>
        <v>1119970111</v>
      </c>
      <c r="C4" s="1965"/>
      <c r="D4" s="1966" t="s">
        <v>1303</v>
      </c>
    </row>
    <row r="5" spans="1:4" ht="56.25" customHeight="1">
      <c r="A5" s="1963" t="str">
        <f>项目基本情况!D3</f>
        <v>杨红英</v>
      </c>
      <c r="B5" s="1964">
        <f>项目基本情况!E3</f>
        <v>1120070085</v>
      </c>
      <c r="C5" s="1967"/>
      <c r="D5" s="1966" t="s">
        <v>1303</v>
      </c>
    </row>
    <row r="6" spans="1:4" ht="12" customHeight="1">
      <c r="A6" s="1963"/>
      <c r="B6" s="1964"/>
      <c r="C6" s="1968"/>
      <c r="D6" s="1966"/>
    </row>
    <row r="7" spans="1:4" ht="18">
      <c r="A7" s="2752" t="s">
        <v>1295</v>
      </c>
      <c r="B7" s="2752"/>
      <c r="C7" s="2752"/>
      <c r="D7" s="2752"/>
    </row>
    <row r="8" spans="1:4" ht="18.75">
      <c r="A8" s="1962" t="s">
        <v>1291</v>
      </c>
      <c r="B8" s="1964" t="s">
        <v>1296</v>
      </c>
      <c r="C8" s="1962" t="s">
        <v>1293</v>
      </c>
      <c r="D8" s="1962" t="s">
        <v>1294</v>
      </c>
    </row>
    <row r="9" spans="1:4" ht="56.25" customHeight="1">
      <c r="A9" s="1969" t="s">
        <v>786</v>
      </c>
      <c r="B9" s="1969" t="s">
        <v>787</v>
      </c>
      <c r="C9" s="1965"/>
      <c r="D9" s="1966" t="s">
        <v>1303</v>
      </c>
    </row>
    <row r="11" spans="1:4" ht="18.75">
      <c r="A11" s="1970" t="s">
        <v>1297</v>
      </c>
    </row>
    <row r="12" spans="1:4" ht="30" customHeight="1">
      <c r="A12" s="2749" t="s">
        <v>1304</v>
      </c>
      <c r="B12" s="2751"/>
      <c r="C12" s="2751"/>
      <c r="D12" s="2751"/>
    </row>
    <row r="13" spans="1:4" ht="15.75">
      <c r="A13" s="274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51"/>
      <c r="C13" s="2751"/>
      <c r="D13" s="2751"/>
    </row>
    <row r="14" spans="1:4" ht="30" customHeight="1">
      <c r="A14" s="2749" t="str">
        <f>IF(项目基本情况!D4="抵押","3.抵押双方在办理抵押登记手续时，应使用本公司出具的正式《房地产评估报告》，特提醒报告使用者注意。","——")</f>
        <v>——</v>
      </c>
      <c r="B14" s="2751"/>
      <c r="C14" s="2751"/>
      <c r="D14" s="2751"/>
    </row>
    <row r="15" spans="1:4" ht="15.75" customHeight="1">
      <c r="A15" s="2749" t="str">
        <f>IF(项目基本情况!D4="抵押","4.本次评估估价师所知悉的法定优先受偿款情况说明如下：","——")</f>
        <v>——</v>
      </c>
      <c r="B15" s="2751"/>
      <c r="C15" s="2751"/>
      <c r="D15" s="2751"/>
    </row>
    <row r="16" spans="1:4" ht="75" customHeight="1">
      <c r="A16" s="2749" t="str">
        <f>IF(项目基本情况!D4="抵押",CONCATENATE(项目基本情况!J13,项目基本情况!J14,项目基本情况!J15),"——")</f>
        <v>——</v>
      </c>
      <c r="B16" s="2749"/>
      <c r="C16" s="2749"/>
      <c r="D16" s="2749"/>
    </row>
    <row r="17" spans="1:4" ht="63.75" customHeight="1">
      <c r="A17" s="2750" t="s">
        <v>1305</v>
      </c>
      <c r="B17" s="2750"/>
      <c r="C17" s="2750"/>
      <c r="D17" s="2750"/>
    </row>
    <row r="18" spans="1:4" ht="15.75" customHeight="1">
      <c r="A18" s="2749" t="str">
        <f>IF(项目基本情况!D4="抵押",结果表!K106,"——")</f>
        <v>——</v>
      </c>
      <c r="B18" s="2749"/>
      <c r="C18" s="2749"/>
      <c r="D18" s="2749"/>
    </row>
    <row r="19" spans="1:4" ht="46.5" customHeight="1">
      <c r="A19" s="274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49"/>
      <c r="C19" s="2749"/>
      <c r="D19" s="2749"/>
    </row>
    <row r="20" spans="1:4" ht="15">
      <c r="A20" s="2750" t="s">
        <v>1298</v>
      </c>
      <c r="B20" s="2750"/>
      <c r="C20" s="2750"/>
      <c r="D20" s="2750"/>
    </row>
    <row r="21" spans="1:4">
      <c r="A21" s="1971"/>
      <c r="B21" s="1292"/>
      <c r="C21" s="1292"/>
      <c r="D21" s="1292"/>
    </row>
    <row r="22" spans="1:4">
      <c r="A22" s="1971"/>
      <c r="B22" s="1292"/>
      <c r="C22" s="1292"/>
      <c r="D22" s="1292"/>
    </row>
    <row r="23" spans="1:4" ht="18.75">
      <c r="A23" s="1932" t="s">
        <v>1299</v>
      </c>
    </row>
    <row r="24" spans="1:4" ht="18">
      <c r="A24" s="1932"/>
    </row>
    <row r="25" spans="1:4" ht="18.75">
      <c r="A25" s="1932" t="s">
        <v>1300</v>
      </c>
    </row>
    <row r="28" spans="1:4" ht="21" customHeight="1">
      <c r="D28" s="1972" t="s">
        <v>1301</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80" customWidth="1"/>
    <col min="2" max="16384" width="14.5" style="716"/>
  </cols>
  <sheetData>
    <row r="1" spans="1:7" s="1961" customFormat="1" ht="18.75">
      <c r="A1" s="714" t="s">
        <v>1372</v>
      </c>
    </row>
    <row r="3" spans="1:7" ht="14.25">
      <c r="A3" s="1978" t="s">
        <v>1373</v>
      </c>
      <c r="B3" s="716" t="s">
        <v>1374</v>
      </c>
      <c r="G3" s="1979"/>
    </row>
    <row r="4" spans="1:7">
      <c r="G4" s="1979"/>
    </row>
    <row r="5" spans="1:7" ht="14.25">
      <c r="A5" s="1981" t="s">
        <v>1375</v>
      </c>
      <c r="B5" s="716" t="s">
        <v>1376</v>
      </c>
      <c r="G5" s="1979"/>
    </row>
    <row r="6" spans="1:7">
      <c r="G6" s="1979"/>
    </row>
    <row r="7" spans="1:7" ht="14.25">
      <c r="A7" s="1982" t="s">
        <v>1377</v>
      </c>
      <c r="B7" s="716" t="s">
        <v>1378</v>
      </c>
      <c r="G7" s="1979"/>
    </row>
    <row r="8" spans="1:7">
      <c r="G8" s="1979"/>
    </row>
    <row r="9" spans="1:7">
      <c r="A9" s="1983" t="s">
        <v>1379</v>
      </c>
      <c r="B9" s="716" t="s">
        <v>1380</v>
      </c>
    </row>
    <row r="11" spans="1:7">
      <c r="A11" s="1984" t="s">
        <v>1381</v>
      </c>
      <c r="B11" s="1985" t="s">
        <v>1382</v>
      </c>
    </row>
    <row r="13" spans="1:7">
      <c r="A13" s="1687" t="s">
        <v>1383</v>
      </c>
    </row>
    <row r="15" spans="1:7" ht="14.25">
      <c r="A15" s="2759" t="s">
        <v>1384</v>
      </c>
      <c r="B15" s="2754" t="s">
        <v>1385</v>
      </c>
      <c r="C15" s="2755"/>
    </row>
    <row r="16" spans="1:7" ht="14.25">
      <c r="A16" s="2760"/>
      <c r="B16" s="2754" t="s">
        <v>1386</v>
      </c>
      <c r="C16" s="2755"/>
    </row>
    <row r="17" spans="1:3" ht="14.25">
      <c r="A17" s="2760"/>
      <c r="B17" s="2754" t="s">
        <v>1387</v>
      </c>
      <c r="C17" s="2755"/>
    </row>
    <row r="18" spans="1:3" ht="14.25">
      <c r="A18" s="2761"/>
      <c r="B18" s="2756" t="s">
        <v>1388</v>
      </c>
      <c r="C18" s="2755"/>
    </row>
    <row r="19" spans="1:3" ht="14.25">
      <c r="A19" s="1986" t="s">
        <v>1389</v>
      </c>
      <c r="B19" s="1987"/>
      <c r="C19" s="1988"/>
    </row>
    <row r="20" spans="1:3" ht="14.25">
      <c r="A20" s="2757" t="s">
        <v>1390</v>
      </c>
      <c r="B20" s="2756" t="s">
        <v>1391</v>
      </c>
      <c r="C20" s="2755"/>
    </row>
    <row r="21" spans="1:3" ht="14.25">
      <c r="A21" s="2757"/>
      <c r="B21" s="2756" t="s">
        <v>1392</v>
      </c>
      <c r="C21" s="2755"/>
    </row>
    <row r="22" spans="1:3" ht="14.25">
      <c r="A22" s="2757"/>
      <c r="B22" s="2756" t="s">
        <v>1393</v>
      </c>
      <c r="C22" s="2755"/>
    </row>
    <row r="23" spans="1:3" ht="14.25">
      <c r="A23" s="2757"/>
      <c r="B23" s="2758" t="s">
        <v>1394</v>
      </c>
      <c r="C23" s="1989" t="s">
        <v>1395</v>
      </c>
    </row>
    <row r="24" spans="1:3" ht="14.25">
      <c r="A24" s="2757"/>
      <c r="B24" s="2758"/>
      <c r="C24" s="1989" t="s">
        <v>1396</v>
      </c>
    </row>
    <row r="25" spans="1:3" ht="14.25">
      <c r="A25" s="2757"/>
      <c r="B25" s="2758"/>
      <c r="C25" s="1989" t="s">
        <v>1397</v>
      </c>
    </row>
    <row r="26" spans="1:3" ht="14.25">
      <c r="A26" s="2757"/>
      <c r="B26" s="2758"/>
      <c r="C26" s="1989" t="s">
        <v>1398</v>
      </c>
    </row>
    <row r="27" spans="1:3" ht="14.25">
      <c r="A27" s="2757"/>
      <c r="B27" s="2758"/>
      <c r="C27" s="1989" t="s">
        <v>1399</v>
      </c>
    </row>
    <row r="28" spans="1:3" ht="14.25">
      <c r="A28" s="2757"/>
      <c r="B28" s="2758"/>
      <c r="C28" s="1989" t="s">
        <v>1400</v>
      </c>
    </row>
    <row r="29" spans="1:3" ht="14.25">
      <c r="A29" s="2757"/>
      <c r="B29" s="2758"/>
      <c r="C29" s="1989" t="s">
        <v>1401</v>
      </c>
    </row>
    <row r="30" spans="1:3" ht="14.25">
      <c r="A30" s="2757"/>
      <c r="B30" s="2758"/>
      <c r="C30" s="1989" t="s">
        <v>1402</v>
      </c>
    </row>
    <row r="31" spans="1:3" ht="14.25">
      <c r="A31" s="2757"/>
      <c r="B31" s="2758"/>
      <c r="C31" s="1989" t="s">
        <v>1403</v>
      </c>
    </row>
    <row r="32" spans="1:3">
      <c r="A32" s="1990" t="s">
        <v>1404</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43039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62" t="s">
        <v>769</v>
      </c>
      <c r="B25" s="2762"/>
      <c r="C25" s="2762"/>
      <c r="D25" s="2762"/>
      <c r="E25" s="2762"/>
      <c r="F25" s="2762"/>
      <c r="G25" s="2762"/>
      <c r="H25" s="2762"/>
    </row>
    <row r="26" spans="1:8" s="1035" customFormat="1" ht="24" customHeight="1">
      <c r="A26" s="2763" t="s">
        <v>770</v>
      </c>
      <c r="B26" s="2763"/>
      <c r="C26" s="2763"/>
      <c r="D26" s="1063"/>
      <c r="E26" s="1063"/>
      <c r="F26" s="2763" t="s">
        <v>771</v>
      </c>
      <c r="G26" s="2763"/>
      <c r="H26" s="2763"/>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1263</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1405</v>
      </c>
      <c r="B1" s="4" t="s">
        <v>1406</v>
      </c>
      <c r="C1" s="1992" t="s">
        <v>1407</v>
      </c>
      <c r="D1" s="5" t="s">
        <v>1408</v>
      </c>
      <c r="E1" s="5" t="s">
        <v>1409</v>
      </c>
      <c r="F1" s="5" t="s">
        <v>1410</v>
      </c>
      <c r="G1" s="5" t="s">
        <v>1411</v>
      </c>
      <c r="H1" s="5" t="s">
        <v>1412</v>
      </c>
      <c r="I1" s="5" t="s">
        <v>1413</v>
      </c>
      <c r="J1" s="5" t="s">
        <v>1414</v>
      </c>
      <c r="K1" s="5" t="s">
        <v>1415</v>
      </c>
      <c r="L1" s="5" t="s">
        <v>1416</v>
      </c>
      <c r="M1" s="5" t="s">
        <v>1417</v>
      </c>
      <c r="N1" s="5" t="s">
        <v>1418</v>
      </c>
      <c r="O1" s="5" t="s">
        <v>1419</v>
      </c>
      <c r="P1" s="1993" t="s">
        <v>1420</v>
      </c>
      <c r="Q1" s="1993" t="s">
        <v>1421</v>
      </c>
      <c r="R1" s="1993" t="s">
        <v>1422</v>
      </c>
      <c r="S1" s="5" t="s">
        <v>1423</v>
      </c>
      <c r="T1" s="6" t="s">
        <v>1424</v>
      </c>
      <c r="U1" s="5" t="s">
        <v>1425</v>
      </c>
      <c r="V1" s="5" t="s">
        <v>1426</v>
      </c>
      <c r="W1" s="5" t="s">
        <v>1427</v>
      </c>
      <c r="X1" s="5" t="s">
        <v>1428</v>
      </c>
      <c r="Y1" s="5" t="s">
        <v>1429</v>
      </c>
    </row>
    <row r="2" spans="1:25">
      <c r="A2" s="1994" t="s">
        <v>33</v>
      </c>
      <c r="B2" s="1994" t="s">
        <v>1430</v>
      </c>
      <c r="C2" s="1995" t="s">
        <v>1431</v>
      </c>
      <c r="D2" s="7" t="s">
        <v>1432</v>
      </c>
      <c r="E2" s="7" t="s">
        <v>1433</v>
      </c>
      <c r="F2" s="7" t="s">
        <v>1434</v>
      </c>
      <c r="G2" s="7">
        <v>40</v>
      </c>
      <c r="H2" s="7" t="s">
        <v>1434</v>
      </c>
      <c r="I2" s="7" t="s">
        <v>1435</v>
      </c>
      <c r="J2" s="7" t="s">
        <v>1436</v>
      </c>
      <c r="K2" s="7" t="s">
        <v>1437</v>
      </c>
      <c r="L2" s="7" t="s">
        <v>1437</v>
      </c>
      <c r="M2" s="7" t="s">
        <v>1437</v>
      </c>
      <c r="N2" s="7" t="s">
        <v>1437</v>
      </c>
      <c r="O2" s="7" t="s">
        <v>1437</v>
      </c>
      <c r="P2" s="7" t="s">
        <v>1437</v>
      </c>
      <c r="Q2" s="7" t="s">
        <v>1437</v>
      </c>
      <c r="R2" s="7" t="s">
        <v>1438</v>
      </c>
      <c r="S2" s="7" t="s">
        <v>1437</v>
      </c>
      <c r="T2" s="7" t="s">
        <v>1439</v>
      </c>
      <c r="U2" s="7" t="s">
        <v>1437</v>
      </c>
      <c r="V2" s="7" t="s">
        <v>1440</v>
      </c>
      <c r="W2" s="7" t="s">
        <v>1437</v>
      </c>
      <c r="X2" s="7" t="s">
        <v>1441</v>
      </c>
      <c r="Y2" s="7" t="s">
        <v>1442</v>
      </c>
    </row>
    <row r="3" spans="1:25">
      <c r="A3" s="1994" t="s">
        <v>1443</v>
      </c>
      <c r="B3" s="1996" t="s">
        <v>1444</v>
      </c>
      <c r="C3" s="1279" t="s">
        <v>1445</v>
      </c>
      <c r="D3" s="7" t="s">
        <v>1446</v>
      </c>
      <c r="E3" s="7" t="s">
        <v>13</v>
      </c>
      <c r="F3" s="7" t="s">
        <v>1447</v>
      </c>
      <c r="G3" s="7">
        <v>50</v>
      </c>
      <c r="H3" s="7" t="s">
        <v>1447</v>
      </c>
      <c r="I3" s="7" t="s">
        <v>1448</v>
      </c>
      <c r="J3" s="7" t="s">
        <v>1449</v>
      </c>
      <c r="K3" s="7" t="s">
        <v>1450</v>
      </c>
      <c r="L3" s="7" t="s">
        <v>1450</v>
      </c>
      <c r="M3" s="7" t="s">
        <v>1450</v>
      </c>
      <c r="N3" s="7" t="s">
        <v>1450</v>
      </c>
      <c r="O3" s="7" t="s">
        <v>1450</v>
      </c>
      <c r="P3" s="7" t="s">
        <v>1450</v>
      </c>
      <c r="Q3" s="7" t="s">
        <v>1450</v>
      </c>
      <c r="R3" s="7" t="s">
        <v>1451</v>
      </c>
      <c r="S3" s="7" t="s">
        <v>1450</v>
      </c>
      <c r="T3" s="7" t="s">
        <v>1452</v>
      </c>
      <c r="U3" s="7" t="s">
        <v>1450</v>
      </c>
      <c r="V3" s="7" t="s">
        <v>1453</v>
      </c>
      <c r="W3" s="7" t="s">
        <v>1450</v>
      </c>
      <c r="X3" s="7" t="s">
        <v>1454</v>
      </c>
      <c r="Y3" s="7" t="s">
        <v>1455</v>
      </c>
    </row>
    <row r="4" spans="1:25">
      <c r="A4" s="1994" t="s">
        <v>1456</v>
      </c>
      <c r="B4" s="1996" t="s">
        <v>1457</v>
      </c>
      <c r="C4" s="1995" t="s">
        <v>1458</v>
      </c>
      <c r="D4" s="7" t="s">
        <v>13</v>
      </c>
      <c r="E4" s="7" t="s">
        <v>1459</v>
      </c>
      <c r="F4" s="7" t="s">
        <v>1460</v>
      </c>
      <c r="G4" s="7">
        <v>70</v>
      </c>
      <c r="H4" s="7" t="s">
        <v>1460</v>
      </c>
      <c r="I4" s="7" t="s">
        <v>1461</v>
      </c>
      <c r="K4" s="7" t="s">
        <v>1462</v>
      </c>
      <c r="L4" s="7" t="s">
        <v>1462</v>
      </c>
      <c r="M4" s="7" t="s">
        <v>1462</v>
      </c>
      <c r="N4" s="7" t="s">
        <v>1462</v>
      </c>
      <c r="O4" s="7" t="s">
        <v>1462</v>
      </c>
      <c r="P4" s="7" t="s">
        <v>1462</v>
      </c>
      <c r="Q4" s="7" t="s">
        <v>1462</v>
      </c>
      <c r="R4" s="7" t="s">
        <v>1463</v>
      </c>
      <c r="S4" s="7" t="s">
        <v>1462</v>
      </c>
      <c r="T4" s="7" t="s">
        <v>1464</v>
      </c>
      <c r="U4" s="7" t="s">
        <v>1462</v>
      </c>
      <c r="W4" s="7" t="s">
        <v>1462</v>
      </c>
      <c r="X4" s="7" t="s">
        <v>1465</v>
      </c>
      <c r="Y4" s="7" t="s">
        <v>1466</v>
      </c>
    </row>
    <row r="5" spans="1:25">
      <c r="A5" s="1994" t="s">
        <v>1467</v>
      </c>
      <c r="B5" s="1994" t="s">
        <v>1468</v>
      </c>
      <c r="C5" s="1995" t="s">
        <v>1469</v>
      </c>
      <c r="F5" s="7" t="s">
        <v>1470</v>
      </c>
      <c r="H5" s="7" t="s">
        <v>1471</v>
      </c>
      <c r="I5" s="7" t="s">
        <v>1472</v>
      </c>
      <c r="K5" s="7" t="s">
        <v>1473</v>
      </c>
      <c r="L5" s="7" t="s">
        <v>1473</v>
      </c>
      <c r="M5" s="7" t="s">
        <v>1473</v>
      </c>
      <c r="N5" s="7" t="s">
        <v>1473</v>
      </c>
      <c r="O5" s="7" t="s">
        <v>1473</v>
      </c>
      <c r="P5" s="7" t="s">
        <v>1473</v>
      </c>
      <c r="Q5" s="7" t="s">
        <v>1473</v>
      </c>
      <c r="R5" s="7" t="s">
        <v>1474</v>
      </c>
      <c r="S5" s="7" t="s">
        <v>1473</v>
      </c>
      <c r="T5" s="7" t="s">
        <v>1475</v>
      </c>
      <c r="U5" s="7" t="s">
        <v>1473</v>
      </c>
      <c r="W5" s="7" t="s">
        <v>1473</v>
      </c>
      <c r="X5" s="1997"/>
    </row>
    <row r="6" spans="1:25">
      <c r="A6" s="1994" t="s">
        <v>1476</v>
      </c>
      <c r="B6" s="1994" t="s">
        <v>1477</v>
      </c>
      <c r="C6" s="1248" t="s">
        <v>1478</v>
      </c>
      <c r="F6" s="7" t="s">
        <v>1479</v>
      </c>
      <c r="H6" s="7" t="s">
        <v>1480</v>
      </c>
      <c r="I6" s="7" t="s">
        <v>1481</v>
      </c>
      <c r="K6" s="7" t="s">
        <v>1482</v>
      </c>
      <c r="L6" s="7" t="s">
        <v>1482</v>
      </c>
      <c r="M6" s="7" t="s">
        <v>1482</v>
      </c>
      <c r="N6" s="7" t="s">
        <v>1482</v>
      </c>
      <c r="O6" s="7" t="s">
        <v>1482</v>
      </c>
      <c r="P6" s="7" t="s">
        <v>1482</v>
      </c>
      <c r="Q6" s="7" t="s">
        <v>1482</v>
      </c>
      <c r="R6" s="7" t="s">
        <v>1483</v>
      </c>
      <c r="S6" s="7" t="s">
        <v>1482</v>
      </c>
      <c r="T6" s="7"/>
      <c r="U6" s="7" t="s">
        <v>1482</v>
      </c>
      <c r="W6" s="7" t="s">
        <v>1482</v>
      </c>
      <c r="X6" s="1997"/>
    </row>
    <row r="7" spans="1:25">
      <c r="A7" s="1994" t="s">
        <v>1484</v>
      </c>
      <c r="B7" s="1996" t="s">
        <v>1485</v>
      </c>
      <c r="C7" s="1995" t="s">
        <v>1486</v>
      </c>
      <c r="F7" s="7" t="s">
        <v>1487</v>
      </c>
      <c r="H7" s="7" t="s">
        <v>1488</v>
      </c>
      <c r="I7" s="7" t="s">
        <v>1489</v>
      </c>
      <c r="X7" s="1997"/>
    </row>
    <row r="8" spans="1:25">
      <c r="A8" s="1994" t="s">
        <v>1490</v>
      </c>
      <c r="B8" s="1996" t="s">
        <v>1491</v>
      </c>
      <c r="C8" s="1995" t="s">
        <v>1492</v>
      </c>
      <c r="F8" s="7" t="s">
        <v>1493</v>
      </c>
      <c r="H8" s="7" t="s">
        <v>1494</v>
      </c>
      <c r="I8" s="7" t="s">
        <v>1495</v>
      </c>
      <c r="X8" s="1997"/>
    </row>
    <row r="9" spans="1:25">
      <c r="A9" s="1994" t="s">
        <v>1496</v>
      </c>
      <c r="B9" s="1994" t="s">
        <v>1497</v>
      </c>
      <c r="C9" s="1995" t="s">
        <v>1498</v>
      </c>
      <c r="F9" s="7" t="s">
        <v>1499</v>
      </c>
      <c r="H9" s="7" t="s">
        <v>1500</v>
      </c>
    </row>
    <row r="10" spans="1:25">
      <c r="A10" s="1994" t="s">
        <v>1501</v>
      </c>
      <c r="B10" s="1994" t="s">
        <v>1502</v>
      </c>
      <c r="C10" s="1995" t="s">
        <v>1503</v>
      </c>
      <c r="F10" s="7" t="s">
        <v>13</v>
      </c>
    </row>
    <row r="11" spans="1:25">
      <c r="A11" s="1994" t="s">
        <v>1504</v>
      </c>
      <c r="B11" s="1994" t="s">
        <v>1505</v>
      </c>
      <c r="C11" s="1995" t="s">
        <v>1506</v>
      </c>
    </row>
    <row r="12" spans="1:25">
      <c r="A12" s="1994" t="s">
        <v>1507</v>
      </c>
      <c r="B12" s="1994" t="s">
        <v>1508</v>
      </c>
      <c r="C12" s="1995" t="s">
        <v>1509</v>
      </c>
    </row>
    <row r="13" spans="1:25">
      <c r="A13" s="1994" t="s">
        <v>1510</v>
      </c>
      <c r="B13" s="1994" t="s">
        <v>1511</v>
      </c>
      <c r="C13" s="1995" t="s">
        <v>1512</v>
      </c>
    </row>
    <row r="14" spans="1:25">
      <c r="A14" s="1994" t="s">
        <v>1513</v>
      </c>
      <c r="B14" s="1994" t="s">
        <v>1514</v>
      </c>
      <c r="C14" s="1995"/>
    </row>
    <row r="15" spans="1:25">
      <c r="A15" s="1994" t="s">
        <v>1515</v>
      </c>
      <c r="B15" s="1994" t="s">
        <v>1516</v>
      </c>
      <c r="C15" s="1995"/>
    </row>
    <row r="16" spans="1:25">
      <c r="A16" s="1994" t="s">
        <v>1517</v>
      </c>
      <c r="B16" s="1994" t="s">
        <v>1518</v>
      </c>
      <c r="C16" s="1995"/>
    </row>
    <row r="17" spans="1:3">
      <c r="A17" s="1994" t="s">
        <v>1519</v>
      </c>
      <c r="B17" s="1994" t="s">
        <v>1520</v>
      </c>
      <c r="C17" s="1995"/>
    </row>
    <row r="18" spans="1:3">
      <c r="A18" s="1994" t="s">
        <v>1521</v>
      </c>
      <c r="B18" s="1994" t="s">
        <v>1522</v>
      </c>
      <c r="C18" s="1995"/>
    </row>
    <row r="19" spans="1:3">
      <c r="A19" s="1994" t="s">
        <v>1523</v>
      </c>
      <c r="B19" s="1994" t="s">
        <v>1524</v>
      </c>
      <c r="C19" s="1995"/>
    </row>
    <row r="20" spans="1:3">
      <c r="A20" s="1994" t="s">
        <v>1525</v>
      </c>
      <c r="B20" s="1994" t="s">
        <v>740</v>
      </c>
      <c r="C20" s="1995"/>
    </row>
    <row r="21" spans="1:3">
      <c r="A21" s="1994" t="s">
        <v>1526</v>
      </c>
      <c r="B21" s="1994" t="s">
        <v>740</v>
      </c>
      <c r="C21" s="1995"/>
    </row>
    <row r="22" spans="1:3">
      <c r="A22" s="1994" t="s">
        <v>1527</v>
      </c>
      <c r="B22" s="1994" t="s">
        <v>740</v>
      </c>
      <c r="C22" s="1995"/>
    </row>
    <row r="23" spans="1:3">
      <c r="A23" s="1994" t="s">
        <v>1528</v>
      </c>
      <c r="B23" s="1994" t="s">
        <v>740</v>
      </c>
      <c r="C23" s="1995"/>
    </row>
    <row r="24" spans="1:3">
      <c r="A24" s="1994" t="s">
        <v>1529</v>
      </c>
      <c r="B24" s="1994" t="s">
        <v>740</v>
      </c>
      <c r="C24" s="1995"/>
    </row>
    <row r="25" spans="1:3">
      <c r="A25" s="1994" t="s">
        <v>1530</v>
      </c>
      <c r="B25" s="1994" t="s">
        <v>740</v>
      </c>
      <c r="C25" s="1995"/>
    </row>
    <row r="26" spans="1:3">
      <c r="A26" s="1994" t="s">
        <v>1531</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1533</v>
      </c>
    </row>
    <row r="52" spans="1:4">
      <c r="A52" s="1998" t="s">
        <v>1534</v>
      </c>
      <c r="B52" s="1998" t="s">
        <v>1535</v>
      </c>
      <c r="C52" s="9" t="s">
        <v>1536</v>
      </c>
      <c r="D52" s="9" t="s">
        <v>1537</v>
      </c>
    </row>
    <row r="53" spans="1:4" ht="14.25" customHeight="1">
      <c r="A53" s="2764" t="s">
        <v>1538</v>
      </c>
      <c r="B53" s="9" t="s">
        <v>1539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本次估价的“房地产价值”是指在正常市场情况下，在价值时点2017年9月12日，估价对象规划用途为商业，假定未设立法定优先受偿款下的房地产市场价值。</v>
      </c>
    </row>
    <row r="54" spans="1:4">
      <c r="A54" s="2764"/>
      <c r="B54" s="9" t="s">
        <v>1540</v>
      </c>
      <c r="C54" s="9" t="s">
        <v>1541</v>
      </c>
    </row>
    <row r="55" spans="1:4">
      <c r="A55" s="2764"/>
      <c r="B55" s="9" t="s">
        <v>1542</v>
      </c>
      <c r="C55" s="9" t="s">
        <v>1543</v>
      </c>
    </row>
    <row r="56" spans="1:4">
      <c r="A56" s="2764"/>
      <c r="B56" s="9" t="s">
        <v>1544</v>
      </c>
      <c r="C56" s="9" t="s">
        <v>1545</v>
      </c>
    </row>
    <row r="57" spans="1:4">
      <c r="A57" s="2764"/>
      <c r="B57" s="9" t="s">
        <v>1546</v>
      </c>
      <c r="C57" s="9" t="s">
        <v>1547</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2017-10-31T04:30:00Z</dcterms:modified>
</cp:coreProperties>
</file>