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30" yWindow="30" windowWidth="11595" windowHeight="933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租赁" sheetId="85"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成本法 (元)" sheetId="69" state="hidden" r:id="rId22"/>
    <sheet name="假设开发法" sheetId="12" state="hidden" r:id="rId23"/>
    <sheet name="Sheet1" sheetId="82" r:id="rId24"/>
    <sheet name="大宗案例" sheetId="8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结果表下" sheetId="84" r:id="rId39"/>
    <sheet name="基准地价修正" sheetId="43" r:id="rId40"/>
    <sheet name="修正" sheetId="45" state="hidden" r:id="rId41"/>
    <sheet name="容积率修正" sheetId="46" state="hidden" r:id="rId42"/>
    <sheet name="成本法（废）" sheetId="11" state="hidden" r:id="rId43"/>
    <sheet name="成本法" sheetId="68" r:id="rId44"/>
    <sheet name="收益法下" sheetId="83"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s>
  <definedNames>
    <definedName name="_xlnm._FilterDatabase" localSheetId="23" hidden="1">Sheet1!$A$1:$W$41</definedName>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3">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38">结果表下!$A$1:$I$127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4">收益法下!$A$1:$F$43,收益法下!$H$3:$M$29,收益法下!$A$46:$F$71,收益法下!$I$46:$N$65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4">'[1]比较法-办公'!$B$119:$M$119</definedName>
    <definedName name="办公层高" localSheetId="12">'[2]比较法-办公'!$B$119:$M$119</definedName>
    <definedName name="办公层高">'比较法-办公'!$B$119:$M$119</definedName>
    <definedName name="办公朝向" localSheetId="24">'[1]比较法-办公'!$B$91:$M$91</definedName>
    <definedName name="办公朝向" localSheetId="12">'[2]比较法-办公'!$B$91:$M$91</definedName>
    <definedName name="办公朝向">'比较法-办公'!$B$91:$M$91</definedName>
    <definedName name="办公道路级别" localSheetId="24">'[1]比较法-办公'!$B$87:$M$87</definedName>
    <definedName name="办公道路级别" localSheetId="12">'[2]比较法-办公'!$B$87:$M$87</definedName>
    <definedName name="办公道路级别">'比较法-办公'!$B$87:$M$87</definedName>
    <definedName name="办公公共部分装修" localSheetId="24">'[1]比较法-办公'!$B$108:$M$108</definedName>
    <definedName name="办公公共部分装修" localSheetId="12">'[2]比较法-办公'!$B$108:$M$108</definedName>
    <definedName name="办公公共部分装修">'比较法-办公'!$B$108:$M$108</definedName>
    <definedName name="办公基础设施水平" localSheetId="24">'[1]比较法-办公'!$B$117:$M$117</definedName>
    <definedName name="办公基础设施水平" localSheetId="12">'[2]比较法-办公'!$B$117:$M$117</definedName>
    <definedName name="办公基础设施水平">'比较法-办公'!$B$117:$M$117</definedName>
    <definedName name="办公集聚程度" localSheetId="24">[1]定义!$M$1:$M$6</definedName>
    <definedName name="办公集聚程度" localSheetId="12">[2]定义!$M$1:$M$6</definedName>
    <definedName name="办公集聚程度">定义!$M$1:$M$6</definedName>
    <definedName name="办公建筑结构" localSheetId="24">'[1]比较法-办公'!$B$106:$M$106</definedName>
    <definedName name="办公建筑结构" localSheetId="12">'[2]比较法-办公'!$B$106:$M$106</definedName>
    <definedName name="办公建筑结构">'比较法-办公'!$B$106:$M$106</definedName>
    <definedName name="办公建筑类型" localSheetId="24">'[1]比较法-办公'!$B$101:$M$101</definedName>
    <definedName name="办公建筑类型" localSheetId="12">'[2]比较法-办公'!$B$101:$M$101</definedName>
    <definedName name="办公建筑类型">'比较法-办公'!$B$101:$M$101</definedName>
    <definedName name="办公交易情况" localSheetId="24">'[1]比较法-办公'!$A$62:$M$62</definedName>
    <definedName name="办公交易情况" localSheetId="12">'[2]比较法-办公'!$A$62:$M$62</definedName>
    <definedName name="办公交易情况">'比较法-办公'!$A$62:$M$62</definedName>
    <definedName name="办公楼层" localSheetId="24">'[1]比较法-办公'!$B$89:$M$89</definedName>
    <definedName name="办公楼层" localSheetId="12">'[2]比较法-办公'!$B$89:$M$89</definedName>
    <definedName name="办公楼层">'比较法-办公'!$B$89:$M$89</definedName>
    <definedName name="办公内部装修" localSheetId="24">'[1]比较法-办公'!$B$123:$M$123</definedName>
    <definedName name="办公内部装修" localSheetId="12">'[2]比较法-办公'!$B$123:$M$123</definedName>
    <definedName name="办公内部装修">'比较法-办公'!$B$123:$M$123</definedName>
    <definedName name="办公物业管理" localSheetId="24">'[1]比较法-办公'!$B$115:$M$115</definedName>
    <definedName name="办公物业管理" localSheetId="12">'[2]比较法-办公'!$B$115:$M$115</definedName>
    <definedName name="办公物业管理">'比较法-办公'!$B$115:$M$115</definedName>
    <definedName name="办公用途" localSheetId="24">'[1]比较法-办公'!$B$64:$M$64</definedName>
    <definedName name="办公用途" localSheetId="12">'[2]比较法-办公'!$B$64:$M$64</definedName>
    <definedName name="办公用途">'比较法-办公'!$B$64:$M$64</definedName>
    <definedName name="仓储公共部分装修" localSheetId="24">'[1]比较法-仓储'!$B$77:$M$77</definedName>
    <definedName name="仓储公共部分装修" localSheetId="12">'[2]比较法-仓储'!$B$77:$M$77</definedName>
    <definedName name="仓储公共部分装修">'比较法-仓储'!$B$77:$M$77</definedName>
    <definedName name="仓储交易情况" localSheetId="24">'[1]比较法-仓储'!$A$49:$M$49</definedName>
    <definedName name="仓储交易情况" localSheetId="12">'[2]比较法-仓储'!$A$49:$M$49</definedName>
    <definedName name="仓储交易情况">'比较法-仓储'!$A$49:$M$49</definedName>
    <definedName name="仓储楼层" localSheetId="24">'[1]比较法-仓储'!$B$69:$M$69</definedName>
    <definedName name="仓储楼层" localSheetId="12">'[2]比较法-仓储'!$B$69:$M$69</definedName>
    <definedName name="仓储楼层">'比较法-仓储'!$B$69:$M$69</definedName>
    <definedName name="仓储物业等级" localSheetId="24">'[1]比较法-仓储'!$B$82:$M$82</definedName>
    <definedName name="仓储物业等级" localSheetId="12">'[2]比较法-仓储'!$B$82:$M$82</definedName>
    <definedName name="仓储物业等级">'比较法-仓储'!$B$82:$M$82</definedName>
    <definedName name="仓储用途" localSheetId="24">'[1]比较法-仓储'!$B$51:$M$51</definedName>
    <definedName name="仓储用途" localSheetId="12">'[2]比较法-仓储'!$B$51:$M$51</definedName>
    <definedName name="仓储用途">'比较法-仓储'!$B$51:$M$51</definedName>
    <definedName name="产业集聚程度" localSheetId="24">[1]定义!$N$1:$N$6</definedName>
    <definedName name="产业集聚程度" localSheetId="12">[2]定义!$N$1:$N$6</definedName>
    <definedName name="产业集聚程度">定义!$N$1:$N$6</definedName>
    <definedName name="车位公共部分装修" localSheetId="24">'[1]比较法-车位'!$B$83:$M$83</definedName>
    <definedName name="车位公共部分装修" localSheetId="12">'[2]比较法-车位'!$B$83:$M$83</definedName>
    <definedName name="车位公共部分装修">'比较法-车位'!$B$83:$M$83</definedName>
    <definedName name="车位交易情况" localSheetId="24">'[1]比较法-车位'!$A$51:$M$51</definedName>
    <definedName name="车位交易情况" localSheetId="12">'[2]比较法-车位'!$A$51:$M$51</definedName>
    <definedName name="车位交易情况">'比较法-车位'!$A$51:$M$51</definedName>
    <definedName name="车位类型" localSheetId="24">'[1]比较法-车位'!$B$93:$M$93</definedName>
    <definedName name="车位类型" localSheetId="12">'[2]比较法-车位'!$B$93:$M$93</definedName>
    <definedName name="车位类型">'比较法-车位'!$B$93:$M$93</definedName>
    <definedName name="车位楼层" localSheetId="24">'[1]比较法-车位'!$B$71:$M$71</definedName>
    <definedName name="车位楼层" localSheetId="12">'[2]比较法-车位'!$B$71:$M$71</definedName>
    <definedName name="车位楼层">'比较法-车位'!$B$71:$M$71</definedName>
    <definedName name="车位配套类型" localSheetId="24">'[1]比较法-车位'!$B$79:$M$79</definedName>
    <definedName name="车位配套类型" localSheetId="12">'[2]比较法-车位'!$B$79:$M$79</definedName>
    <definedName name="车位配套类型">'比较法-车位'!$B$79:$M$79</definedName>
    <definedName name="车位物业等级" localSheetId="24">'[1]比较法-车位'!$B$88:$M$88</definedName>
    <definedName name="车位物业等级" localSheetId="12">'[2]比较法-车位'!$B$88:$M$88</definedName>
    <definedName name="车位物业等级">'比较法-车位'!$B$88:$M$88</definedName>
    <definedName name="车位用途" localSheetId="24">'[1]比较法-车位'!$B$53:$M$53</definedName>
    <definedName name="车位用途" localSheetId="12">'[2]比较法-车位'!$B$53:$M$53</definedName>
    <definedName name="车位用途">'比较法-车位'!$B$53:$M$53</definedName>
    <definedName name="城镇土地纳税等级分级范围" localSheetId="24">'[1]数据-取费表'!$A$53:$A$63</definedName>
    <definedName name="城镇土地纳税等级分级范围" localSheetId="12">'[2]数据-取费表'!$A$53:$A$63</definedName>
    <definedName name="城镇土地纳税等级分级范围">'数据-取费表'!$A$53:$A$63</definedName>
    <definedName name="单价内涵" localSheetId="24">[1]定义!$V$1:$V$3</definedName>
    <definedName name="单价内涵" localSheetId="12">[2]定义!$V$1:$V$3</definedName>
    <definedName name="单价内涵">定义!$V$1:$V$3</definedName>
    <definedName name="地类判定" localSheetId="24">[1]定义!$H$1:$H$9</definedName>
    <definedName name="地类判定" localSheetId="12">[2]定义!$H$1:$H$9</definedName>
    <definedName name="地类判定">定义!$H$1:$H$9</definedName>
    <definedName name="二级">区片价!$J$1:$J$21</definedName>
    <definedName name="二级分类" localSheetId="24">[1]修正!$C$19:$C$51</definedName>
    <definedName name="二级分类" localSheetId="12">[2]修正!$C$19:$C$51</definedName>
    <definedName name="二级分类">修正!$C$19:$C$51</definedName>
    <definedName name="法定最高年限" localSheetId="24">[1]定义!$G$1:$G$6</definedName>
    <definedName name="法定最高年限" localSheetId="12">[2]定义!$G$1:$G$6</definedName>
    <definedName name="法定最高年限">定义!$G$1:$G$6</definedName>
    <definedName name="工业公共部分装修" localSheetId="24">'[1]比较法-工业'!$B$95:$M$95</definedName>
    <definedName name="工业公共部分装修" localSheetId="12">'[2]比较法-工业'!$B$95:$M$95</definedName>
    <definedName name="工业公共部分装修">'比较法-工业'!$B$95:$M$95</definedName>
    <definedName name="工业基础设施水平" localSheetId="24">'[1]比较法-工业'!$B$102:$M$102</definedName>
    <definedName name="工业基础设施水平" localSheetId="12">'[2]比较法-工业'!$B$102:$M$102</definedName>
    <definedName name="工业基础设施水平">'比较法-工业'!$B$102:$M$102</definedName>
    <definedName name="工业建筑结构" localSheetId="24">'[1]比较法-工业'!$B$93:$M$93</definedName>
    <definedName name="工业建筑结构" localSheetId="12">'[2]比较法-工业'!$B$93:$M$93</definedName>
    <definedName name="工业建筑结构">'比较法-工业'!$B$93:$M$93</definedName>
    <definedName name="工业建筑类型" localSheetId="24">'[1]比较法-工业'!$B$88:$M$88</definedName>
    <definedName name="工业建筑类型" localSheetId="12">'[2]比较法-工业'!$B$88:$M$88</definedName>
    <definedName name="工业建筑类型">'比较法-工业'!$B$88:$M$88</definedName>
    <definedName name="工业交易情况" localSheetId="24">'[1]比较法-工业'!$A$55:$M$55</definedName>
    <definedName name="工业交易情况" localSheetId="12">'[2]比较法-工业'!$A$55:$M$55</definedName>
    <definedName name="工业交易情况">'比较法-工业'!$A$55:$M$55</definedName>
    <definedName name="工业内部装修" localSheetId="24">'[1]比较法-工业'!$B$104:$M$104</definedName>
    <definedName name="工业内部装修" localSheetId="12">'[2]比较法-工业'!$B$104:$M$104</definedName>
    <definedName name="工业内部装修">'比较法-工业'!$B$104:$M$104</definedName>
    <definedName name="工业物业管理" localSheetId="24">'[1]比较法-工业'!$B$100:$M$100</definedName>
    <definedName name="工业物业管理" localSheetId="12">'[2]比较法-工业'!$B$100:$M$100</definedName>
    <definedName name="工业物业管理">'比较法-工业'!$B$100:$M$100</definedName>
    <definedName name="工业用途" localSheetId="24">'[1]比较法-工业'!$B$57:$M$57</definedName>
    <definedName name="工业用途" localSheetId="12">'[2]比较法-工业'!$B$57:$M$57</definedName>
    <definedName name="工业用途">'比较法-工业'!$B$57:$M$57</definedName>
    <definedName name="公共配套设施" localSheetId="24">[1]定义!$Q$1:$Q$6</definedName>
    <definedName name="公共配套设施" localSheetId="12">[2]定义!$Q$1:$Q$6</definedName>
    <definedName name="公共配套设施">定义!$Q$1:$Q$6</definedName>
    <definedName name="估价范围判定" localSheetId="24">[1]定义!$D$1:$D$4</definedName>
    <definedName name="估价范围判定" localSheetId="12">[2]定义!$D$1:$D$4</definedName>
    <definedName name="估价范围判定">定义!$D$1:$D$4</definedName>
    <definedName name="估价方法" localSheetId="24">[1]定义!$B$1:$B$50</definedName>
    <definedName name="估价方法" localSheetId="12">[2]定义!$B$1:$B$50</definedName>
    <definedName name="估价方法">定义!$B$1:$B$50</definedName>
    <definedName name="环境" localSheetId="24">[1]定义!$S$1:$S$6</definedName>
    <definedName name="环境" localSheetId="12">[2]定义!$S$1:$S$6</definedName>
    <definedName name="环境">定义!$S$1:$S$6</definedName>
    <definedName name="基础设施水平" localSheetId="24">[1]定义!$R$1:$R$6</definedName>
    <definedName name="基础设施水平" localSheetId="12">[2]定义!$R$1:$R$6</definedName>
    <definedName name="基础设施水平">定义!$R$1:$R$6</definedName>
    <definedName name="季度">基准地价修正!$Q$19:$AD$19</definedName>
    <definedName name="价值类型2" localSheetId="24">[1]定义!$B$54:$B$56</definedName>
    <definedName name="价值类型2" localSheetId="12">[2]定义!$B$54:$B$56</definedName>
    <definedName name="价值类型2">定义!$B$54:$B$56</definedName>
    <definedName name="交通便捷度" localSheetId="24">[1]定义!$O$1:$O$6</definedName>
    <definedName name="交通便捷度" localSheetId="12">[2]定义!$O$1:$O$6</definedName>
    <definedName name="交通便捷度">定义!$O$1:$O$6</definedName>
    <definedName name="九级">区片价!$Q$1:$Q$51</definedName>
    <definedName name="居住社区成熟度" localSheetId="24">[1]定义!$K$1:$K$6</definedName>
    <definedName name="居住社区成熟度" localSheetId="12">[2]定义!$K$1:$K$6</definedName>
    <definedName name="居住社区成熟度">定义!$K$1:$K$6</definedName>
    <definedName name="可用科目">[3]隐藏数据!$B$1:$B$300</definedName>
    <definedName name="类别" localSheetId="24">[1]定义!$J$1:$J$3</definedName>
    <definedName name="类别" localSheetId="12">[2]定义!$J$1:$J$3</definedName>
    <definedName name="类别">定义!$J$1:$J$3</definedName>
    <definedName name="临街状况" localSheetId="24">[1]定义!$T$1:$T$5</definedName>
    <definedName name="临街状况" localSheetId="12">[2]定义!$T$1:$T$5</definedName>
    <definedName name="临街状况">定义!$T$1:$T$5</definedName>
    <definedName name="六级">区片价!$N$1:$N$64</definedName>
    <definedName name="内部装修维护情况" localSheetId="24">[1]定义!$U$1:$U$6</definedName>
    <definedName name="内部装修维护情况" localSheetId="12">[2]定义!$U$1:$U$6</definedName>
    <definedName name="内部装修维护情况">定义!$U$1:$U$6</definedName>
    <definedName name="判定">[4]定义!$D$1:$D$4</definedName>
    <definedName name="七级">区片价!$O$1:$O$45</definedName>
    <definedName name="七通一平" localSheetId="24">[1]修正!$A$8:$A$16</definedName>
    <definedName name="七通一平" localSheetId="12">[2]修正!$A$8:$A$16</definedName>
    <definedName name="七通一平">修正!$A$8:$A$16</definedName>
    <definedName name="区域土地利用方向" localSheetId="24">[1]定义!$P$1:$P$6</definedName>
    <definedName name="区域土地利用方向" localSheetId="12">[2]定义!$P$1:$P$6</definedName>
    <definedName name="区域土地利用方向">定义!$P$1:$P$6</definedName>
    <definedName name="三级">区片价!$K$1:$K$26</definedName>
    <definedName name="商业层高" localSheetId="24">'[1]比较法-商业'!$B$116:$M$116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24">[1]定义!$L$1:$L$6</definedName>
    <definedName name="商业繁华度" localSheetId="12">[2]定义!$L$1:$L$6</definedName>
    <definedName name="商业繁华度">定义!$L$1:$L$6</definedName>
    <definedName name="商业公共部分装修" localSheetId="24">'[1]比较法-商业'!$B$107:$M$107</definedName>
    <definedName name="商业公共部分装修" localSheetId="12">'[2]比较法-商业'!$B$107:$M$107</definedName>
    <definedName name="商业公共部分装修">'比较法-商业'!$B$107:$M$107</definedName>
    <definedName name="商业基础设施水平" localSheetId="24">'[1]比较法-商业'!$B$112:$M$112</definedName>
    <definedName name="商业基础设施水平" localSheetId="12">'[2]比较法-商业'!$B$112:$M$112</definedName>
    <definedName name="商业基础设施水平">'比较法-商业'!$B$112:$M$112</definedName>
    <definedName name="商业建筑结构" localSheetId="24">'[1]比较法-商业'!$B$105:$M$105</definedName>
    <definedName name="商业建筑结构" localSheetId="12">'[2]比较法-商业'!$B$105:$M$105</definedName>
    <definedName name="商业建筑结构">'比较法-商业'!$B$105:$M$105</definedName>
    <definedName name="商业交易情况" localSheetId="24">'[1]比较法-商业'!$A$61:$M$61</definedName>
    <definedName name="商业交易情况" localSheetId="12">'[2]比较法-商业'!$A$61:$M$61</definedName>
    <definedName name="商业交易情况">'比较法-商业'!$A$61:$M$61</definedName>
    <definedName name="商业街名称" localSheetId="24">[1]修正!$C$71:$C$138</definedName>
    <definedName name="商业街名称" localSheetId="12">[2]修正!$C$71:$C$138</definedName>
    <definedName name="商业街名称">修正!$C$71:$C$138</definedName>
    <definedName name="商业进深比" localSheetId="24">'[1]比较法-商业'!$B$120:$M$120</definedName>
    <definedName name="商业进深比" localSheetId="12">'[2]比较法-商业'!$B$120:$M$120</definedName>
    <definedName name="商业进深比">'比较法-商业'!$B$120:$M$120</definedName>
    <definedName name="商业类型" localSheetId="24">'[1]比较法-商业'!$B$100:$M$100</definedName>
    <definedName name="商业类型" localSheetId="12">'[2]比较法-商业'!$B$100:$M$100</definedName>
    <definedName name="商业类型">'比较法-商业'!$B$100:$M$100</definedName>
    <definedName name="商业临街状况" localSheetId="24">'[1]比较法-商业'!$B$86:$M$86</definedName>
    <definedName name="商业临街状况" localSheetId="12">'[2]比较法-商业'!$B$86:$M$86</definedName>
    <definedName name="商业临街状况">'比较法-商业'!$B$86:$M$86</definedName>
    <definedName name="商业楼层" localSheetId="24">'[1]比较法-商业'!$B$92:$M$92</definedName>
    <definedName name="商业楼层" localSheetId="12">'[2]比较法-商业'!$B$92:$M$92</definedName>
    <definedName name="商业楼层">'比较法-商业'!$B$92:$M$92</definedName>
    <definedName name="商业内部装修" localSheetId="24">'[1]比较法-商业'!$B$122:$M$122</definedName>
    <definedName name="商业内部装修" localSheetId="12">'[2]比较法-商业'!$B$122:$M$122</definedName>
    <definedName name="商业内部装修">'比较法-商业'!$B$122:$M$122</definedName>
    <definedName name="商业人流量" localSheetId="24">'[1]比较法-商业'!$B$90:$M$90</definedName>
    <definedName name="商业人流量" localSheetId="12">'[2]比较法-商业'!$B$90:$M$90</definedName>
    <definedName name="商业人流量">'比较法-商业'!$B$90:$M$90</definedName>
    <definedName name="商业业态" localSheetId="24">'[1]比较法-商业'!$B$114:$M$114</definedName>
    <definedName name="商业业态" localSheetId="12">'[2]比较法-商业'!$B$114:$M$114</definedName>
    <definedName name="商业业态">'比较法-商业'!$B$114:$M$114</definedName>
    <definedName name="商业用途" localSheetId="24">'[1]比较法-商业'!$B$63:$M$63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'[1]比较法-仓储'!$B$89:$M$89</definedName>
    <definedName name="是否封闭" localSheetId="12">'[2]比较法-仓储'!$B$89:$M$89</definedName>
    <definedName name="是否封闭">'比较法-仓储'!$B$89:$M$89</definedName>
    <definedName name="是否直接入户" localSheetId="24">'[1]比较法-车位'!$B$95:$M$95</definedName>
    <definedName name="是否直接入户" localSheetId="12">'[2]比较法-车位'!$B$95:$M$95</definedName>
    <definedName name="是否直接入户">'比较法-车位'!$B$95:$M$95</definedName>
    <definedName name="四级">区片价!$L$1:$L$33</definedName>
    <definedName name="套工道路等级" localSheetId="24">'[1]土地比较法-工业'!$B$97:$M$97</definedName>
    <definedName name="套工道路等级" localSheetId="12">'[2]土地比较法-工业'!$B$97:$M$97</definedName>
    <definedName name="套工道路等级">'土地比较法-工业'!$B$97:$M$97</definedName>
    <definedName name="套工地质条件" localSheetId="24">'[1]土地比较法-工业'!$B$114:$M$114</definedName>
    <definedName name="套工地质条件" localSheetId="12">'[2]土地比较法-工业'!$B$114:$M$114</definedName>
    <definedName name="套工地质条件">'土地比较法-工业'!$B$114:$M$114</definedName>
    <definedName name="套工交易情况" localSheetId="24">'[1]土地比较法-住宅、综合'!$A$72:$M$72</definedName>
    <definedName name="套工交易情况" localSheetId="12">'[2]土地比较法-住宅、综合'!$A$72:$M$72</definedName>
    <definedName name="套工交易情况">'土地比较法-住宅、综合'!$A$72:$M$72</definedName>
    <definedName name="套工土地级别" localSheetId="24">'[1]土地比较法-工业'!$B$99:$M$99</definedName>
    <definedName name="套工土地级别" localSheetId="12">'[2]土地比较法-工业'!$B$99:$M$99</definedName>
    <definedName name="套工土地级别">'土地比较法-工业'!$B$99:$M$99</definedName>
    <definedName name="套工用途" localSheetId="24">'[1]土地比较法-工业'!$B$70:$M$70</definedName>
    <definedName name="套工用途" localSheetId="12">'[2]土地比较法-工业'!$B$70:$M$70</definedName>
    <definedName name="套工用途">'土地比较法-工业'!$B$70:$M$70</definedName>
    <definedName name="套工宗地开发程度" localSheetId="24">'[1]土地比较法-工业'!$B$112:$M$112</definedName>
    <definedName name="套工宗地开发程度" localSheetId="12">'[2]土地比较法-工业'!$B$112:$M$112</definedName>
    <definedName name="套工宗地开发程度">'土地比较法-工业'!$B$112:$M$112</definedName>
    <definedName name="套工宗地形状" localSheetId="24">'[1]土地比较法-工业'!$B$110:$M$110</definedName>
    <definedName name="套工宗地形状" localSheetId="12">'[2]土地比较法-工业'!$B$110:$M$110</definedName>
    <definedName name="套工宗地形状">'土地比较法-工业'!$B$110:$M$110</definedName>
    <definedName name="套综道路等级" localSheetId="24">'[1]土地比较法-住宅、综合'!$B$105:$M$105</definedName>
    <definedName name="套综道路等级" localSheetId="12">'[2]土地比较法-住宅、综合'!$B$105:$M$105</definedName>
    <definedName name="套综道路等级">'土地比较法-住宅、综合'!$B$105:$M$105</definedName>
    <definedName name="套综工程地质条件" localSheetId="24">'[1]土地比较法-住宅、综合'!$B$124:$M$124</definedName>
    <definedName name="套综工程地质条件" localSheetId="12">'[2]土地比较法-住宅、综合'!$B$124:$M$124</definedName>
    <definedName name="套综工程地质条件">'土地比较法-住宅、综合'!$B$124:$M$124</definedName>
    <definedName name="套综交易情况" localSheetId="24">'[1]土地比较法-住宅、综合'!$A$72:$M$72</definedName>
    <definedName name="套综交易情况" localSheetId="12">'[2]土地比较法-住宅、综合'!$A$72:$M$72</definedName>
    <definedName name="套综交易情况">'土地比较法-住宅、综合'!$A$72:$M$72</definedName>
    <definedName name="套综临街宽度及深度" localSheetId="24">'[1]土地比较法-住宅、综合'!$B$120:$M$120</definedName>
    <definedName name="套综临街宽度及深度" localSheetId="12">'[2]土地比较法-住宅、综合'!$B$120:$M$120</definedName>
    <definedName name="套综临街宽度及深度">'土地比较法-住宅、综合'!$B$120:$M$120</definedName>
    <definedName name="套综土地级别" localSheetId="24">'[1]土地比较法-住宅、综合'!$B$107:$M$107</definedName>
    <definedName name="套综土地级别" localSheetId="12">'[2]土地比较法-住宅、综合'!$B$107:$M$107</definedName>
    <definedName name="套综土地级别">'土地比较法-住宅、综合'!$B$107:$M$107</definedName>
    <definedName name="套综用途" localSheetId="24">'[1]土地比较法-住宅、综合'!$B$74:$M$74</definedName>
    <definedName name="套综用途" localSheetId="12">'[2]土地比较法-住宅、综合'!$B$74:$M$74</definedName>
    <definedName name="套综用途">'土地比较法-住宅、综合'!$B$74:$M$74</definedName>
    <definedName name="套综宗地内开发程度" localSheetId="24">'[1]土地比较法-住宅、综合'!$B$122:$M$122</definedName>
    <definedName name="套综宗地内开发程度" localSheetId="12">'[2]土地比较法-住宅、综合'!$B$122:$M$122</definedName>
    <definedName name="套综宗地内开发程度">'土地比较法-住宅、综合'!$B$122:$M$122</definedName>
    <definedName name="套综宗地形状" localSheetId="24">'[1]土地比较法-住宅、综合'!$B$118:$M$118</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24">[1]定义!$C$1:$C$14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2">[2]定义!$E$2:$E$4</definedName>
    <definedName name="位置">定义!$E$2:$E$4</definedName>
    <definedName name="五等判定" localSheetId="24">[1]定义!$W$1:$W$6</definedName>
    <definedName name="五等判定" localSheetId="12">[2]定义!$W$1:$W$6</definedName>
    <definedName name="五等判定">定义!$W$1:$W$6</definedName>
    <definedName name="五级">区片价!$M$1:$M$41</definedName>
    <definedName name="项目类型" localSheetId="24">'[1]数据-汇总表'!$C$17:$C$26</definedName>
    <definedName name="项目类型" localSheetId="12">'[2]数据-汇总表'!$C$17:$C$26</definedName>
    <definedName name="项目类型" localSheetId="27">'[5]数据-汇总表'!$C$17:$C$26</definedName>
    <definedName name="项目类型">'数据-汇总表'!$C$17:$C$26</definedName>
    <definedName name="写字楼等级" localSheetId="24">'[1]比较法-办公'!$B$113:$M$113</definedName>
    <definedName name="写字楼等级" localSheetId="12">'[2]比较法-办公'!$B$113:$M$113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2">[2]典型户型修正!$5:$5</definedName>
    <definedName name="一修多修正项2">典型户型修正!$5:$5</definedName>
    <definedName name="一修多修正项3" localSheetId="24">[1]典型户型修正!$7:$7</definedName>
    <definedName name="一修多修正项3" localSheetId="12">[2]典型户型修正!$7:$7</definedName>
    <definedName name="一修多修正项3">典型户型修正!$7:$7</definedName>
    <definedName name="一修多修正项4" localSheetId="24">[1]典型户型修正!$9:$9</definedName>
    <definedName name="一修多修正项4" localSheetId="12">[2]典型户型修正!$9:$9</definedName>
    <definedName name="一修多修正项4">典型户型修正!$9:$9</definedName>
    <definedName name="一修多修正项5" localSheetId="24">[1]典型户型修正!$11:$11</definedName>
    <definedName name="一修多修正项5" localSheetId="12">[2]典型户型修正!$11:$11</definedName>
    <definedName name="一修多修正项5">典型户型修正!$11:$11</definedName>
    <definedName name="一修多修正项6" localSheetId="24">[1]典型户型修正!$13:$13</definedName>
    <definedName name="一修多修正项6" localSheetId="12">[2]典型户型修正!$13:$13</definedName>
    <definedName name="一修多修正项6">典型户型修正!$13:$13</definedName>
    <definedName name="一修多修正项7" localSheetId="24">[1]典型户型修正!$15:$15</definedName>
    <definedName name="一修多修正项7" localSheetId="12">[2]典型户型修正!$15:$15</definedName>
    <definedName name="一修多修正项7">典型户型修正!$15:$15</definedName>
    <definedName name="一修多修正项8" localSheetId="24">[1]典型户型修正!$17:$17</definedName>
    <definedName name="一修多修正项8" localSheetId="12">[2]典型户型修正!$17:$17</definedName>
    <definedName name="一修多修正项8">典型户型修正!$17:$17</definedName>
    <definedName name="用途明细" localSheetId="24">[1]定义!$A$1:$A$50</definedName>
    <definedName name="用途明细" localSheetId="12">[2]定义!$A$1:$A$50</definedName>
    <definedName name="用途明细">定义!$A$1:$A$50</definedName>
    <definedName name="有无电梯" localSheetId="24">'[1]比较法-仓储'!$B$84:$M$84</definedName>
    <definedName name="有无电梯" localSheetId="12">'[2]比较法-仓储'!$B$84:$M$84</definedName>
    <definedName name="有无电梯">'比较法-仓储'!$B$84:$M$84</definedName>
    <definedName name="主用途" localSheetId="24">[1]定义!$F$1:$F$12</definedName>
    <definedName name="主用途" localSheetId="12">[2]定义!$F$1:$F$12</definedName>
    <definedName name="主用途">定义!$F$1:$F$12</definedName>
    <definedName name="住宅朝向" localSheetId="24">'[1]比较法-住宅'!$B$88:$M$88</definedName>
    <definedName name="住宅朝向" localSheetId="12">'[2]比较法-住宅'!$B$88:$M$88</definedName>
    <definedName name="住宅朝向">'比较法-住宅'!$B$88:$M$88</definedName>
    <definedName name="住宅房型" localSheetId="24">'[1]比较法-住宅'!$B$118:$M$118</definedName>
    <definedName name="住宅房型" localSheetId="12">'[2]比较法-住宅'!$B$118:$M$118</definedName>
    <definedName name="住宅房型">'比较法-住宅'!$B$118:$M$118</definedName>
    <definedName name="住宅公共部分装修" localSheetId="24">'[1]比较法-住宅'!$B$109:$M$109</definedName>
    <definedName name="住宅公共部分装修" localSheetId="12">'[2]比较法-住宅'!$B$109:$M$109</definedName>
    <definedName name="住宅公共部分装修">'比较法-住宅'!$B$109:$M$109</definedName>
    <definedName name="住宅基础设施水平" localSheetId="24">'[1]比较法-住宅'!$B$116:$M$116</definedName>
    <definedName name="住宅基础设施水平" localSheetId="12">'[2]比较法-住宅'!$B$116:$M$116</definedName>
    <definedName name="住宅基础设施水平">'比较法-住宅'!$B$116:$M$116</definedName>
    <definedName name="住宅建筑结构" localSheetId="24">'[1]比较法-住宅'!$B$105:$M$105</definedName>
    <definedName name="住宅建筑结构" localSheetId="12">'[2]比较法-住宅'!$B$105:$M$105</definedName>
    <definedName name="住宅建筑结构">'比较法-住宅'!$B$105:$M$105</definedName>
    <definedName name="住宅建筑类型" localSheetId="24">'[1]比较法-住宅'!$B$100:$M$100</definedName>
    <definedName name="住宅建筑类型" localSheetId="12">'[2]比较法-住宅'!$B$100:$M$100</definedName>
    <definedName name="住宅建筑类型">'比较法-住宅'!$B$100:$M$100</definedName>
    <definedName name="住宅建筑品质" localSheetId="24">'[1]比较法-住宅'!$B$107:$M$107</definedName>
    <definedName name="住宅建筑品质" localSheetId="12">'[2]比较法-住宅'!$B$107:$M$107</definedName>
    <definedName name="住宅建筑品质">'比较法-住宅'!$B$107:$M$107</definedName>
    <definedName name="住宅交易情况" localSheetId="24">'[1]比较法-住宅'!$A$61:$M$61</definedName>
    <definedName name="住宅交易情况" localSheetId="12">'[2]比较法-住宅'!$A$61:$M$61</definedName>
    <definedName name="住宅交易情况">'比较法-住宅'!$A$61:$M$61</definedName>
    <definedName name="住宅楼层" localSheetId="24">'[1]比较法-住宅'!$B$86:$M$86</definedName>
    <definedName name="住宅楼层" localSheetId="12">'[2]比较法-住宅'!$B$86:$M$86</definedName>
    <definedName name="住宅楼层">'比较法-住宅'!$B$86:$M$86</definedName>
    <definedName name="住宅内部装修" localSheetId="24">'[1]比较法-住宅'!$B$122:$M$122</definedName>
    <definedName name="住宅内部装修" localSheetId="12">'[2]比较法-住宅'!$B$122:$M$122</definedName>
    <definedName name="住宅内部装修">'比较法-住宅'!$B$122:$M$122</definedName>
    <definedName name="住宅物业管理" localSheetId="24">'[1]比较法-住宅'!$B$114:$M$114</definedName>
    <definedName name="住宅物业管理" localSheetId="12">'[2]比较法-住宅'!$B$114:$M$114</definedName>
    <definedName name="住宅物业管理">'比较法-住宅'!$B$114:$M$114</definedName>
    <definedName name="住宅用途" localSheetId="24">'[1]比较法-住宅'!$B$63:$M$63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24">[1]估价师及机构信息!$A$3:$A$16</definedName>
    <definedName name="注册房地产估价师" localSheetId="12">[2]估价师及机构信息!$A$3:$A$16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05" i="34" l="1"/>
  <c r="F105" i="34" s="1"/>
  <c r="D105" i="34"/>
  <c r="AK7" i="1" l="1"/>
  <c r="D38" i="80"/>
  <c r="D37" i="80"/>
  <c r="D36" i="80"/>
  <c r="D39" i="80" s="1"/>
  <c r="E39" i="80" s="1"/>
  <c r="AM6" i="1" l="1"/>
  <c r="H17" i="85"/>
  <c r="H12" i="85"/>
  <c r="H13" i="85"/>
  <c r="H14" i="85"/>
  <c r="H15" i="85"/>
  <c r="H16" i="85"/>
  <c r="H6" i="85"/>
  <c r="H7" i="85"/>
  <c r="H8" i="85"/>
  <c r="H9" i="85"/>
  <c r="H10" i="85"/>
  <c r="H11" i="85"/>
  <c r="H5" i="85"/>
  <c r="H4" i="85"/>
  <c r="G4" i="85"/>
  <c r="AM7" i="1"/>
  <c r="E67" i="34"/>
  <c r="F67" i="34" s="1"/>
  <c r="D67" i="34"/>
  <c r="C15" i="74" l="1"/>
  <c r="C14" i="74"/>
  <c r="B14" i="74"/>
  <c r="A120" i="84"/>
  <c r="A118" i="84"/>
  <c r="E111" i="84"/>
  <c r="H112" i="84" s="1"/>
  <c r="E109" i="84"/>
  <c r="A124" i="84" s="1"/>
  <c r="E107" i="84"/>
  <c r="A122" i="84" s="1"/>
  <c r="H106" i="84"/>
  <c r="H105" i="84"/>
  <c r="H104" i="84"/>
  <c r="H103" i="84"/>
  <c r="D120" i="84" s="1"/>
  <c r="D101" i="84"/>
  <c r="C101" i="84"/>
  <c r="D93" i="84"/>
  <c r="C91" i="84"/>
  <c r="E90" i="84"/>
  <c r="D89" i="84"/>
  <c r="C89" i="84"/>
  <c r="C87" i="84" s="1"/>
  <c r="D78" i="84"/>
  <c r="H77" i="84"/>
  <c r="D77" i="84"/>
  <c r="C77" i="84" s="1"/>
  <c r="C74" i="84" s="1"/>
  <c r="C76" i="84"/>
  <c r="D68" i="84"/>
  <c r="F59" i="84"/>
  <c r="E59" i="84"/>
  <c r="N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B15" i="74" s="1"/>
  <c r="L18" i="84"/>
  <c r="D17" i="84"/>
  <c r="C17" i="84"/>
  <c r="C18" i="84" s="1"/>
  <c r="D18" i="84" s="1"/>
  <c r="L4" i="84"/>
  <c r="K4" i="84"/>
  <c r="A2" i="84"/>
  <c r="H1" i="84"/>
  <c r="C92" i="84" l="1"/>
  <c r="C94" i="84"/>
  <c r="D121" i="84"/>
  <c r="K120" i="84"/>
  <c r="H111" i="84"/>
  <c r="D126" i="84" s="1"/>
  <c r="D127" i="84" s="1"/>
  <c r="A126" i="84"/>
  <c r="H109" i="84"/>
  <c r="Q72" i="83"/>
  <c r="Q59" i="83"/>
  <c r="K59" i="83"/>
  <c r="P74" i="83" s="1"/>
  <c r="Q58" i="83"/>
  <c r="Q51" i="83"/>
  <c r="J50" i="83"/>
  <c r="J49" i="83"/>
  <c r="M47" i="83"/>
  <c r="D46" i="83"/>
  <c r="F34" i="83"/>
  <c r="F62" i="83" s="1"/>
  <c r="F33" i="83"/>
  <c r="F61" i="83" s="1"/>
  <c r="F32" i="83"/>
  <c r="F60" i="83" s="1"/>
  <c r="F28" i="83"/>
  <c r="C28" i="83" s="1"/>
  <c r="F23" i="83"/>
  <c r="D24" i="83" s="1"/>
  <c r="F21" i="83"/>
  <c r="M20" i="83"/>
  <c r="F20" i="83"/>
  <c r="M19" i="83"/>
  <c r="M18" i="83"/>
  <c r="F18" i="83"/>
  <c r="F17" i="83"/>
  <c r="F15" i="83"/>
  <c r="G1" i="83"/>
  <c r="G44" i="43"/>
  <c r="C28" i="80"/>
  <c r="C30" i="80" s="1"/>
  <c r="C29" i="80"/>
  <c r="J49" i="15"/>
  <c r="C6" i="80"/>
  <c r="D30" i="80" s="1"/>
  <c r="P59" i="34"/>
  <c r="Q59" i="34" s="1"/>
  <c r="R59" i="34" s="1"/>
  <c r="S59" i="34" s="1"/>
  <c r="T59" i="34" s="1"/>
  <c r="U59" i="34" s="1"/>
  <c r="V59" i="34" s="1"/>
  <c r="W59" i="34" s="1"/>
  <c r="X59" i="34" s="1"/>
  <c r="Y59" i="34" s="1"/>
  <c r="Z59" i="34" s="1"/>
  <c r="AA59" i="34" s="1"/>
  <c r="I7" i="34"/>
  <c r="C34" i="34"/>
  <c r="I34" i="34"/>
  <c r="I48" i="34"/>
  <c r="G48" i="34"/>
  <c r="G34" i="34"/>
  <c r="I37" i="34"/>
  <c r="G37" i="34"/>
  <c r="E37" i="34"/>
  <c r="C37" i="34"/>
  <c r="I5" i="34"/>
  <c r="G7" i="34"/>
  <c r="G5" i="34"/>
  <c r="N7" i="81"/>
  <c r="C76" i="83"/>
  <c r="D26" i="80" l="1"/>
  <c r="D27" i="80"/>
  <c r="D41" i="43" s="1"/>
  <c r="C32" i="80"/>
  <c r="D29" i="80"/>
  <c r="D28" i="80"/>
  <c r="D124" i="84"/>
  <c r="D125" i="84" s="1"/>
  <c r="H110" i="84"/>
  <c r="J51" i="83"/>
  <c r="Q71" i="83"/>
  <c r="D22" i="83"/>
  <c r="D23" i="83"/>
  <c r="P61" i="83"/>
  <c r="F16" i="83"/>
  <c r="F43" i="83"/>
  <c r="F7" i="83"/>
  <c r="F9" i="83"/>
  <c r="F8" i="83"/>
  <c r="M8" i="83"/>
  <c r="F42" i="83"/>
  <c r="F26" i="83"/>
  <c r="L47" i="83"/>
  <c r="M28" i="83"/>
  <c r="F40" i="83"/>
  <c r="M27" i="83"/>
  <c r="M6" i="83"/>
  <c r="J15" i="83"/>
  <c r="L48" i="83"/>
  <c r="M9" i="83"/>
  <c r="M26" i="83"/>
  <c r="F6" i="83"/>
  <c r="M29" i="83"/>
  <c r="H28" i="80" l="1"/>
  <c r="D42" i="43"/>
  <c r="F28" i="80"/>
  <c r="H30" i="80"/>
  <c r="D40" i="43"/>
  <c r="M7" i="83"/>
  <c r="J6" i="83" s="1"/>
  <c r="F50" i="83"/>
  <c r="C27" i="83"/>
  <c r="N59" i="83"/>
  <c r="L58" i="83"/>
  <c r="L59" i="83"/>
  <c r="C6" i="83"/>
  <c r="F31" i="83"/>
  <c r="F71" i="83"/>
  <c r="F51" i="83"/>
  <c r="L57" i="83"/>
  <c r="L56" i="83"/>
  <c r="I54" i="83"/>
  <c r="J57" i="83"/>
  <c r="J55" i="83" s="1"/>
  <c r="J58" i="83" s="1"/>
  <c r="Q50" i="83" s="1"/>
  <c r="L60" i="83"/>
  <c r="J53" i="83"/>
  <c r="M17" i="83"/>
  <c r="F68" i="83"/>
  <c r="C17" i="83"/>
  <c r="C49" i="83" l="1"/>
  <c r="C61" i="83" s="1"/>
  <c r="Q66" i="83"/>
  <c r="Q57" i="83"/>
  <c r="Q73" i="83"/>
  <c r="Q60" i="83"/>
  <c r="C33" i="83"/>
  <c r="C32" i="83"/>
  <c r="F59" i="83"/>
  <c r="J18" i="83"/>
  <c r="J19" i="83"/>
  <c r="Q52" i="83"/>
  <c r="F1" i="83"/>
  <c r="Q61" i="83"/>
  <c r="Q74" i="83"/>
  <c r="G20" i="6" l="1"/>
  <c r="AL7" i="1" l="1"/>
  <c r="W7" i="1"/>
  <c r="B21" i="1"/>
  <c r="N14" i="1"/>
  <c r="L14" i="1"/>
  <c r="L7" i="1"/>
  <c r="M22" i="83"/>
  <c r="M24" i="83"/>
  <c r="M23" i="83"/>
  <c r="F37" i="83"/>
  <c r="F36" i="83"/>
  <c r="F38" i="83"/>
  <c r="F65" i="83" l="1"/>
  <c r="F66" i="83"/>
  <c r="F64" i="83"/>
  <c r="C5" i="80"/>
  <c r="E5" i="80" s="1"/>
  <c r="H16" i="80"/>
  <c r="D9" i="80"/>
  <c r="E9" i="80" s="1"/>
  <c r="H18" i="80" l="1"/>
  <c r="N6" i="1"/>
  <c r="F19" i="6"/>
  <c r="D3" i="4"/>
  <c r="Y6" i="1" l="1"/>
  <c r="Y7" i="1" s="1"/>
  <c r="N7" i="1"/>
  <c r="E6" i="80"/>
  <c r="E4" i="80" s="1"/>
  <c r="C4" i="80"/>
  <c r="I7" i="79"/>
  <c r="F13" i="83"/>
  <c r="C7" i="80" l="1"/>
  <c r="E7" i="80" s="1"/>
  <c r="C10" i="80"/>
  <c r="C8" i="80"/>
  <c r="E8" i="80" s="1"/>
  <c r="E10" i="80" s="1"/>
  <c r="D10" i="80" s="1"/>
  <c r="D4" i="80"/>
  <c r="I29" i="79"/>
  <c r="I28" i="79"/>
  <c r="N28" i="79"/>
  <c r="M28" i="79"/>
  <c r="P28" i="79" s="1"/>
  <c r="L28" i="79"/>
  <c r="N29" i="79"/>
  <c r="M29" i="79"/>
  <c r="L29" i="79"/>
  <c r="P6" i="79"/>
  <c r="O6" i="79"/>
  <c r="N6" i="79"/>
  <c r="M6" i="79"/>
  <c r="L6" i="79"/>
  <c r="K6" i="79"/>
  <c r="O7" i="79"/>
  <c r="N7" i="79"/>
  <c r="M7" i="79"/>
  <c r="P7" i="79" s="1"/>
  <c r="L7" i="79"/>
  <c r="K7" i="79"/>
  <c r="G10" i="80" l="1"/>
  <c r="P29" i="79"/>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s="1"/>
  <c r="F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c r="F19" i="34"/>
  <c r="S19" i="34" s="1"/>
  <c r="H17" i="34"/>
  <c r="U17" i="34" s="1"/>
  <c r="J15" i="34"/>
  <c r="AC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J19" i="34"/>
  <c r="W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s="1"/>
  <c r="H14" i="34"/>
  <c r="H30" i="34"/>
  <c r="F30" i="34"/>
  <c r="S30" i="34" s="1"/>
  <c r="J30" i="34"/>
  <c r="W30" i="34"/>
  <c r="H32" i="34"/>
  <c r="F32" i="34"/>
  <c r="S32" i="34" s="1"/>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s="1"/>
  <c r="H29" i="34"/>
  <c r="AB29" i="34"/>
  <c r="J31" i="34"/>
  <c r="AC31" i="34"/>
  <c r="H31" i="34"/>
  <c r="AB31" i="34"/>
  <c r="F31" i="34"/>
  <c r="S31" i="34" s="1"/>
  <c r="H45" i="34"/>
  <c r="U45" i="34"/>
  <c r="J45" i="34"/>
  <c r="W45" i="34"/>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AB8" i="34"/>
  <c r="U43" i="34"/>
  <c r="W41" i="34"/>
  <c r="AC42" i="34"/>
  <c r="AB41" i="34"/>
  <c r="AA45" i="34"/>
  <c r="U28"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C45" i="34"/>
  <c r="AA31" i="34"/>
  <c r="AB45" i="34"/>
  <c r="AB47" i="34"/>
  <c r="AB36" i="34"/>
  <c r="W33" i="34"/>
  <c r="AC14" i="34"/>
  <c r="AC32" i="34"/>
  <c r="AC29" i="34"/>
  <c r="W29" i="34"/>
  <c r="W46" i="34"/>
  <c r="AC46" i="34"/>
  <c r="AA32" i="34"/>
  <c r="U30" i="34"/>
  <c r="AB30" i="34"/>
  <c r="U38" i="34"/>
  <c r="AA19" i="34"/>
  <c r="AA36" i="34"/>
  <c r="AA8" i="34"/>
  <c r="S8" i="34"/>
  <c r="S46" i="34"/>
  <c r="AA46" i="34"/>
  <c r="U32" i="34"/>
  <c r="AB32" i="34"/>
  <c r="U14" i="34"/>
  <c r="AB14" i="34"/>
  <c r="W4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67"/>
  <c r="E11" i="76"/>
  <c r="F4" i="73"/>
  <c r="B7" i="76"/>
  <c r="F40" i="67"/>
  <c r="B12" i="76"/>
  <c r="F6" i="73"/>
  <c r="M6" i="67"/>
  <c r="E12" i="76"/>
  <c r="M22" i="67"/>
  <c r="L48" i="67"/>
  <c r="F38" i="15"/>
  <c r="F8" i="67"/>
  <c r="M28" i="15"/>
  <c r="F7" i="73"/>
  <c r="F16" i="67"/>
  <c r="E7" i="76"/>
  <c r="B10" i="76"/>
  <c r="F6" i="67"/>
  <c r="F5" i="73"/>
  <c r="F43" i="67"/>
  <c r="E10" i="76"/>
  <c r="AO13" i="1"/>
  <c r="M24" i="67"/>
  <c r="M9" i="15"/>
  <c r="E2" i="68"/>
  <c r="D5" i="73"/>
  <c r="B11" i="76"/>
  <c r="M6" i="15"/>
  <c r="D3" i="73"/>
  <c r="F42" i="15"/>
  <c r="E2" i="69"/>
  <c r="M28" i="67"/>
  <c r="F26" i="15"/>
  <c r="L48" i="15"/>
  <c r="J15" i="67"/>
  <c r="F37" i="67"/>
  <c r="D6" i="73"/>
  <c r="M26" i="15"/>
  <c r="M8" i="67"/>
  <c r="E8" i="76"/>
  <c r="B8" i="76"/>
  <c r="M26" i="67"/>
  <c r="F7" i="15"/>
  <c r="F8" i="15"/>
  <c r="M23" i="15"/>
  <c r="F7" i="67"/>
  <c r="F13" i="67"/>
  <c r="F38" i="67"/>
  <c r="F16" i="15"/>
  <c r="E13" i="76"/>
  <c r="F3" i="73"/>
  <c r="M9" i="67"/>
  <c r="F37" i="15"/>
  <c r="F43" i="15"/>
  <c r="F26" i="67"/>
  <c r="B9" i="76"/>
  <c r="E9" i="76"/>
  <c r="F42" i="67"/>
  <c r="F9" i="15"/>
  <c r="F13" i="15"/>
  <c r="D7" i="73"/>
  <c r="L47" i="67"/>
  <c r="B13" i="76"/>
  <c r="M23" i="67"/>
  <c r="F40" i="15"/>
  <c r="F6" i="15"/>
  <c r="F9" i="67"/>
  <c r="F20" i="31"/>
  <c r="M24" i="15"/>
  <c r="C76" i="67"/>
  <c r="C76" i="15"/>
  <c r="M22" i="15"/>
  <c r="L47" i="15"/>
  <c r="M29" i="15"/>
  <c r="M8" i="15"/>
  <c r="D4" i="73"/>
  <c r="J15" i="15"/>
  <c r="F36" i="67"/>
  <c r="F36" i="15"/>
  <c r="F34" i="68" l="1"/>
  <c r="M59" i="83"/>
  <c r="H50" i="43"/>
  <c r="W15" i="34"/>
  <c r="J37" i="34"/>
  <c r="AC37" i="34" s="1"/>
  <c r="G112" i="34"/>
  <c r="F25" i="34"/>
  <c r="S25" i="34" s="1"/>
  <c r="H25" i="34"/>
  <c r="AB25" i="34" s="1"/>
  <c r="G88" i="34"/>
  <c r="H88" i="34" s="1"/>
  <c r="I88" i="34" s="1"/>
  <c r="J88" i="34" s="1"/>
  <c r="K88" i="34" s="1"/>
  <c r="L88" i="34" s="1"/>
  <c r="M88" i="34" s="1"/>
  <c r="J25" i="34"/>
  <c r="H23" i="34"/>
  <c r="U23" i="34" s="1"/>
  <c r="J23" i="34"/>
  <c r="W23" i="34" s="1"/>
  <c r="F86" i="34"/>
  <c r="G86" i="34" s="1"/>
  <c r="F23" i="34"/>
  <c r="AA23" i="34" s="1"/>
  <c r="F15" i="34"/>
  <c r="AA15" i="34" s="1"/>
  <c r="F78" i="34"/>
  <c r="G78" i="34" s="1"/>
  <c r="H15" i="34"/>
  <c r="AB15" i="34" s="1"/>
  <c r="AC39" i="34"/>
  <c r="AC44" i="34"/>
  <c r="AB44" i="34"/>
  <c r="U39" i="34"/>
  <c r="AC23" i="34"/>
  <c r="U21" i="34"/>
  <c r="AC19" i="34"/>
  <c r="AC17" i="34"/>
  <c r="U25" i="34"/>
  <c r="AA25" i="34"/>
  <c r="U19" i="34"/>
  <c r="AB17" i="34"/>
  <c r="S44" i="34"/>
  <c r="S43" i="34"/>
  <c r="S13" i="34"/>
  <c r="AA41" i="34"/>
  <c r="AA30" i="34"/>
  <c r="S28" i="34"/>
  <c r="AA29" i="34"/>
  <c r="S17" i="34"/>
  <c r="S40" i="34"/>
  <c r="S21" i="34"/>
  <c r="W40" i="34"/>
  <c r="AB40" i="34"/>
  <c r="AA39" i="34"/>
  <c r="AC36" i="34"/>
  <c r="AA35" i="34"/>
  <c r="W35" i="34"/>
  <c r="AB35" i="34"/>
  <c r="AA33" i="34"/>
  <c r="U9" i="34"/>
  <c r="M7" i="1"/>
  <c r="Q20" i="1"/>
  <c r="H5" i="3"/>
  <c r="BL5" i="3"/>
  <c r="AZ15" i="3"/>
  <c r="G28" i="6"/>
  <c r="F29" i="6"/>
  <c r="BA5" i="3"/>
  <c r="G16" i="3"/>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B29"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83"/>
  <c r="C36" i="68"/>
  <c r="C16" i="67"/>
  <c r="D9" i="68"/>
  <c r="C14" i="83"/>
  <c r="C16" i="15"/>
  <c r="G1" i="73"/>
  <c r="C18" i="83" l="1"/>
  <c r="C15" i="83"/>
  <c r="C19" i="83"/>
  <c r="C20" i="83" s="1"/>
  <c r="C26" i="83" s="1"/>
  <c r="O7" i="1"/>
  <c r="P7" i="1" s="1"/>
  <c r="M11" i="83"/>
  <c r="J10" i="83" s="1"/>
  <c r="J5" i="83" s="1"/>
  <c r="F11" i="83"/>
  <c r="F37" i="34"/>
  <c r="H112" i="34"/>
  <c r="I112" i="34" s="1"/>
  <c r="J112" i="34" s="1"/>
  <c r="K112" i="34" s="1"/>
  <c r="L112" i="34" s="1"/>
  <c r="M112" i="34" s="1"/>
  <c r="H37" i="34"/>
  <c r="AC25" i="34"/>
  <c r="W25" i="34"/>
  <c r="AB23" i="34"/>
  <c r="S23" i="34"/>
  <c r="S15" i="34"/>
  <c r="U15" i="34"/>
  <c r="E26" i="43"/>
  <c r="G26" i="43"/>
  <c r="G5" i="3"/>
  <c r="B3" i="3" s="1"/>
  <c r="AY6" i="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12" i="1"/>
  <c r="AE10" i="1"/>
  <c r="AE9" i="1"/>
  <c r="AE8" i="1"/>
  <c r="AE6" i="1"/>
  <c r="F27" i="68"/>
  <c r="F41" i="67"/>
  <c r="AE7" i="1"/>
  <c r="L36" i="43" l="1"/>
  <c r="F24" i="83"/>
  <c r="C53" i="83"/>
  <c r="C48" i="83" s="1"/>
  <c r="C10" i="83"/>
  <c r="C5" i="83" s="1"/>
  <c r="J24" i="83"/>
  <c r="J26" i="83"/>
  <c r="U37" i="34"/>
  <c r="AB37" i="34"/>
  <c r="AA37" i="34"/>
  <c r="S37" i="34"/>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36" i="3"/>
  <c r="E212" i="3"/>
  <c r="E286" i="3"/>
  <c r="E499" i="3"/>
  <c r="E543" i="3"/>
  <c r="E442" i="3"/>
  <c r="E487" i="3"/>
  <c r="E422" i="3"/>
  <c r="E449" i="3"/>
  <c r="E374" i="3"/>
  <c r="AH6" i="3"/>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07" i="3"/>
  <c r="L6" i="3"/>
  <c r="E425" i="3"/>
  <c r="E38" i="3"/>
  <c r="E195" i="3"/>
  <c r="E267" i="3"/>
  <c r="E339" i="3"/>
  <c r="E584" i="3"/>
  <c r="E67" i="3"/>
  <c r="E147" i="3"/>
  <c r="E341" i="3"/>
  <c r="E63" i="3"/>
  <c r="E218" i="3"/>
  <c r="E283" i="3"/>
  <c r="E101" i="3"/>
  <c r="E148" i="3"/>
  <c r="E575" i="3"/>
  <c r="E421" i="3"/>
  <c r="E541" i="3"/>
  <c r="E490" i="3"/>
  <c r="E500" i="3"/>
  <c r="E435" i="3"/>
  <c r="E520" i="3"/>
  <c r="E57" i="3"/>
  <c r="E132" i="3"/>
  <c r="E226" i="3"/>
  <c r="E292" i="3"/>
  <c r="E372" i="3"/>
  <c r="E544" i="3"/>
  <c r="E540" i="3"/>
  <c r="E446" i="3"/>
  <c r="E46" i="3"/>
  <c r="E137" i="3"/>
  <c r="E209" i="3"/>
  <c r="E371" i="3"/>
  <c r="E354" i="3"/>
  <c r="E48" i="3"/>
  <c r="E184" i="3"/>
  <c r="E364" i="3"/>
  <c r="E19" i="3"/>
  <c r="E264" i="3"/>
  <c r="E21" i="3"/>
  <c r="E329" i="3"/>
  <c r="E188" i="3"/>
  <c r="E116" i="3"/>
  <c r="E393" i="3"/>
  <c r="E564" i="3"/>
  <c r="E502" i="3"/>
  <c r="E464" i="3"/>
  <c r="E430" i="3"/>
  <c r="E459" i="3"/>
  <c r="E376" i="3"/>
  <c r="AP6" i="3"/>
  <c r="E582" i="3"/>
  <c r="E419" i="3"/>
  <c r="E491" i="3"/>
  <c r="E436" i="3"/>
  <c r="E40" i="3"/>
  <c r="E37" i="3"/>
  <c r="E131" i="3"/>
  <c r="E119" i="3"/>
  <c r="E192" i="3"/>
  <c r="E297" i="3"/>
  <c r="E276" i="3"/>
  <c r="E363" i="3"/>
  <c r="E375" i="3"/>
  <c r="E76" i="3"/>
  <c r="E488" i="3"/>
  <c r="E473" i="3"/>
  <c r="E47" i="3"/>
  <c r="E103" i="3"/>
  <c r="E194" i="3"/>
  <c r="E266" i="3"/>
  <c r="E310" i="3"/>
  <c r="E52" i="3"/>
  <c r="E87" i="3"/>
  <c r="E233" i="3"/>
  <c r="E50" i="3"/>
  <c r="E154" i="3"/>
  <c r="E373" i="3"/>
  <c r="E539" i="3"/>
  <c r="E199" i="3"/>
  <c r="R6" i="3"/>
  <c r="E486" i="3"/>
  <c r="E416" i="3"/>
  <c r="I3" i="6"/>
  <c r="E498" i="3"/>
  <c r="E463" i="3"/>
  <c r="E56" i="3"/>
  <c r="E178" i="3"/>
  <c r="E240" i="3"/>
  <c r="E378" i="3"/>
  <c r="E110" i="3"/>
  <c r="E484" i="3"/>
  <c r="E79" i="3"/>
  <c r="E138" i="3"/>
  <c r="E200" i="3"/>
  <c r="E299" i="3"/>
  <c r="AQ6" i="3"/>
  <c r="E84" i="3"/>
  <c r="E123" i="3"/>
  <c r="E284" i="3"/>
  <c r="E68" i="3"/>
  <c r="E176" i="3"/>
  <c r="E323" i="3"/>
  <c r="E223" i="3"/>
  <c r="E105" i="3"/>
  <c r="E493"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52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65" i="39"/>
  <c r="E16" i="3"/>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83"/>
  <c r="M27" i="15"/>
  <c r="M27" i="67"/>
  <c r="F69" i="83" l="1"/>
  <c r="J29" i="83"/>
  <c r="C66" i="83"/>
  <c r="C60" i="83"/>
  <c r="C24" i="83"/>
  <c r="C23" i="83"/>
  <c r="C38" i="83"/>
  <c r="R50" i="34"/>
  <c r="C50" i="34" s="1"/>
  <c r="G54" i="34"/>
  <c r="H54" i="34" s="1"/>
  <c r="AC6" i="3"/>
  <c r="H6" i="3"/>
  <c r="E6" i="3"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4" i="67"/>
  <c r="D10" i="68"/>
  <c r="C17" i="15"/>
  <c r="C29" i="83" l="1"/>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6" i="68"/>
  <c r="C7" i="68" s="1"/>
  <c r="C57" i="83"/>
  <c r="C64" i="83" s="1"/>
  <c r="Q49" i="83"/>
  <c r="C36" i="83"/>
  <c r="J14" i="83"/>
  <c r="C13" i="83"/>
  <c r="J59" i="83"/>
  <c r="J60" i="8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7" i="83" l="1"/>
  <c r="C56" i="83"/>
  <c r="C65" i="83" s="1"/>
  <c r="C75" i="83"/>
  <c r="Q70" i="83"/>
  <c r="J22" i="83"/>
  <c r="J13" i="83"/>
  <c r="J23" i="83" s="1"/>
  <c r="Q48" i="83"/>
  <c r="L46" i="83"/>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3"/>
  <c r="M21" i="67"/>
  <c r="F35" i="67"/>
  <c r="M21" i="15"/>
  <c r="F35" i="15"/>
  <c r="M21" i="83"/>
  <c r="J20" i="83" l="1"/>
  <c r="J17" i="83" s="1"/>
  <c r="J16" i="83" s="1"/>
  <c r="J25" i="83" s="1"/>
  <c r="F63" i="83"/>
  <c r="C62" i="83" s="1"/>
  <c r="C59" i="83" s="1"/>
  <c r="C58" i="83" s="1"/>
  <c r="C67" i="83" s="1"/>
  <c r="C68" i="83" s="1"/>
  <c r="C34" i="83"/>
  <c r="C31" i="83" s="1"/>
  <c r="C30" i="83" s="1"/>
  <c r="C39" i="8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B3" i="68"/>
  <c r="C102" i="84" l="1"/>
  <c r="C21" i="84"/>
  <c r="C40" i="83"/>
  <c r="C46" i="83" s="1"/>
  <c r="Q69" i="83"/>
  <c r="Q68" i="83" s="1"/>
  <c r="C80" i="83"/>
  <c r="C79" i="83" s="1"/>
  <c r="C71" i="8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4"/>
  <c r="L51" i="83"/>
  <c r="D2" i="21"/>
  <c r="C103" i="84" l="1"/>
  <c r="Q67" i="83"/>
  <c r="C43" i="83"/>
  <c r="Q65" i="83"/>
  <c r="Q75" i="83" s="1"/>
  <c r="Q47" i="83"/>
  <c r="Q53" i="83" s="1"/>
  <c r="B2" i="83"/>
  <c r="B3" i="83" s="1"/>
  <c r="Q56" i="83"/>
  <c r="Q62" i="83" s="1"/>
  <c r="C83" i="83"/>
  <c r="C82" i="83"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8" i="1"/>
  <c r="AO9" i="1"/>
  <c r="AO7" i="1"/>
  <c r="AO11" i="1"/>
  <c r="AO12"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9" i="84"/>
  <c r="C20" i="9"/>
  <c r="C103" i="9" l="1"/>
  <c r="D21" i="84"/>
  <c r="D102" i="84"/>
  <c r="D22" i="84"/>
  <c r="G19" i="84"/>
  <c r="G21" i="84" s="1"/>
  <c r="B3" i="15"/>
  <c r="D22" i="9"/>
  <c r="D102" i="9"/>
  <c r="G19" i="9"/>
  <c r="G21" i="9" s="1"/>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20" i="84"/>
  <c r="D35" i="84"/>
  <c r="D34" i="84"/>
  <c r="D103" i="84" l="1"/>
  <c r="G20" i="84"/>
  <c r="C32" i="84" s="1"/>
  <c r="G20" i="9"/>
  <c r="C32" i="9" s="1"/>
  <c r="C35" i="9" s="1"/>
  <c r="C34" i="9" s="1"/>
  <c r="D103" i="9"/>
  <c r="C42" i="40"/>
  <c r="C43" i="40"/>
  <c r="E47" i="40"/>
  <c r="F47" i="40" s="1"/>
  <c r="E46" i="40"/>
  <c r="F46" i="40" s="1"/>
  <c r="I47" i="40"/>
  <c r="J47" i="40" s="1"/>
  <c r="C35" i="84" l="1"/>
  <c r="C34" i="84"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119" i="9" s="1"/>
  <c r="H5" i="52" s="1"/>
  <c r="G118" i="9" l="1"/>
  <c r="G4" i="52" s="1"/>
  <c r="B52" i="72" s="1"/>
  <c r="H4" i="52"/>
  <c r="C104" i="9"/>
  <c r="D14" i="74"/>
  <c r="G14" i="74" s="1"/>
  <c r="D119" i="9"/>
  <c r="D5" i="52" s="1"/>
  <c r="B49" i="72" s="1"/>
  <c r="F119" i="9"/>
  <c r="F5" i="52" s="1"/>
  <c r="B53" i="72" s="1"/>
  <c r="H101" i="9"/>
  <c r="I118" i="9"/>
  <c r="E14" i="74" l="1"/>
  <c r="F14" i="74"/>
  <c r="C105" i="9"/>
  <c r="E118" i="9"/>
  <c r="E4" i="52" s="1"/>
  <c r="B48" i="72" s="1"/>
  <c r="I4" i="52"/>
  <c r="H102" i="9"/>
  <c r="D45" i="9"/>
  <c r="M48" i="9"/>
  <c r="H107" i="9"/>
  <c r="D5" i="53"/>
  <c r="D122" i="9" l="1"/>
  <c r="D13" i="53"/>
  <c r="M49" i="9"/>
  <c r="H108" i="9"/>
  <c r="D6" i="53"/>
  <c r="B22" i="72" s="1"/>
  <c r="B20" i="72"/>
  <c r="D7" i="53"/>
  <c r="B21" i="72" s="1"/>
  <c r="D52" i="9"/>
  <c r="C78" i="9"/>
  <c r="C73" i="9" s="1"/>
  <c r="C93" i="9"/>
  <c r="C86" i="9" s="1"/>
  <c r="D53" i="9"/>
  <c r="D55" i="9"/>
  <c r="M53" i="9" s="1"/>
  <c r="C72" i="9"/>
  <c r="C85" i="9"/>
  <c r="C64" i="9"/>
  <c r="C63" i="9" s="1"/>
  <c r="C67" i="9" s="1"/>
  <c r="C79" i="9" l="1"/>
  <c r="D59" i="9"/>
  <c r="M55" i="9" s="1"/>
  <c r="C68" i="9"/>
  <c r="D54" i="9" s="1"/>
  <c r="D15" i="53"/>
  <c r="B31" i="72" s="1"/>
  <c r="L64" i="9"/>
  <c r="M64" i="9" s="1"/>
  <c r="L66" i="9"/>
  <c r="M66" i="9" s="1"/>
  <c r="L63" i="9"/>
  <c r="M63" i="9" s="1"/>
  <c r="L65" i="9"/>
  <c r="M65" i="9" s="1"/>
  <c r="L68" i="9"/>
  <c r="M68" i="9" s="1"/>
  <c r="L67" i="9"/>
  <c r="M67" i="9" s="1"/>
  <c r="C95" i="9"/>
  <c r="C80" i="9"/>
  <c r="E80" i="9" s="1"/>
  <c r="E81" i="9" s="1"/>
  <c r="D14" i="53"/>
  <c r="B32" i="72" s="1"/>
  <c r="B30" i="72"/>
  <c r="D123" i="9"/>
  <c r="D9" i="52" s="1"/>
  <c r="D8" i="52"/>
  <c r="C81" i="9" l="1"/>
  <c r="C96" i="9"/>
  <c r="E96" i="9" s="1"/>
  <c r="E97" i="9" s="1"/>
  <c r="M69" i="9"/>
  <c r="N69" i="9" s="1"/>
  <c r="C97" i="9" l="1"/>
  <c r="D58" i="9" s="1"/>
  <c r="D56" i="9" s="1"/>
  <c r="M54" i="9" s="1"/>
  <c r="N57" i="9" s="1"/>
  <c r="P57" i="9" l="1"/>
  <c r="N58" i="9"/>
  <c r="N59" i="9"/>
  <c r="N60" i="9" l="1"/>
  <c r="N61" i="9"/>
  <c r="D118" i="84"/>
  <c r="D119" i="84" s="1"/>
  <c r="F118" i="84"/>
  <c r="F119" i="84" s="1"/>
  <c r="H118" i="84"/>
  <c r="C104" i="84" l="1"/>
  <c r="D15" i="74"/>
  <c r="G15" i="74" s="1"/>
  <c r="B6" i="74" s="1"/>
  <c r="B29" i="74" s="1"/>
  <c r="G118" i="84"/>
  <c r="H101" i="84"/>
  <c r="H119" i="84"/>
  <c r="I118" i="84"/>
  <c r="D6" i="74" l="1"/>
  <c r="C6" i="74"/>
  <c r="E15" i="74"/>
  <c r="F15" i="74"/>
  <c r="B5" i="74"/>
  <c r="H102" i="84"/>
  <c r="C105" i="84"/>
  <c r="E118" i="84"/>
  <c r="D45" i="84"/>
  <c r="M48" i="84"/>
  <c r="H107" i="84"/>
  <c r="D5" i="74" l="1"/>
  <c r="C5" i="74"/>
  <c r="D52" i="84"/>
  <c r="C78" i="84"/>
  <c r="C73" i="84" s="1"/>
  <c r="C93" i="84"/>
  <c r="C86" i="84" s="1"/>
  <c r="D53" i="84"/>
  <c r="D55" i="84"/>
  <c r="M53" i="84" s="1"/>
  <c r="C72" i="84"/>
  <c r="C85" i="84"/>
  <c r="C64" i="84"/>
  <c r="C63" i="84" s="1"/>
  <c r="C67" i="84" s="1"/>
  <c r="M49" i="84"/>
  <c r="D122" i="84"/>
  <c r="D123" i="84" s="1"/>
  <c r="H108" i="84"/>
  <c r="C79" i="84" l="1"/>
  <c r="C95" i="84"/>
  <c r="C96" i="84" s="1"/>
  <c r="E96" i="84" s="1"/>
  <c r="E97" i="84" s="1"/>
  <c r="D59" i="84"/>
  <c r="M55" i="84" s="1"/>
  <c r="C68" i="84"/>
  <c r="D54" i="84" s="1"/>
  <c r="C80" i="84"/>
  <c r="E80" i="84" s="1"/>
  <c r="E81" i="84" s="1"/>
  <c r="L64" i="84"/>
  <c r="M64" i="84" s="1"/>
  <c r="L66" i="84"/>
  <c r="M66" i="84" s="1"/>
  <c r="L63" i="84"/>
  <c r="M63" i="84" s="1"/>
  <c r="L65" i="84"/>
  <c r="M65" i="84" s="1"/>
  <c r="L68" i="84"/>
  <c r="M68" i="84" s="1"/>
  <c r="L67" i="84"/>
  <c r="M67" i="84" s="1"/>
  <c r="C97" i="84" l="1"/>
  <c r="D58" i="84" s="1"/>
  <c r="D56" i="84" s="1"/>
  <c r="M54" i="84" s="1"/>
  <c r="N57" i="84" s="1"/>
  <c r="M69" i="84"/>
  <c r="N69" i="84" s="1"/>
  <c r="C81" i="84"/>
  <c r="P57" i="84" l="1"/>
  <c r="N58" i="84"/>
  <c r="N59" i="84"/>
  <c r="N61" i="84" l="1"/>
  <c r="N60"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<sst xmlns="http://schemas.openxmlformats.org/spreadsheetml/2006/main" count="9344" uniqueCount="3919">
  <si>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</si>
  <si>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</si>
  <si>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</si>
  <si>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</si>
  <si>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</si>
  <si>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</si>
  <si>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</si>
  <si>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</si>
  <si>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</si>
  <si>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</si>
  <si>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</si>
  <si>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</si>
  <si>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</si>
  <si>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</si>
  <si>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</si>
  <si>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</si>
  <si>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</si>
  <si>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</si>
  <si>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</si>
  <si>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</si>
  <si>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</si>
  <si>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</si>
  <si>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</si>
  <si>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</si>
  <si>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</si>
  <si>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</si>
  <si>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</si>
  <si>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</si>
  <si>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</si>
  <si>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</si>
  <si>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</si>
  <si>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</si>
  <si>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</si>
  <si>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</si>
  <si>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</si>
  <si>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</si>
  <si>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</si>
  <si>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</si>
  <si>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</si>
  <si>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</si>
  <si>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</si>
  <si>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</si>
  <si>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</si>
  <si>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</si>
  <si>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</si>
  <si>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</si>
  <si>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</si>
  <si>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</si>
  <si>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</si>
  <si>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</si>
  <si>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</si>
  <si>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</si>
  <si>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</si>
  <si>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</si>
  <si>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</si>
  <si>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</si>
  <si>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</si>
  <si>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</si>
  <si>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</si>
  <si>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</si>
  <si>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</si>
  <si>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</si>
  <si>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</si>
  <si>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</si>
  <si>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</si>
  <si>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</si>
  <si>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</si>
  <si>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</si>
  <si>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</si>
  <si>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</si>
  <si>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</si>
  <si>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</si>
  <si>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</si>
  <si>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</si>
  <si>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</si>
  <si>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</si>
  <si>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</si>
  <si>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</si>
  <si>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</si>
  <si>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</si>
  <si>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</si>
  <si>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</si>
  <si>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</si>
  <si>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</si>
  <si>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</si>
  <si>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</si>
  <si>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</si>
  <si>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</si>
  <si>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</si>
  <si>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</si>
  <si>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</si>
  <si>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</si>
  <si>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</si>
  <si>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</si>
  <si>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</si>
  <si>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</si>
  <si>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</si>
  <si>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</si>
  <si>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</si>
  <si>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</si>
  <si>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</si>
  <si>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</si>
  <si>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</si>
  <si>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</si>
  <si>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</si>
  <si>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</si>
  <si>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</si>
  <si>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</si>
  <si>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</si>
  <si>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</si>
  <si>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</si>
  <si>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</si>
  <si>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</si>
  <si>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</si>
  <si>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</si>
  <si>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</si>
  <si>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</si>
  <si>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</si>
  <si>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</si>
  <si>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</si>
  <si>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</si>
  <si>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</si>
  <si>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</si>
  <si>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</si>
  <si>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</si>
  <si>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</si>
  <si>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</si>
  <si>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</si>
  <si>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</si>
  <si>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</si>
  <si>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</si>
  <si>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</si>
  <si>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</si>
  <si>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</si>
  <si>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</si>
  <si>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</si>
  <si>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</si>
  <si>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</si>
  <si>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</si>
  <si>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</si>
  <si>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</si>
  <si>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</si>
  <si>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</si>
  <si>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</si>
  <si>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</si>
  <si>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</si>
  <si>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</si>
  <si>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</si>
  <si>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</si>
  <si>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</si>
  <si>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</si>
  <si>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</si>
  <si>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</si>
  <si>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</si>
  <si>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</si>
  <si>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</si>
  <si>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</si>
  <si>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</si>
  <si>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</si>
  <si>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</si>
  <si>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</si>
  <si>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</si>
  <si>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</si>
  <si>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</si>
  <si>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</si>
  <si>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</si>
  <si>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</si>
  <si>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</si>
  <si>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</si>
  <si>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</si>
  <si>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</si>
  <si>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</si>
  <si>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</si>
  <si>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</si>
  <si>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</si>
  <si>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</si>
  <si>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</si>
  <si>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</si>
  <si>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</si>
  <si>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</si>
  <si>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</si>
  <si>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</si>
  <si>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</si>
  <si>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</si>
  <si>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</si>
  <si>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</si>
  <si>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</si>
  <si>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</si>
  <si>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</si>
  <si>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</si>
  <si>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</si>
  <si>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</si>
  <si>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</si>
  <si>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</si>
  <si>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</si>
  <si>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</si>
  <si>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</si>
  <si>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</si>
  <si>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</si>
  <si>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</si>
  <si>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</si>
  <si>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</si>
  <si>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</si>
  <si>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</si>
  <si>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</si>
  <si>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</si>
  <si>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</si>
  <si>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</si>
  <si>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</si>
  <si>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</si>
  <si>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</si>
  <si>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</si>
  <si>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</si>
  <si>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</si>
  <si>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</si>
  <si>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</si>
  <si>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</si>
  <si>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</si>
  <si>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</si>
  <si>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</si>
  <si>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</si>
  <si>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</si>
  <si>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</si>
  <si>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</si>
  <si>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</si>
  <si>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</si>
  <si>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</si>
  <si>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</si>
  <si>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</si>
  <si>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</si>
  <si>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</si>
  <si>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</si>
  <si>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</si>
  <si>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</si>
  <si>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</si>
  <si>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</si>
  <si>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</si>
  <si>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</si>
  <si>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</si>
  <si>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</si>
  <si>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</si>
  <si>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</si>
  <si>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</si>
  <si>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</si>
  <si>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</si>
  <si>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</si>
  <si>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</si>
  <si>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</si>
  <si>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</si>
  <si>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</si>
  <si>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</si>
  <si>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</si>
  <si>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</si>
  <si>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</si>
  <si>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</si>
  <si>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</si>
  <si>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</si>
  <si>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</si>
  <si>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</si>
  <si>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</si>
  <si>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</si>
  <si>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</si>
  <si>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</si>
  <si>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</si>
  <si>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</si>
  <si>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</si>
  <si>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</si>
  <si>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</si>
  <si>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</si>
  <si>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</si>
  <si>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</si>
  <si>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</si>
  <si>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</si>
  <si>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</si>
  <si>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</si>
  <si>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</si>
  <si>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</si>
  <si>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</si>
  <si>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</si>
  <si>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</si>
  <si>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</si>
  <si>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</si>
  <si>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</si>
  <si>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</si>
  <si>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</si>
  <si>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</si>
  <si>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</si>
  <si>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</si>
  <si>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</si>
  <si>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</si>
  <si>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</si>
  <si>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</si>
  <si>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</si>
  <si>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</si>
  <si>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</si>
  <si>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</si>
  <si>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</si>
  <si>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</si>
  <si>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</si>
  <si>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</si>
  <si>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</si>
  <si>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</si>
  <si>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</si>
  <si>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</si>
  <si>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</si>
  <si>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</si>
  <si>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</si>
  <si>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</si>
  <si>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</si>
  <si>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</si>
  <si>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</si>
  <si>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</si>
  <si>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</si>
  <si>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</si>
  <si>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</si>
  <si>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</si>
  <si>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</si>
  <si>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</si>
  <si>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</si>
  <si>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</si>
  <si>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</si>
  <si>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</si>
  <si>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</si>
  <si>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</si>
  <si>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</si>
  <si>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</si>
  <si>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</si>
  <si>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</si>
  <si>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</si>
  <si>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</si>
  <si>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</si>
  <si>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</si>
  <si>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</si>
  <si>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</si>
  <si>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</si>
  <si>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</si>
  <si>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</si>
  <si>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</si>
  <si>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</si>
  <si>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</si>
  <si>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</si>
  <si>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</si>
  <si>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</si>
  <si>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</si>
  <si>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</si>
  <si>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</si>
  <si>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</si>
  <si>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</si>
  <si>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</si>
  <si>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</si>
  <si>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</si>
  <si>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</si>
  <si>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</si>
  <si>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</si>
  <si>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</si>
  <si>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</si>
  <si>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</si>
  <si>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</si>
  <si>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</si>
  <si>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</si>
  <si>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</si>
  <si>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</si>
  <si>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</si>
  <si>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</si>
  <si>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</si>
  <si>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</si>
  <si>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</si>
  <si>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</si>
  <si>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</si>
  <si>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</si>
  <si>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</si>
  <si>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</si>
  <si>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</si>
  <si>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</si>
  <si>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</si>
  <si>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</si>
  <si>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</si>
  <si>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</si>
  <si>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</si>
  <si>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</si>
  <si>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</si>
  <si>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</si>
  <si>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</si>
  <si>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</si>
  <si>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</si>
  <si>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</si>
  <si>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</si>
  <si>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</si>
  <si>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</si>
  <si>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</si>
  <si>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</si>
  <si>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</si>
  <si>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</si>
  <si>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</si>
  <si>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</si>
  <si>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</si>
  <si>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</si>
  <si>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</si>
  <si>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</si>
  <si>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</si>
  <si>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</si>
  <si>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</si>
  <si>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</si>
  <si>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</si>
  <si>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</si>
  <si>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</si>
  <si>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</si>
  <si>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</si>
  <si>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</si>
  <si>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</si>
  <si>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</si>
  <si>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</si>
  <si>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</si>
  <si>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</si>
  <si>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</si>
  <si>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</si>
  <si>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</si>
  <si>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</si>
  <si>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</si>
  <si>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</si>
  <si>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</si>
  <si>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</si>
  <si>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</si>
  <si>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</si>
  <si>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</si>
  <si>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</si>
  <si>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</si>
  <si>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</si>
  <si>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</si>
  <si>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</si>
  <si>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</si>
  <si>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</si>
  <si>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</si>
  <si>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</si>
  <si>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</si>
  <si>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</si>
  <si>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</si>
  <si>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</si>
  <si>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</si>
  <si>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</si>
  <si>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</si>
  <si>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</si>
  <si>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</si>
  <si>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</si>
  <si>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</si>
  <si>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</si>
  <si>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</si>
  <si>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</si>
  <si>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</si>
  <si>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</si>
  <si>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</si>
  <si>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</si>
  <si>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</si>
  <si>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</si>
  <si>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</si>
  <si>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</si>
  <si>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</si>
  <si>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</si>
  <si>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</si>
  <si>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</si>
  <si>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</si>
  <si>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</si>
  <si>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</si>
  <si>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</si>
  <si>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</si>
  <si>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</si>
  <si>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</si>
  <si>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</si>
  <si>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</si>
  <si>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</si>
  <si>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</si>
  <si>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</si>
  <si>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</si>
  <si>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</si>
  <si>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</si>
  <si>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</si>
  <si>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</si>
  <si>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</si>
  <si>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</si>
  <si>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</si>
  <si>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</si>
  <si>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</si>
  <si>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</si>
  <si>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</si>
  <si>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</si>
  <si>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</si>
  <si>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</si>
  <si>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</si>
  <si>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</si>
  <si>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</si>
  <si>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</si>
  <si>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</si>
  <si>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</si>
  <si>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</si>
  <si>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</si>
  <si>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</si>
  <si>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</si>
  <si>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</si>
  <si>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</si>
  <si>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</si>
  <si>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</si>
  <si>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</si>
  <si>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</si>
  <si>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</si>
  <si>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</si>
  <si>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</si>
  <si>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</si>
  <si>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</si>
  <si>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</si>
  <si>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</si>
  <si>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</si>
  <si>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</si>
  <si>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</si>
  <si>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</si>
  <si>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</si>
  <si>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</si>
  <si>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</si>
  <si>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</si>
  <si>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</si>
  <si>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</si>
  <si>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</si>
  <si>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</si>
  <si>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</si>
  <si>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</si>
  <si>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</si>
  <si>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</si>
  <si>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</si>
  <si>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</si>
  <si>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</si>
  <si>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</si>
  <si>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</si>
  <si>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</si>
  <si>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</si>
  <si>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</si>
  <si>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</si>
  <si>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</si>
  <si>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</si>
  <si>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</si>
  <si>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</si>
  <si>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</si>
  <si>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</si>
  <si>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</si>
  <si>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</si>
  <si>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</si>
  <si>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</si>
  <si>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</si>
  <si>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</si>
  <si>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</si>
  <si>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</si>
  <si>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</si>
  <si>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</si>
  <si>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</si>
  <si>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</si>
  <si>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</si>
  <si>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</si>
  <si>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</si>
  <si>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</si>
  <si>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</si>
  <si>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</si>
  <si>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</si>
  <si>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</si>
  <si>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</si>
  <si>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</si>
  <si>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</si>
  <si>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</si>
  <si>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</si>
  <si>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</si>
  <si>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</si>
  <si>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</si>
  <si>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</si>
  <si>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</si>
  <si>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</si>
  <si>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</si>
  <si>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</si>
  <si>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</si>
  <si>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</si>
  <si>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</si>
  <si>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</si>
  <si>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</si>
  <si>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</si>
  <si>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</si>
  <si>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</si>
  <si>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</si>
  <si>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</si>
  <si>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</si>
  <si>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</si>
  <si>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</si>
  <si>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</si>
  <si>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</si>
  <si>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</si>
  <si>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</si>
  <si>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</si>
  <si>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</si>
  <si>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</si>
  <si>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</si>
  <si>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</si>
  <si>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</si>
  <si>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</si>
  <si>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</si>
  <si>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</si>
  <si>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</si>
  <si>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</si>
  <si>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</si>
  <si>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</si>
  <si>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</si>
  <si>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</si>
  <si>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</si>
  <si>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</si>
  <si>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</si>
  <si>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</si>
  <si>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</si>
  <si>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</si>
  <si>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</si>
  <si>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</si>
  <si>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</si>
  <si>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</si>
  <si>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</si>
  <si>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</si>
  <si>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</si>
  <si>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</si>
  <si>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</si>
  <si>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</si>
  <si>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</si>
  <si>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</si>
  <si>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</si>
  <si>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</si>
  <si>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</si>
  <si>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</si>
  <si>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</si>
  <si>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</si>
  <si>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</si>
  <si>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</si>
  <si>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</si>
  <si>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</si>
  <si>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</si>
  <si>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</si>
  <si>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</si>
  <si>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</si>
  <si>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</si>
  <si>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</si>
  <si>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</si>
  <si>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</si>
  <si>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</si>
  <si>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</si>
  <si>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</si>
  <si>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</si>
  <si>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</si>
  <si>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</si>
  <si>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</si>
  <si>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</si>
  <si>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</si>
  <si>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</si>
  <si>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</si>
  <si>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</si>
  <si>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</si>
  <si>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</si>
  <si>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</si>
  <si>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</si>
  <si>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</si>
  <si>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</si>
  <si>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</si>
  <si>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</si>
  <si>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</si>
  <si>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</si>
  <si>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</si>
  <si>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</si>
  <si>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</si>
  <si>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</si>
  <si>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</si>
  <si>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</si>
  <si>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</si>
  <si>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</si>
  <si>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</si>
  <si>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</si>
  <si>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</si>
  <si>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</si>
  <si>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</si>
  <si>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</si>
  <si>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</si>
  <si>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</si>
  <si>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</si>
  <si>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</si>
  <si>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</si>
  <si>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</si>
  <si>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</si>
  <si>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</si>
  <si>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</si>
  <si>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</si>
  <si>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</si>
  <si>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</si>
  <si>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</si>
  <si>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</si>
  <si>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</si>
  <si>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</si>
  <si>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</si>
  <si>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</si>
  <si>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</si>
  <si>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</si>
  <si>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</si>
  <si>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</si>
  <si>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</si>
  <si>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</si>
  <si>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</si>
  <si>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</si>
  <si>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</si>
  <si>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</si>
  <si>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</si>
  <si>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</si>
  <si>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</si>
  <si>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</si>
  <si>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</si>
  <si>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</si>
  <si>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</si>
  <si>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</si>
  <si>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</si>
  <si>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</si>
  <si>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</si>
  <si>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</si>
  <si>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</si>
  <si>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</si>
  <si>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</si>
  <si>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</si>
  <si>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</si>
  <si>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</si>
  <si>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</si>
  <si>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</si>
  <si>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</si>
  <si>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</si>
  <si>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</si>
  <si>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</si>
  <si>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</si>
  <si>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</si>
  <si>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</si>
  <si>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</si>
  <si>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</si>
  <si>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</si>
  <si>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</si>
  <si>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</si>
  <si>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</si>
  <si>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</si>
  <si>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</si>
  <si>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</si>
  <si>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</si>
  <si>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</si>
  <si>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</si>
  <si>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</si>
  <si>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</si>
  <si>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</si>
  <si>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</si>
  <si>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</si>
  <si>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</si>
  <si>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</si>
  <si>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</si>
  <si>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</si>
  <si>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</si>
  <si>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</si>
  <si>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</si>
  <si>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</si>
  <si>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</si>
  <si>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</si>
  <si>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</si>
  <si>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</si>
  <si>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</si>
  <si>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</si>
  <si>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</si>
  <si>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</si>
  <si>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</si>
  <si>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</si>
  <si>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</si>
  <si>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</si>
  <si>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</si>
  <si>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</si>
  <si>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</si>
  <si>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</si>
  <si>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</si>
  <si>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</si>
  <si>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</si>
  <si>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</si>
  <si>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</si>
  <si>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</si>
  <si>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</si>
  <si>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</si>
  <si>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</si>
  <si>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</si>
  <si>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</si>
  <si>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</si>
  <si>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</si>
  <si>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</si>
  <si>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</si>
  <si>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</si>
  <si>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</si>
  <si>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</si>
  <si>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</si>
  <si>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</si>
  <si>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</si>
  <si>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</si>
  <si>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</si>
  <si>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</si>
  <si>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</si>
  <si>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</si>
  <si>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</si>
  <si>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</si>
  <si>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</si>
  <si>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</si>
  <si>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</si>
  <si>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</si>
  <si>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</si>
  <si>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</si>
  <si>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</si>
  <si>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</si>
  <si>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</si>
  <si>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</si>
  <si>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</si>
  <si>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</si>
  <si>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</si>
  <si>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</si>
  <si>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</si>
  <si>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</si>
  <si>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</si>
  <si>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</si>
  <si>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</si>
  <si>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</si>
  <si>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</si>
  <si>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</si>
  <si>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</si>
  <si>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</si>
  <si>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</si>
  <si>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</si>
  <si>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</si>
  <si>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</si>
  <si>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</si>
  <si>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</si>
  <si>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</si>
  <si>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</si>
  <si>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</si>
  <si>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</si>
  <si>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</si>
  <si>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</si>
  <si>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</si>
  <si>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</si>
  <si>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</si>
  <si>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</si>
  <si>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</si>
  <si>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</si>
  <si>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</si>
  <si>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</si>
  <si>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</si>
  <si>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</si>
  <si>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</si>
  <si>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</si>
  <si>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</si>
  <si>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</si>
  <si>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</si>
  <si>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</si>
  <si>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</si>
  <si>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</si>
  <si>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</si>
  <si>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</si>
  <si>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</si>
  <si>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</si>
  <si>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</si>
  <si>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</si>
  <si>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</si>
  <si>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</si>
  <si>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</si>
  <si>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</si>
  <si>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</si>
  <si>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</si>
  <si>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</si>
  <si>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</si>
  <si>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</si>
  <si>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</si>
  <si>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</si>
  <si>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</si>
  <si>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</si>
  <si>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</si>
  <si>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</si>
  <si>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</si>
  <si>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</si>
  <si>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</si>
  <si>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</si>
  <si>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</si>
  <si>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</si>
  <si>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</si>
  <si>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</si>
  <si>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</si>
  <si>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</si>
  <si>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</si>
  <si>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</si>
  <si>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</si>
  <si>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</si>
  <si>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</si>
  <si>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</si>
  <si>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</si>
  <si>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</si>
  <si>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</si>
  <si>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</si>
  <si>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</si>
  <si>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</si>
  <si>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</si>
  <si>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</si>
  <si>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</si>
  <si>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</si>
  <si>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</si>
  <si>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</si>
  <si>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</si>
  <si>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</si>
  <si>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</si>
  <si>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</si>
  <si>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</si>
  <si>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</si>
  <si>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</si>
  <si>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</si>
  <si>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</si>
  <si>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</si>
  <si>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</si>
  <si>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</si>
  <si>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</si>
  <si>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</si>
  <si>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</si>
  <si>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</si>
  <si>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</si>
  <si>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</si>
  <si>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</si>
  <si>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</si>
  <si>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</si>
  <si>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</si>
  <si>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</si>
  <si>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</si>
  <si>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</si>
  <si>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</si>
  <si>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</si>
  <si>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</si>
  <si>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</si>
  <si>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</si>
  <si>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</si>
  <si>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</si>
  <si>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</si>
  <si>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</si>
  <si>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</si>
  <si>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</si>
  <si>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</si>
  <si>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</si>
  <si>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</si>
  <si>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</si>
  <si>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</si>
  <si>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</si>
  <si>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</si>
  <si>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</si>
  <si>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</si>
  <si>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</si>
  <si>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</si>
  <si>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</si>
  <si>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</si>
  <si>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</si>
  <si>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</si>
  <si>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</si>
  <si>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</si>
  <si>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</si>
  <si>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</si>
  <si>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</si>
  <si>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</si>
  <si>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</si>
  <si>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</si>
  <si>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</si>
  <si>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</si>
  <si>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</si>
  <si>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</si>
  <si>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</si>
  <si>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</si>
  <si>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</si>
  <si>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</si>
  <si>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</si>
  <si>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</si>
  <si>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</si>
  <si>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</si>
  <si>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</si>
  <si>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</si>
  <si>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</si>
  <si>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</si>
  <si>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</si>
  <si>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</si>
  <si>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</si>
  <si>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</si>
  <si>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</si>
  <si>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</si>
  <si>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</si>
  <si>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</si>
  <si>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</si>
  <si>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</si>
  <si>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</si>
  <si>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</si>
  <si>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</si>
  <si>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</si>
  <si>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</si>
  <si>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</si>
  <si>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</si>
  <si>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</si>
  <si>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</si>
  <si>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</si>
  <si>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</si>
  <si>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</si>
  <si>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</si>
  <si>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</si>
  <si>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</si>
  <si>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</si>
  <si>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</si>
  <si>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</si>
  <si>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</si>
  <si>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</si>
  <si>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</si>
  <si>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</si>
  <si>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</si>
  <si>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</si>
  <si>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</si>
  <si>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</si>
  <si>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</si>
  <si>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</si>
  <si>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</si>
  <si>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</si>
  <si>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</si>
  <si>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</si>
  <si>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</si>
  <si>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</si>
  <si>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</si>
  <si>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</si>
  <si>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</si>
  <si>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</si>
  <si>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</si>
  <si>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</si>
  <si>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</si>
  <si>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</si>
  <si>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</si>
  <si>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</si>
  <si>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</si>
  <si>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</si>
  <si>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</si>
  <si>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</si>
  <si>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</si>
  <si>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</si>
  <si>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</si>
  <si>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</si>
  <si>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</si>
  <si>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</si>
  <si>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</si>
  <si>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</si>
  <si>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</si>
  <si>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</si>
  <si>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</si>
  <si>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</si>
  <si>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</si>
  <si>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</si>
  <si>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</si>
  <si>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</si>
  <si>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</si>
  <si>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</si>
  <si>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</si>
  <si>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</si>
  <si>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</si>
  <si>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</si>
  <si>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</si>
  <si>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</si>
  <si>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</si>
  <si>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</si>
  <si>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</si>
  <si>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</si>
  <si>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</si>
  <si>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</si>
  <si>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</si>
  <si>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</si>
  <si>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</si>
  <si>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</si>
  <si>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</si>
  <si>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</si>
  <si>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</si>
  <si>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</si>
  <si>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</si>
  <si>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</si>
  <si>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</si>
  <si>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</si>
  <si>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</si>
  <si>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</si>
  <si>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</si>
  <si>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</si>
  <si>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</si>
  <si>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</si>
  <si>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</si>
  <si>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</si>
  <si>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</si>
  <si>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</si>
  <si>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</si>
  <si>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</si>
  <si>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</si>
  <si>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</si>
  <si>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</si>
  <si>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</si>
  <si>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</si>
  <si>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</si>
  <si>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</si>
  <si>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</si>
  <si>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</si>
  <si>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</si>
  <si>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</si>
  <si>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</si>
  <si>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</si>
  <si>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</si>
  <si>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</si>
  <si>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</si>
  <si>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</si>
  <si>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</si>
  <si>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</si>
  <si>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</si>
  <si>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</si>
  <si>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</si>
  <si>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</si>
  <si>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</si>
  <si>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</si>
  <si>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</si>
  <si>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</si>
  <si>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</si>
  <si>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</si>
  <si>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</si>
  <si>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</si>
  <si>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</si>
  <si>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</si>
  <si>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</si>
  <si>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</si>
  <si>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</si>
  <si>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</si>
  <si>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</si>
  <si>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</si>
  <si>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</si>
  <si>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</si>
  <si>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</si>
  <si>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</si>
  <si>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</si>
  <si>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</si>
  <si>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</si>
  <si>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</si>
  <si>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</si>
  <si>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</si>
  <si>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</si>
  <si>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</si>
  <si>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</si>
  <si>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</si>
  <si>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</si>
  <si>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</si>
  <si>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</si>
  <si>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</si>
  <si>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</si>
  <si>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</si>
  <si>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</si>
  <si>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</si>
  <si>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</si>
  <si>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</si>
  <si>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</si>
  <si>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</si>
  <si>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</si>
  <si>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</si>
  <si>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</si>
  <si>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</si>
  <si>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</si>
  <si>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</si>
  <si>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</si>
  <si>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</si>
  <si>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</si>
  <si>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</si>
  <si>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</si>
  <si>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</si>
  <si>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</si>
  <si>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</si>
  <si>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</si>
  <si>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</si>
  <si>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</si>
  <si>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</si>
  <si>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</si>
  <si>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</si>
  <si>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</si>
  <si>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</si>
  <si>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</si>
  <si>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</si>
  <si>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</si>
  <si>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</si>
  <si>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</si>
  <si>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</si>
  <si>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</si>
  <si>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</si>
  <si>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</si>
  <si>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</si>
  <si>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</si>
  <si>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</si>
  <si>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</si>
  <si>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</si>
  <si>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</si>
  <si>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</si>
  <si>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</si>
  <si>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</si>
  <si>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</si>
  <si>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</si>
  <si>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</si>
  <si>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</si>
  <si>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</si>
  <si>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</si>
  <si>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</si>
  <si>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</si>
  <si>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</si>
  <si>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</si>
  <si>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</si>
  <si>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</si>
  <si>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</si>
  <si>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</si>
  <si>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</si>
  <si>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</si>
  <si>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</si>
  <si>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</si>
  <si>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</si>
  <si>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</si>
  <si>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</si>
  <si>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</si>
  <si>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</si>
  <si>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</si>
  <si>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</si>
  <si>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</si>
  <si>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</si>
  <si>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</si>
  <si>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</si>
  <si>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</si>
  <si>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</si>
  <si>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</si>
  <si>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</si>
  <si>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</si>
  <si>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</si>
  <si>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</si>
  <si>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</si>
  <si>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</si>
  <si>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</si>
  <si>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</si>
  <si>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</si>
  <si>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</si>
  <si>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</si>
  <si>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</si>
  <si>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</si>
  <si>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</si>
  <si>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</si>
  <si>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</si>
  <si>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</si>
  <si>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</si>
  <si>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</si>
  <si>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</si>
  <si>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</si>
  <si>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</si>
  <si>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</si>
  <si>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</si>
  <si>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</si>
  <si>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</si>
  <si>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</si>
  <si>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</si>
  <si>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</si>
  <si>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</si>
  <si>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</si>
  <si>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</si>
  <si>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</si>
  <si>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</si>
  <si>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</si>
  <si>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</si>
  <si>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</si>
  <si>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</si>
  <si>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</si>
  <si>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</si>
  <si>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</si>
  <si>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</si>
  <si>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</si>
  <si>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</si>
  <si>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</si>
  <si>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</si>
  <si>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</si>
  <si>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</si>
  <si>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</si>
  <si>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</si>
  <si>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</si>
  <si>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</si>
  <si>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</si>
  <si>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</si>
  <si>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</si>
  <si>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</si>
  <si>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</si>
  <si>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</si>
  <si>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</si>
  <si>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</si>
  <si>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</si>
  <si>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</si>
  <si>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</si>
  <si>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</si>
  <si>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</si>
  <si>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</si>
  <si>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</si>
  <si>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</si>
  <si>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</si>
  <si>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</si>
  <si>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</si>
  <si>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</si>
  <si>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</si>
  <si>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</si>
  <si>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</si>
  <si>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</si>
  <si>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</si>
  <si>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</si>
  <si>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</si>
  <si>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</si>
  <si>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</si>
  <si>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</si>
  <si>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</si>
  <si>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</si>
  <si>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</si>
  <si>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</si>
  <si>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</si>
  <si>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</si>
  <si>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</si>
  <si>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</si>
  <si>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</si>
  <si>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</si>
  <si>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</si>
  <si>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</si>
  <si>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</si>
  <si>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</si>
  <si>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</si>
  <si>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</si>
  <si>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</si>
  <si>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</si>
  <si>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</si>
  <si>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</si>
  <si>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</si>
  <si>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</si>
  <si>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</si>
  <si>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</si>
  <si>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</si>
  <si>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</si>
  <si>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</si>
  <si>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</si>
  <si>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</si>
  <si>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</si>
  <si>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</si>
  <si>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</si>
  <si>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</si>
  <si>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</si>
  <si>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</si>
  <si>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</si>
  <si>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</si>
  <si>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</si>
  <si>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</si>
  <si>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</si>
  <si>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</si>
  <si>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</si>
  <si>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</si>
  <si>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</si>
  <si>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</si>
  <si>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</si>
  <si>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</si>
  <si>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</si>
  <si>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</si>
  <si>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</si>
  <si>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</si>
  <si>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</si>
  <si>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</si>
  <si>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</si>
  <si>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</si>
  <si>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</si>
  <si>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</si>
  <si>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</si>
  <si>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</si>
  <si>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</si>
  <si>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</si>
  <si>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</si>
  <si>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</si>
  <si>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</si>
  <si>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</si>
  <si>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</si>
  <si>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</si>
  <si>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</si>
  <si>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</si>
  <si>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</si>
  <si>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</si>
  <si>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</si>
  <si>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</si>
  <si>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</si>
  <si>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</si>
  <si>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</si>
  <si>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</si>
  <si>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</si>
  <si>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</si>
  <si>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</si>
  <si>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</si>
  <si>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</si>
  <si>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</si>
  <si>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</si>
  <si>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</si>
  <si>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</si>
  <si>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</si>
  <si>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</si>
  <si>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</si>
  <si>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</si>
  <si>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</si>
  <si>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</si>
  <si>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</si>
  <si>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</si>
  <si>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</si>
  <si>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</si>
  <si>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</si>
  <si>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</si>
  <si>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</si>
  <si>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</si>
  <si>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</si>
  <si>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</si>
  <si>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</si>
  <si>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</si>
  <si>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</si>
  <si>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</si>
  <si>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</si>
  <si>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</si>
  <si>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</si>
  <si>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</si>
  <si>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</si>
  <si>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</si>
  <si>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</si>
  <si>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</si>
  <si>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</si>
  <si>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</si>
  <si>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</si>
  <si>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</si>
  <si>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</si>
  <si>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</si>
  <si>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</si>
  <si>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</si>
  <si>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</si>
  <si>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</si>
  <si>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</si>
  <si>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</si>
  <si>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</si>
  <si>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</si>
  <si>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</si>
  <si>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</si>
  <si>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</si>
  <si>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</si>
  <si>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</si>
  <si>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</si>
  <si>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</si>
  <si>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</si>
  <si>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</si>
  <si>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</si>
  <si>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</si>
  <si>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</si>
  <si>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</si>
  <si>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</si>
  <si>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</si>
  <si>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</si>
  <si>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</si>
  <si>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</si>
  <si>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</si>
  <si>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</si>
  <si>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</si>
  <si>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</si>
  <si>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</si>
  <si>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</si>
  <si>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</si>
  <si>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</si>
  <si>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</si>
  <si>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</si>
  <si>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</si>
  <si>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</si>
  <si>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</si>
  <si>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</si>
  <si>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</si>
  <si>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</si>
  <si>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</si>
  <si>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</si>
  <si>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</si>
  <si>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</si>
  <si>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</si>
  <si>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</si>
  <si>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</si>
  <si>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</si>
  <si>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</si>
  <si>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</si>
  <si>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</si>
  <si>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</si>
  <si>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</si>
  <si>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</si>
  <si>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</si>
  <si>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</si>
  <si>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</si>
  <si>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</si>
  <si>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</si>
  <si>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</si>
  <si>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</si>
  <si>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</si>
  <si>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</si>
  <si>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</si>
  <si>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</si>
  <si>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</si>
  <si>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</si>
  <si>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</si>
  <si>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</si>
  <si>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</si>
  <si>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</si>
  <si>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</si>
  <si>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</si>
  <si>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</si>
  <si>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</si>
  <si>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</si>
  <si>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</si>
  <si>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</si>
  <si>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</si>
  <si>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</si>
  <si>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</si>
  <si>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</si>
  <si>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</si>
  <si>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</si>
  <si>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</si>
  <si>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</si>
  <si>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</si>
  <si>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</si>
  <si>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</si>
  <si>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</si>
  <si>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</si>
  <si>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</si>
  <si>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</si>
  <si>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</si>
  <si>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</si>
  <si>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</si>
  <si>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</si>
  <si>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</si>
  <si>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</si>
  <si>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</si>
  <si>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</si>
  <si>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</si>
  <si>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</si>
  <si>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</si>
  <si>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</si>
  <si>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</si>
  <si>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</si>
  <si>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</si>
  <si>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</si>
  <si>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</si>
  <si>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</si>
  <si>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</si>
  <si>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</si>
  <si>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</si>
  <si>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</si>
  <si>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</si>
  <si>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</si>
  <si>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</si>
  <si>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</si>
  <si>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</si>
  <si>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</si>
  <si>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</si>
  <si>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</si>
  <si>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</si>
  <si>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</si>
  <si>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</si>
  <si>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</si>
  <si>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</si>
  <si>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</si>
  <si>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</si>
  <si>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</si>
  <si>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</si>
  <si>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</si>
  <si>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</si>
  <si>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</si>
  <si>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</si>
  <si>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</si>
  <si>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</si>
  <si>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</si>
  <si>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</si>
  <si>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</si>
  <si>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</si>
  <si>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</si>
  <si>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</si>
  <si>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</si>
  <si>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</si>
  <si>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</si>
  <si>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</si>
  <si>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</si>
  <si>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</si>
  <si>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</si>
  <si>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</si>
  <si>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</si>
  <si>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</si>
  <si>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</si>
  <si>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</si>
  <si>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</si>
  <si>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</si>
  <si>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</si>
  <si>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</si>
  <si>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</si>
  <si>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</si>
  <si>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</si>
  <si>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</si>
  <si>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</si>
  <si>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</si>
  <si>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</si>
  <si>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</si>
  <si>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</si>
  <si>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</si>
  <si>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</si>
  <si>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</si>
  <si>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</si>
  <si>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</si>
  <si>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</si>
  <si>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</si>
  <si>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</si>
  <si>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</si>
  <si>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</si>
  <si>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</si>
  <si>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</si>
  <si>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</si>
  <si>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</si>
  <si>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</si>
  <si>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</si>
  <si>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</si>
  <si>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</si>
  <si>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</si>
  <si>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</si>
  <si>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</si>
  <si>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</si>
  <si>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</si>
  <si>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</si>
  <si>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</si>
  <si>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</si>
  <si>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</si>
  <si>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</si>
  <si>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</si>
  <si>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</si>
  <si>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</si>
  <si>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</si>
  <si>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</si>
  <si>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</si>
  <si>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</si>
  <si>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</si>
  <si>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</si>
  <si>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</si>
  <si>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</si>
  <si>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</si>
  <si>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</si>
  <si>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</si>
  <si>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</si>
  <si>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</si>
  <si>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</si>
  <si>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</si>
  <si>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</si>
  <si>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</si>
  <si>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</si>
  <si>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</si>
  <si>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</si>
  <si>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</si>
  <si>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</si>
  <si>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</si>
  <si>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</si>
  <si>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</si>
  <si>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</si>
  <si>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</si>
  <si>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</si>
  <si>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</si>
  <si>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</si>
  <si>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</si>
  <si>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</si>
  <si>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</si>
  <si>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</si>
  <si>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</si>
  <si>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</si>
  <si>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</si>
  <si>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</si>
  <si>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</si>
  <si>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</si>
  <si>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</si>
  <si>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</si>
  <si>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</si>
  <si>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</si>
  <si>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</si>
  <si>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</si>
  <si>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</si>
  <si>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</si>
  <si>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</si>
  <si>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</si>
  <si>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</si>
  <si>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</si>
  <si>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</si>
  <si>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</si>
  <si>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</si>
  <si>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</si>
  <si>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</si>
  <si>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</si>
  <si>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</si>
  <si>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</si>
  <si>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</si>
  <si>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</si>
  <si>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</si>
  <si>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</si>
  <si>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</si>
  <si>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</si>
  <si>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</si>
  <si>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</si>
  <si>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</si>
  <si>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</si>
  <si>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</si>
  <si>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</si>
  <si>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</si>
  <si>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</si>
  <si>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</si>
  <si>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</si>
  <si>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</si>
  <si>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</si>
  <si>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</si>
  <si>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</si>
  <si>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</si>
  <si>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</si>
  <si>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</si>
  <si>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</si>
  <si>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</si>
  <si>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</si>
  <si>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</si>
  <si>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</si>
  <si>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</si>
  <si>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</si>
  <si>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</si>
  <si>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</si>
  <si>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</si>
  <si>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</si>
  <si>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</si>
  <si>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</si>
  <si>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</si>
  <si>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</si>
  <si>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</si>
  <si>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</si>
  <si>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</si>
  <si>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</si>
  <si>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</si>
  <si>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</si>
  <si>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</si>
  <si>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</si>
  <si>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</si>
  <si>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</si>
  <si>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</si>
  <si>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</si>
  <si>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</si>
  <si>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</si>
  <si>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</si>
  <si>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</si>
  <si>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</si>
  <si>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</si>
  <si>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</si>
  <si>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</si>
  <si>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</si>
  <si>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</si>
  <si>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</si>
  <si>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</si>
  <si>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</si>
  <si>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</si>
  <si>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</si>
  <si>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</si>
  <si>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</si>
  <si>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</si>
  <si>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</si>
  <si>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</si>
  <si>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</si>
  <si>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</si>
  <si>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</si>
  <si>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</si>
  <si>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</si>
  <si>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</si>
  <si>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</si>
  <si>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</si>
  <si>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</si>
  <si>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</si>
  <si>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</si>
  <si>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</si>
  <si>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</si>
  <si>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</si>
  <si>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</si>
  <si>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</si>
  <si>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</si>
  <si>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</si>
  <si>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</si>
  <si>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</si>
  <si>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</si>
  <si>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</si>
  <si>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</si>
  <si>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</si>
  <si>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</si>
  <si>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</si>
  <si>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</si>
  <si>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</si>
  <si>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</si>
  <si>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</si>
  <si>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</si>
  <si>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</si>
  <si>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</si>
  <si>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</si>
  <si>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</si>
  <si>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</si>
  <si>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</si>
  <si>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</si>
  <si>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</si>
  <si>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</si>
  <si>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</si>
  <si>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</si>
  <si>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</si>
  <si>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</si>
  <si>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</si>
  <si>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</si>
  <si>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</si>
  <si>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</si>
  <si>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</si>
  <si>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</si>
  <si>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</si>
  <si>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</si>
  <si>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</si>
  <si>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</si>
  <si>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</si>
  <si>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</si>
  <si>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</si>
  <si>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</si>
  <si>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</si>
  <si>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</si>
  <si>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</si>
  <si>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</si>
  <si>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</si>
  <si>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</si>
  <si>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</si>
  <si>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</si>
  <si>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</si>
  <si>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</si>
  <si>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</si>
  <si>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</si>
  <si>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</si>
  <si>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</si>
  <si>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</si>
  <si>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</si>
  <si>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</si>
  <si>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</si>
  <si>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</si>
  <si>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</si>
  <si>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</si>
  <si>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</si>
  <si>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</si>
  <si>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</si>
  <si>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</si>
  <si>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</si>
  <si>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</si>
  <si>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</si>
  <si>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</si>
  <si>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</si>
  <si>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</si>
  <si>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</si>
  <si>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</si>
  <si>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</si>
  <si>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</si>
  <si>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</si>
  <si>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</si>
  <si>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</si>
  <si>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</si>
  <si>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</si>
  <si>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</si>
  <si>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</si>
  <si>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</si>
  <si>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</si>
  <si>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</si>
  <si>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</si>
  <si>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</si>
  <si>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</si>
  <si>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</si>
  <si>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</si>
  <si>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</si>
  <si>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</si>
  <si>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</si>
  <si>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</si>
  <si>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</si>
  <si>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</si>
  <si>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</si>
  <si>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</si>
  <si>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</si>
  <si>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</si>
  <si>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</si>
  <si>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</si>
  <si>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</si>
  <si>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</si>
  <si>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</si>
  <si>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</si>
  <si>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</si>
  <si>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</si>
  <si>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</si>
  <si>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</si>
  <si>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</si>
  <si>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</si>
  <si>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</si>
  <si>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</si>
  <si>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</si>
  <si>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</si>
  <si>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</si>
  <si>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</si>
  <si>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</si>
  <si>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</si>
  <si>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</si>
  <si>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</si>
  <si>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</si>
  <si>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</si>
  <si>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</si>
  <si>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</si>
  <si>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</si>
  <si>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</si>
  <si>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</si>
  <si>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</si>
  <si>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</si>
  <si>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</si>
  <si>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</si>
  <si>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</si>
  <si>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</si>
  <si>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</si>
  <si>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</si>
  <si>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</si>
  <si>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</si>
  <si>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</si>
  <si>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</si>
  <si>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</si>
  <si>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</si>
  <si>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</si>
  <si>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</si>
  <si>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</si>
  <si>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</si>
  <si>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</si>
  <si>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</si>
  <si>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</si>
  <si>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</si>
  <si>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</si>
  <si>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</si>
  <si>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</si>
  <si>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</si>
  <si>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</si>
  <si>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</si>
  <si>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</si>
  <si>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</si>
  <si>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</si>
  <si>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</si>
  <si>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</si>
  <si>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</si>
  <si>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</si>
  <si>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</si>
  <si>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</si>
  <si>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</si>
  <si>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</si>
  <si>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</si>
  <si>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</si>
  <si>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</si>
  <si>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</si>
  <si>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</si>
  <si>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</si>
  <si>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</si>
  <si>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</si>
  <si>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</si>
  <si>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</si>
  <si>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</si>
  <si>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</si>
  <si>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</si>
  <si>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</si>
  <si>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</si>
  <si>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</si>
  <si>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</si>
  <si>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</si>
  <si>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</si>
  <si>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</si>
  <si>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</si>
  <si>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</si>
  <si>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</si>
  <si>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</si>
  <si>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</si>
  <si>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</si>
  <si>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</si>
  <si>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</si>
  <si>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</si>
  <si>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</si>
  <si>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</si>
  <si>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</si>
  <si>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</si>
  <si>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</si>
  <si>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</si>
  <si>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</si>
  <si>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</si>
  <si>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</si>
  <si>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</si>
  <si>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</si>
  <si>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</si>
  <si>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</si>
  <si>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</si>
  <si>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</si>
  <si>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</si>
  <si>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</si>
  <si>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</si>
  <si>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</si>
  <si>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</si>
  <si>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</si>
  <si>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</si>
  <si>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</si>
  <si>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</si>
  <si>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</si>
  <si>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</si>
  <si>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</si>
  <si>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</si>
  <si>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</si>
  <si>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</si>
  <si>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</si>
  <si>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</si>
  <si>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</si>
  <si>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</si>
  <si>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</si>
  <si>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</si>
  <si>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</si>
  <si>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</si>
  <si>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</si>
  <si>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</si>
  <si>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</si>
  <si>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</si>
  <si>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</si>
  <si>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</si>
  <si>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</si>
  <si>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</si>
  <si>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</si>
  <si>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</si>
  <si>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</si>
  <si>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</si>
  <si>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</si>
  <si>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</si>
  <si>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</si>
  <si>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</si>
  <si>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</si>
  <si>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</si>
  <si>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</si>
  <si>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</si>
  <si>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</si>
  <si>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</si>
  <si>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</si>
  <si>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</si>
  <si>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</si>
  <si>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</si>
  <si>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</si>
  <si>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</si>
  <si>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</si>
  <si>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</si>
  <si>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</si>
  <si>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</si>
  <si>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</si>
  <si>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</si>
  <si>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</si>
  <si>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</si>
  <si>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</si>
  <si>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</si>
  <si>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</si>
  <si>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</si>
  <si>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</si>
  <si>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</si>
  <si>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</si>
  <si>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</si>
  <si>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</si>
  <si>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</si>
  <si>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</si>
  <si>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</si>
  <si>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</si>
  <si>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</si>
  <si>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</si>
  <si>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</si>
  <si>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</si>
  <si>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</si>
  <si>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</si>
  <si>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</si>
  <si>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</si>
  <si>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</si>
  <si>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</si>
  <si>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</si>
  <si>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</si>
  <si>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</si>
  <si>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</si>
  <si>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</si>
  <si>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</si>
  <si>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</si>
  <si>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</si>
  <si>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</si>
  <si>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</si>
  <si>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</si>
  <si>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</si>
  <si>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</si>
  <si>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</si>
  <si>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</si>
  <si>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</si>
  <si>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</si>
  <si>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</si>
  <si>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</si>
  <si>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</si>
  <si>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</si>
  <si>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</si>
  <si>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</si>
  <si>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</si>
  <si>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</si>
  <si>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</si>
  <si>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</si>
  <si>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</si>
  <si>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</si>
  <si>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</si>
  <si>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</si>
  <si>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</si>
  <si>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</si>
  <si>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</si>
  <si>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</si>
  <si>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</si>
  <si>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</si>
  <si>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</si>
  <si>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</si>
  <si>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</si>
  <si>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</si>
  <si>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</si>
  <si>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</si>
  <si>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</si>
  <si>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</si>
  <si>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</si>
  <si>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</si>
  <si>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</si>
  <si>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</si>
  <si>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</si>
  <si>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</si>
  <si>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</si>
  <si>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</si>
  <si>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</si>
  <si>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</si>
  <si>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</si>
  <si>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</si>
  <si>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</si>
  <si>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</si>
  <si>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</si>
  <si>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</si>
  <si>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</si>
  <si>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</si>
  <si>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</si>
  <si>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</si>
  <si>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</si>
  <si>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</si>
  <si>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</si>
  <si>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</si>
  <si>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</si>
  <si>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</si>
  <si>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</si>
  <si>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</si>
  <si>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</si>
  <si>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</si>
  <si>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</si>
  <si>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</si>
  <si>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</si>
  <si>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</si>
  <si>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</si>
  <si>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</si>
  <si>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</si>
  <si>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</si>
  <si>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</si>
  <si>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</si>
  <si>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</si>
  <si>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</si>
  <si>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</si>
  <si>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</si>
  <si>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</si>
  <si>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</si>
  <si>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</si>
  <si>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</si>
  <si>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</si>
  <si>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</si>
  <si>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</si>
  <si>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</si>
  <si>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</si>
  <si>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</si>
  <si>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</si>
  <si>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</si>
  <si>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</si>
  <si>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</si>
  <si>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</si>
  <si>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</si>
  <si>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</si>
  <si>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</si>
  <si>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</si>
  <si>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</si>
  <si>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</si>
  <si>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</si>
  <si>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</si>
  <si>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</si>
  <si>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</si>
  <si>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</si>
  <si>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</si>
  <si>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</si>
  <si>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</si>
  <si>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</si>
  <si>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</si>
  <si>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</si>
  <si>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</si>
  <si>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</si>
  <si>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</si>
  <si>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</si>
  <si>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</si>
  <si>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</si>
  <si>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</si>
  <si>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</si>
  <si>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</si>
  <si>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</si>
  <si>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</si>
  <si>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</si>
  <si>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</si>
  <si>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</si>
  <si>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</si>
  <si>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</si>
  <si>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</si>
  <si>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</si>
  <si>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</si>
  <si>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</si>
  <si>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</si>
  <si>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</si>
  <si>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</si>
  <si>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</si>
  <si>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</si>
  <si>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</si>
  <si>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</si>
  <si>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</si>
  <si>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</si>
  <si>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</si>
  <si>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</si>
  <si>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</si>
  <si>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</si>
  <si>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</si>
  <si>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</si>
  <si>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</si>
  <si>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</si>
  <si>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</si>
  <si>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</si>
  <si>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</si>
  <si>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</si>
  <si>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</si>
  <si>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</si>
  <si>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</si>
  <si>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</si>
  <si>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</si>
  <si>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</si>
  <si>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</si>
  <si>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</si>
  <si>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</si>
  <si>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</si>
  <si>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</si>
  <si>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</si>
  <si>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</si>
  <si>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</si>
  <si>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</si>
  <si>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</si>
  <si>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</si>
  <si>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</si>
  <si>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</si>
  <si>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</si>
  <si>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</si>
  <si>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</si>
  <si>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</si>
  <si>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</si>
  <si>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</si>
  <si>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</si>
  <si>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</si>
  <si>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</si>
  <si>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</si>
  <si>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</si>
  <si>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</si>
  <si>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</si>
  <si>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</si>
  <si>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</si>
  <si>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</si>
  <si>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</si>
  <si>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</si>
  <si>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</si>
  <si>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</si>
  <si>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</si>
  <si>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</si>
  <si>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</si>
  <si>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</si>
  <si>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</si>
  <si>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</si>
  <si>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</si>
  <si>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</si>
  <si>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</si>
  <si>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</si>
  <si>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</si>
  <si>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</si>
  <si>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</si>
  <si>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</si>
  <si>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</si>
  <si>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</si>
  <si>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</si>
  <si>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</si>
  <si>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</si>
  <si>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</si>
  <si>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</si>
  <si>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</si>
  <si>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</si>
  <si>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</si>
  <si>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</si>
  <si>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</si>
  <si>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</si>
  <si>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</si>
  <si>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</si>
  <si>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</si>
  <si>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</si>
  <si>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</si>
  <si>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</si>
  <si>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</si>
  <si>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</si>
  <si>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</si>
  <si>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</si>
  <si>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</si>
  <si>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</si>
  <si>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</si>
  <si>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</si>
  <si>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</si>
  <si>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</si>
  <si>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</si>
  <si>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</si>
  <si>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</si>
  <si>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</si>
  <si>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</si>
  <si>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</si>
  <si>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</si>
  <si>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</si>
  <si>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</si>
  <si>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</si>
  <si>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</si>
  <si>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</si>
  <si>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</si>
  <si>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</si>
  <si>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</si>
  <si>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</si>
  <si>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</si>
  <si>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</si>
  <si>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</si>
  <si>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</si>
  <si>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</si>
  <si>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</si>
  <si>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</si>
  <si>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</si>
  <si>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</si>
  <si>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</si>
  <si>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</si>
  <si>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</si>
  <si>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</si>
  <si>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</si>
  <si>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</si>
  <si>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</si>
  <si>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</si>
  <si>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</si>
  <si>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</si>
  <si>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</si>
  <si>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</si>
  <si>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</si>
  <si>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</si>
  <si>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</si>
  <si>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</si>
  <si>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</si>
  <si>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</si>
  <si>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</si>
  <si>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</si>
  <si>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</si>
  <si>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</si>
  <si>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</si>
  <si>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</si>
  <si>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</si>
  <si>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</si>
  <si>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</si>
  <si>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</si>
  <si>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</si>
  <si>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</si>
  <si>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</si>
  <si>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</si>
  <si>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</si>
  <si>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</si>
  <si>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</si>
  <si>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</si>
  <si>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</si>
  <si>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</si>
  <si>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</si>
  <si>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</si>
  <si>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</si>
  <si>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</si>
  <si>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</si>
  <si>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</si>
  <si>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</si>
  <si>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</si>
  <si>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</si>
  <si>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</si>
  <si>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</si>
  <si>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</si>
  <si>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</si>
  <si>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</si>
  <si>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</si>
  <si>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</si>
  <si>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</si>
  <si>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</si>
  <si>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</si>
  <si>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</si>
  <si>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</si>
  <si>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</si>
  <si>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</si>
  <si>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</si>
  <si>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</si>
  <si>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</si>
  <si>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</si>
  <si>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</si>
  <si>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</si>
  <si>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</si>
  <si>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</si>
  <si>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</si>
  <si>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</si>
  <si>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</si>
  <si>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</si>
  <si>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</si>
  <si>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</si>
  <si>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</si>
  <si>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</si>
  <si>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</si>
  <si>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</si>
  <si>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</si>
  <si>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</si>
  <si>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</si>
  <si>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</si>
  <si>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</si>
  <si>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</si>
  <si>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</si>
  <si>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</si>
  <si>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</si>
  <si>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</si>
  <si>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</si>
  <si>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</si>
  <si>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</si>
  <si>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</si>
  <si>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</si>
  <si>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</si>
  <si>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</si>
  <si>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</si>
  <si>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</si>
  <si>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</si>
  <si>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</si>
  <si>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</si>
  <si>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</si>
  <si>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</si>
  <si>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</si>
  <si>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</si>
  <si>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</si>
  <si>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</si>
  <si>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</si>
  <si>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</si>
  <si>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</si>
  <si>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</si>
  <si>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</si>
  <si>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</si>
  <si>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</si>
  <si>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</si>
  <si>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</si>
  <si>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</si>
  <si>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</si>
  <si>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</si>
  <si>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</si>
  <si>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</si>
  <si>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</si>
  <si>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</si>
  <si>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</si>
  <si>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</si>
  <si>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</si>
  <si>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</si>
  <si>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</si>
  <si>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</si>
  <si>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</si>
  <si>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</si>
  <si>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</si>
  <si>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</si>
  <si>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</si>
  <si>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</si>
  <si>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</si>
  <si>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</si>
  <si>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</si>
  <si>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</si>
  <si>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</si>
  <si>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</si>
  <si>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</si>
  <si>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</si>
  <si>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</si>
  <si>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</si>
  <si>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</si>
  <si>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</si>
  <si>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</si>
  <si>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</si>
  <si>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</si>
  <si>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</si>
  <si>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</si>
  <si>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</si>
  <si>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</si>
  <si>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</si>
  <si>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</si>
  <si>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</si>
  <si>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</si>
  <si>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</si>
  <si>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</si>
  <si>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</si>
  <si>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</si>
  <si>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</si>
  <si>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</si>
  <si>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</si>
  <si>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</si>
  <si>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</si>
  <si>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</si>
  <si>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</si>
  <si>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</si>
  <si>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</si>
  <si>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</si>
  <si>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</si>
  <si>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</si>
  <si>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</si>
  <si>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</si>
  <si>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</si>
  <si>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</si>
  <si>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</si>
  <si>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</si>
  <si>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</si>
  <si>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</si>
  <si>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</si>
  <si>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</si>
  <si>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</si>
  <si>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</si>
  <si>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</si>
  <si>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</si>
  <si>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</si>
  <si>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</si>
  <si>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</si>
  <si>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</si>
  <si>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</si>
  <si>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</si>
  <si>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</si>
  <si>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</si>
  <si>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</si>
  <si>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</si>
  <si>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</si>
  <si>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</si>
  <si>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</si>
  <si>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</si>
  <si>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</si>
  <si>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</si>
  <si>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</si>
  <si>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</si>
  <si>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</si>
  <si>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</si>
  <si>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</si>
  <si>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</si>
  <si>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</si>
  <si>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</si>
  <si>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</si>
  <si>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</si>
  <si>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</si>
  <si>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</si>
  <si>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</si>
  <si>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</si>
  <si>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</si>
  <si>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</si>
  <si>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</si>
  <si>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</si>
  <si>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</si>
  <si>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</si>
  <si>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</si>
  <si>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</si>
  <si>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</si>
  <si>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</si>
  <si>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</si>
  <si>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</si>
  <si>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</si>
  <si>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</si>
  <si>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</si>
  <si>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</si>
  <si>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</si>
  <si>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</si>
  <si>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</si>
  <si>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</si>
  <si>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</si>
  <si>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</si>
  <si>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</si>
  <si>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</si>
  <si>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</si>
  <si>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</si>
  <si>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</si>
  <si>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</si>
  <si>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</si>
  <si>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</si>
  <si>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</si>
  <si>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</si>
  <si>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</si>
  <si>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</si>
  <si>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</si>
  <si>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</si>
  <si>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</si>
  <si>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</si>
  <si>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</si>
  <si>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</si>
  <si>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</si>
  <si>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</si>
  <si>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</si>
  <si>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</si>
  <si>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</si>
  <si>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</si>
  <si>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</si>
  <si>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</si>
  <si>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</si>
  <si>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</si>
  <si>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</si>
  <si>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</si>
  <si>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</si>
  <si>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</si>
  <si>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</si>
  <si>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</si>
  <si>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</si>
  <si>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</si>
  <si>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</si>
  <si>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</si>
  <si>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</si>
  <si>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</si>
  <si>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</si>
  <si>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</si>
  <si>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</si>
  <si>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</si>
  <si>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</si>
  <si>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</si>
  <si>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</si>
  <si>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</si>
  <si>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</si>
  <si>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</si>
  <si>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</si>
  <si>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</si>
  <si>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</si>
  <si>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</si>
  <si>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</si>
  <si>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</si>
  <si>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</si>
  <si>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</si>
  <si>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</si>
  <si>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</si>
  <si>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</si>
  <si>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</si>
  <si>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</si>
  <si>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</si>
  <si>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</si>
  <si>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</si>
  <si>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</si>
  <si>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</si>
  <si>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</si>
  <si>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</si>
  <si>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</si>
  <si>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</si>
  <si>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</si>
  <si>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</si>
  <si>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</si>
  <si>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</si>
  <si>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</si>
  <si>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</si>
  <si>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</si>
  <si>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</si>
  <si>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</si>
  <si>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</si>
  <si>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</si>
  <si>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</si>
  <si>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</si>
  <si>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</si>
  <si>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</si>
  <si>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</si>
  <si>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</si>
  <si>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</si>
  <si>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</si>
  <si>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</si>
  <si>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</si>
  <si>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</si>
  <si>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</si>
  <si>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</si>
  <si>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</si>
  <si>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</si>
  <si>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</si>
  <si>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</si>
  <si>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</si>
  <si>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</si>
  <si>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</si>
  <si>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</si>
  <si>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</si>
  <si>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</si>
  <si>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</si>
  <si>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</si>
  <si>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</si>
  <si>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</si>
  <si>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</si>
  <si>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</si>
  <si>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</si>
  <si>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</si>
  <si>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</si>
  <si>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</si>
  <si>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</si>
  <si>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</si>
  <si>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</si>
  <si>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</si>
  <si>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</si>
  <si>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</si>
  <si>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</si>
  <si>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</si>
  <si>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</si>
  <si>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</si>
  <si>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</si>
  <si>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</si>
  <si>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</si>
  <si>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</si>
  <si>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</si>
  <si>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</si>
  <si>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</si>
  <si>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</si>
  <si>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</si>
  <si>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</si>
  <si>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</si>
  <si>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</si>
  <si>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</si>
  <si>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</si>
  <si>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</si>
  <si>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</si>
  <si>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</si>
  <si>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</si>
  <si>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</si>
  <si>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</si>
  <si>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</si>
  <si>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</si>
  <si>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</si>
  <si>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</si>
  <si>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</si>
  <si>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</si>
  <si>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</si>
  <si>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</si>
  <si>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</si>
  <si>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</si>
  <si>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</si>
  <si>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</si>
  <si>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</si>
  <si>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</si>
  <si>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</si>
  <si>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</si>
  <si>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</si>
  <si>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</si>
  <si>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</si>
  <si>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</si>
  <si>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</si>
  <si>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</si>
  <si>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</si>
  <si>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</si>
  <si>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</si>
  <si>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</si>
  <si>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</si>
  <si>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</si>
  <si>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</si>
  <si>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</si>
  <si>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</si>
  <si>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</si>
  <si>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</si>
  <si>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</si>
  <si>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</si>
  <si>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</si>
  <si>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</si>
  <si>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</si>
  <si>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</si>
  <si>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</si>
  <si>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</si>
  <si>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</si>
  <si>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</si>
  <si>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</si>
  <si>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</si>
  <si>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</si>
  <si>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</si>
  <si>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</si>
  <si>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</si>
  <si>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</si>
  <si>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</si>
  <si>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</si>
  <si>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</si>
  <si>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</si>
  <si>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</si>
  <si>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</si>
  <si>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</si>
  <si>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</si>
  <si>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</si>
  <si>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</si>
  <si>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</si>
  <si>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</si>
  <si>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</si>
  <si>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</si>
  <si>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</si>
  <si>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</si>
  <si>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</si>
  <si>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</si>
  <si>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</si>
  <si>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</si>
  <si>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</si>
  <si>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</si>
  <si>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</si>
  <si>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</si>
  <si>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</si>
  <si>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</si>
  <si>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</si>
  <si>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</si>
  <si>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</si>
  <si>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</si>
  <si>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</si>
  <si>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</si>
  <si>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</si>
  <si>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</si>
  <si>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</si>
  <si>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</si>
  <si>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</si>
  <si>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</si>
  <si>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</si>
  <si>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</si>
  <si>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</si>
  <si>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</si>
  <si>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</si>
  <si>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</si>
  <si>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</si>
  <si>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</si>
  <si>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</si>
  <si>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</si>
  <si>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</si>
  <si>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</si>
  <si>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</si>
  <si>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</si>
  <si>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</si>
  <si>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</si>
  <si>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</si>
  <si>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</si>
  <si>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</si>
  <si>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</si>
  <si>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</si>
  <si>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</si>
  <si>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</si>
  <si>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</si>
  <si>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</si>
  <si>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</si>
  <si>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</si>
  <si>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</si>
  <si>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</si>
  <si>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</si>
  <si>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</si>
  <si>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</si>
  <si>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</si>
  <si>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</si>
  <si>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</si>
  <si>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</si>
  <si>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</si>
  <si>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</si>
  <si>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</si>
  <si>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</si>
  <si>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</si>
  <si>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</si>
  <si>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</si>
  <si>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</si>
  <si>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</si>
  <si>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</si>
  <si>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</si>
  <si>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</si>
  <si>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</si>
  <si>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</si>
  <si>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</si>
  <si>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</si>
  <si>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</si>
  <si>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</si>
  <si>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</si>
  <si>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</si>
  <si>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</si>
  <si>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</si>
  <si>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</si>
  <si>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</si>
  <si>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</si>
  <si>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</si>
  <si>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</si>
  <si>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</si>
  <si>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</si>
  <si>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</si>
  <si>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</si>
  <si>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</si>
  <si>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</si>
  <si>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</si>
  <si>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</si>
  <si>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</si>
  <si>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</si>
  <si>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</si>
  <si>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</si>
  <si>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</si>
  <si>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</si>
  <si>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</si>
  <si>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</si>
  <si>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</si>
  <si>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</si>
  <si>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</si>
  <si>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</si>
  <si>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</si>
  <si>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</si>
  <si>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</si>
  <si>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</si>
  <si>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</si>
  <si>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</si>
  <si>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</si>
  <si>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</si>
  <si>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</si>
  <si>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</si>
  <si>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</si>
  <si>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</si>
  <si>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</si>
  <si>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</si>
  <si>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</si>
  <si>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</si>
  <si>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</si>
  <si>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</si>
  <si>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</si>
  <si>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</si>
  <si>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</si>
  <si>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</si>
  <si>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</si>
  <si>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</si>
  <si>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</si>
  <si>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</si>
  <si>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</si>
  <si>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</si>
  <si>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</si>
  <si>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</si>
  <si>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</si>
  <si>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</si>
  <si>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</si>
  <si>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</si>
  <si>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</si>
  <si>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</si>
  <si>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</si>
  <si>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</si>
  <si>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</si>
  <si>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</si>
  <si>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</si>
  <si>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</si>
  <si>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</si>
  <si>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</si>
  <si>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</si>
  <si>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</si>
  <si>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</si>
  <si>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</si>
  <si>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</si>
  <si>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</si>
  <si>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</si>
  <si>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</si>
  <si>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</si>
  <si>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</si>
  <si>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</si>
  <si>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</si>
  <si>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</si>
  <si>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</si>
  <si>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</si>
  <si>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</si>
  <si>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</si>
  <si>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</si>
  <si>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</si>
  <si>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</si>
  <si>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</si>
  <si>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</si>
  <si>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</si>
  <si>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</si>
  <si>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</si>
  <si>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</si>
  <si>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</si>
  <si>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</si>
  <si>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</si>
  <si>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</si>
  <si>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</si>
  <si>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</si>
  <si>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</si>
  <si>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</si>
  <si>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</si>
  <si>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</si>
  <si>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</si>
  <si>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</si>
  <si>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</si>
  <si>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</si>
  <si>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</si>
  <si>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</si>
  <si>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</si>
  <si>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</si>
  <si>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</si>
  <si>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</si>
  <si>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</si>
  <si>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</si>
  <si>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</si>
  <si>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</si>
  <si>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</si>
  <si>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</si>
  <si>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</si>
  <si>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</si>
  <si>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</si>
  <si>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</si>
  <si>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</si>
  <si>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</si>
  <si>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</si>
  <si>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</si>
  <si>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</si>
  <si>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</si>
  <si>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</si>
  <si>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</si>
  <si>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</si>
  <si>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</si>
  <si>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</si>
  <si>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</si>
  <si>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</si>
  <si>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</si>
  <si>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</si>
  <si>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</si>
  <si>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</si>
  <si>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</si>
  <si>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</si>
  <si>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</si>
  <si>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</si>
  <si>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</si>
  <si>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</si>
  <si>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</si>
  <si>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</si>
  <si>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</si>
  <si>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</si>
  <si>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</si>
  <si>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</si>
  <si>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</si>
  <si>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</si>
  <si>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</si>
  <si>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</si>
  <si>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</si>
  <si>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</si>
  <si>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</si>
  <si>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</si>
  <si>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</si>
  <si>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</si>
  <si>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</si>
  <si>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</si>
  <si>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</si>
  <si>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</si>
  <si>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</si>
  <si>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</si>
  <si>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</si>
  <si>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</si>
  <si>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</si>
  <si>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</si>
  <si>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</si>
  <si>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</si>
  <si>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</si>
  <si>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</si>
  <si>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</si>
  <si>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</si>
  <si>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</si>
  <si>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</si>
  <si>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</si>
  <si>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</si>
  <si>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</si>
  <si>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</si>
  <si>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</si>
  <si>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</si>
  <si>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</si>
  <si>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</si>
  <si>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</si>
  <si>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</si>
  <si>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</si>
  <si>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</si>
  <si>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</si>
  <si>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</si>
  <si>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</si>
  <si>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</si>
  <si>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</si>
  <si>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</si>
  <si>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</si>
  <si>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</si>
  <si>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</si>
  <si>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</si>
  <si>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</si>
  <si>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</si>
  <si>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</si>
  <si>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</si>
  <si>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</si>
  <si>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</si>
  <si>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</si>
  <si>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</si>
  <si>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</si>
  <si>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</si>
  <si>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</si>
  <si>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</si>
  <si>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</si>
  <si>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</si>
  <si>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</si>
  <si>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</si>
  <si>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</si>
  <si>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</si>
  <si>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</si>
  <si>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</si>
  <si>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</si>
  <si>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</si>
  <si>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</si>
  <si>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</si>
  <si>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</si>
  <si>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</si>
  <si>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</si>
  <si>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</si>
  <si>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</si>
  <si>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</si>
  <si>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</si>
  <si>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</si>
  <si>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</si>
  <si>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</si>
  <si>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</si>
  <si>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</si>
  <si>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</si>
  <si>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</si>
  <si>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</si>
  <si>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</si>
  <si>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</si>
  <si>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</si>
  <si>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</si>
  <si>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</si>
  <si>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</si>
  <si>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</si>
  <si>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</si>
  <si>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</si>
  <si>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</si>
  <si>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</si>
  <si>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</si>
  <si>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</si>
  <si>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</si>
  <si>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</si>
  <si>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</si>
  <si>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</si>
  <si>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</si>
  <si>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</si>
  <si>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</si>
  <si>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</si>
  <si>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</si>
  <si>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</si>
  <si>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</si>
  <si>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</si>
  <si>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</si>
  <si>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</si>
  <si>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</si>
  <si>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</si>
  <si>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</si>
  <si>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</si>
  <si>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</si>
  <si>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</si>
  <si>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</si>
  <si>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</si>
  <si>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</si>
  <si>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</si>
  <si>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</si>
  <si>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</si>
  <si>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</si>
  <si>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</si>
  <si>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</si>
  <si>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</si>
  <si>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</si>
  <si>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</si>
  <si>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</si>
  <si>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</si>
  <si>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</si>
  <si>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</si>
  <si>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</si>
  <si>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</si>
  <si>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</si>
  <si>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</si>
  <si>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</si>
  <si>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</si>
  <si>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</si>
  <si>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</si>
  <si>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</si>
  <si>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</si>
  <si>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</si>
  <si>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</si>
  <si>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</si>
  <si>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</si>
  <si>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</si>
  <si>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</si>
  <si>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</si>
  <si>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</si>
  <si>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</si>
  <si>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</si>
  <si>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</si>
  <si>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</si>
  <si>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</si>
  <si>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</si>
  <si>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</si>
  <si>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</si>
  <si>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</si>
  <si>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</si>
  <si>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</si>
  <si>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</si>
  <si>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</si>
  <si>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</si>
  <si>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</si>
  <si>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</si>
  <si>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</si>
  <si>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</si>
  <si>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</si>
  <si>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</si>
  <si>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</si>
  <si>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</si>
  <si>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</si>
  <si>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</si>
  <si>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</si>
  <si>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</si>
  <si>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</si>
  <si>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</si>
  <si>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</si>
  <si>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</si>
  <si>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</si>
  <si>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</si>
  <si>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</si>
  <si>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</si>
  <si>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</si>
  <si>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</si>
  <si>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</si>
  <si>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</si>
  <si>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</si>
  <si>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</si>
  <si>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</si>
  <si>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</si>
  <si>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</si>
  <si>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</si>
  <si>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</si>
  <si>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</si>
  <si>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</si>
  <si>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</si>
  <si>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</si>
  <si>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</si>
  <si>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</si>
  <si>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</si>
  <si>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</si>
  <si>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</si>
  <si>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</si>
  <si>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</si>
  <si>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</si>
  <si>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</si>
  <si>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</si>
  <si>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</si>
  <si>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</si>
  <si>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</si>
  <si>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</si>
  <si>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</si>
  <si>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</si>
  <si>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</si>
  <si>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</si>
  <si>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</si>
  <si>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</si>
  <si>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</si>
  <si>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</si>
  <si>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</si>
  <si>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</si>
  <si>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</si>
  <si>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</si>
  <si>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</si>
  <si>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</si>
  <si>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</si>
  <si>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</si>
  <si>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</si>
  <si>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</si>
  <si>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</si>
  <si>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</si>
  <si>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</si>
  <si>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</si>
  <si>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</si>
  <si>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</si>
  <si>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</si>
  <si>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</si>
  <si>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</si>
  <si>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</si>
  <si>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</si>
  <si>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</si>
  <si>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</si>
  <si>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</si>
  <si>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</si>
  <si>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</si>
  <si>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</si>
  <si>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</si>
  <si>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</si>
  <si>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</si>
  <si>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</si>
  <si>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</si>
  <si>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</si>
  <si>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</si>
  <si>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</si>
  <si>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</si>
  <si>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</si>
  <si>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</si>
  <si>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</si>
  <si>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</si>
  <si>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</si>
  <si>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</si>
  <si>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</si>
  <si>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</si>
  <si>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</si>
  <si>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</si>
  <si>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</si>
  <si>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</si>
  <si>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</si>
  <si>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</si>
  <si>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</si>
  <si>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</si>
  <si>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</si>
  <si>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</si>
  <si>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</si>
  <si>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</si>
  <si>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</si>
  <si>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</si>
  <si>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</si>
  <si>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</si>
  <si>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</si>
  <si>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</si>
  <si>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</si>
  <si>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</si>
  <si>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</si>
  <si>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</si>
  <si>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</si>
  <si>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</si>
  <si>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</si>
  <si>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</si>
  <si>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</si>
  <si>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</si>
  <si>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</si>
  <si>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</si>
  <si>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</si>
  <si>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</si>
  <si>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</si>
  <si>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</si>
  <si>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</si>
  <si>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</si>
  <si>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</si>
  <si>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</si>
  <si>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</si>
  <si>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</si>
  <si>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</si>
  <si>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</si>
  <si>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</si>
  <si>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</si>
  <si>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</si>
  <si>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</si>
  <si>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</si>
  <si>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</si>
  <si>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</si>
  <si>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</si>
  <si>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</si>
  <si>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</si>
  <si>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</si>
  <si>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</si>
  <si>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</si>
  <si>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</si>
  <si>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</si>
  <si>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</si>
  <si>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</si>
  <si>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</si>
  <si>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</si>
  <si>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</si>
  <si>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</si>
  <si>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</si>
  <si>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</si>
  <si>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</si>
  <si>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</si>
  <si>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</si>
  <si>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</si>
  <si>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</si>
  <si>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</si>
  <si>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</si>
  <si>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</si>
  <si>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</si>
  <si>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</si>
  <si>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</si>
  <si>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</si>
  <si>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</si>
  <si>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</si>
  <si>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</si>
  <si>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</si>
  <si>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</si>
  <si>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</si>
  <si>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</si>
  <si>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</si>
  <si>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房地产抵押价值</t>
  </si>
  <si>
    <t>北京市</t>
  </si>
  <si>
    <r>
      <rPr>
        <sz val="10"/>
        <color theme="9" tint="-0.249977111117893"/>
        <rFont val="宋体"/>
        <family val="3"/>
        <charset val="134"/>
      </rPr>
      <t>丰台区四合庄路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7" type="noConversion"/>
  </si>
  <si>
    <t>通路</t>
  </si>
  <si>
    <t>通电</t>
  </si>
  <si>
    <t>通讯</t>
  </si>
  <si>
    <t>通上水</t>
  </si>
  <si>
    <t>通下水</t>
  </si>
  <si>
    <t>燃气</t>
  </si>
  <si>
    <t>现房</t>
  </si>
  <si>
    <r>
      <t>1#</t>
    </r>
    <r>
      <rPr>
        <sz val="10"/>
        <color indexed="8"/>
        <rFont val="宋体"/>
        <family val="3"/>
        <charset val="134"/>
      </rPr>
      <t>研发楼</t>
    </r>
    <phoneticPr fontId="4" type="noConversion"/>
  </si>
  <si>
    <r>
      <t>2#研发楼</t>
    </r>
    <r>
      <rPr>
        <sz val="10"/>
        <color indexed="8"/>
        <rFont val="宋体"/>
        <family val="3"/>
        <charset val="134"/>
      </rPr>
      <t/>
    </r>
  </si>
  <si>
    <r>
      <t>3#研发楼</t>
    </r>
    <r>
      <rPr>
        <sz val="10"/>
        <color indexed="8"/>
        <rFont val="宋体"/>
        <family val="3"/>
        <charset val="134"/>
      </rPr>
      <t/>
    </r>
  </si>
  <si>
    <r>
      <t>4#</t>
    </r>
    <r>
      <rPr>
        <sz val="10"/>
        <color indexed="8"/>
        <rFont val="宋体"/>
        <family val="3"/>
        <charset val="134"/>
      </rPr>
      <t>地下车库</t>
    </r>
    <phoneticPr fontId="4" type="noConversion"/>
  </si>
  <si>
    <t>地上</t>
  </si>
  <si>
    <t>公共服务</t>
  </si>
  <si>
    <t>办公楼</t>
  </si>
  <si>
    <t>地下</t>
  </si>
  <si>
    <t>研发楼</t>
    <phoneticPr fontId="4" type="noConversion"/>
  </si>
  <si>
    <t>是</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</si>
  <si>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</si>
  <si>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</si>
  <si>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</si>
  <si>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</si>
  <si>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</si>
  <si>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</si>
  <si>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</si>
  <si>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</si>
  <si>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</si>
  <si>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</si>
  <si>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</si>
  <si>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</si>
  <si>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</si>
  <si>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</si>
  <si>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</si>
  <si>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</si>
  <si>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</si>
  <si>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</si>
  <si>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成新度</t>
  </si>
  <si>
    <t>收益法</t>
  </si>
  <si>
    <t>地下</t>
    <phoneticPr fontId="8"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</si>
  <si>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</si>
  <si>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</si>
  <si>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</si>
  <si>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</si>
  <si>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</si>
  <si>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</si>
  <si>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</si>
  <si>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</si>
  <si>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</si>
  <si>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</si>
  <si>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</si>
  <si>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</si>
  <si>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</si>
  <si>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</si>
  <si>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</si>
  <si>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</si>
  <si>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</si>
  <si>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</si>
  <si>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</si>
  <si>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</si>
  <si>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</si>
  <si>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</si>
  <si>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</si>
  <si>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</si>
  <si>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</si>
  <si>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</si>
  <si>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</si>
  <si>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</si>
  <si>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</si>
  <si>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</si>
  <si>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</si>
  <si>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</si>
  <si>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</si>
  <si>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</si>
  <si>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</si>
  <si>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</si>
  <si>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</si>
  <si>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</si>
  <si>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</si>
  <si>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</si>
  <si>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</si>
  <si>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</si>
  <si>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</si>
  <si>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</si>
  <si>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</si>
  <si>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</si>
  <si>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</si>
  <si>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</si>
  <si>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</si>
  <si>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</si>
  <si>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</si>
  <si>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</si>
  <si>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</si>
  <si>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</si>
  <si>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</si>
  <si>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</si>
  <si>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</si>
  <si>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</si>
  <si>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</si>
  <si>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</si>
  <si>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</si>
  <si>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</si>
  <si>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</si>
  <si>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</si>
  <si>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</si>
  <si>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</si>
  <si>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</si>
  <si>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</si>
  <si>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</si>
  <si>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</si>
  <si>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</si>
  <si>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</si>
  <si>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</si>
  <si>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</si>
  <si>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</si>
  <si>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</si>
  <si>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</si>
  <si>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</si>
  <si>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</si>
  <si>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</si>
  <si>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</si>
  <si>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</si>
  <si>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</si>
  <si>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</si>
  <si>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</si>
  <si>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</si>
  <si>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</si>
  <si>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</si>
  <si>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</si>
  <si>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</si>
  <si>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</si>
  <si>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</si>
  <si>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</si>
  <si>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</si>
  <si>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40-50</t>
  </si>
  <si>
    <t>30-40</t>
  </si>
  <si>
    <t>20-30</t>
  </si>
  <si>
    <t>10-20</t>
  </si>
  <si>
    <t>标准写字楼</t>
  </si>
  <si>
    <t>商务楼</t>
  </si>
  <si>
    <t>精装修</t>
  </si>
  <si>
    <t>普通装修</t>
  </si>
  <si>
    <t>简单装修</t>
  </si>
  <si>
    <t>毛坯</t>
  </si>
  <si>
    <t>专业物业</t>
  </si>
  <si>
    <t>普通物业</t>
  </si>
  <si>
    <t>七通</t>
  </si>
  <si>
    <t>六通</t>
  </si>
  <si>
    <t>五通</t>
  </si>
  <si>
    <t>四通</t>
  </si>
  <si>
    <t>三通</t>
  </si>
  <si>
    <t>正常</t>
  </si>
  <si>
    <t>一般</t>
  </si>
  <si>
    <t>较好</t>
  </si>
  <si>
    <t>钢混</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</si>
  <si>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</si>
  <si>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</si>
  <si>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</si>
  <si>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</si>
  <si>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</si>
  <si>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</si>
  <si>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</si>
  <si>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</si>
  <si>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</si>
  <si>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</si>
  <si>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</si>
  <si>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</si>
  <si>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</si>
  <si>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</si>
  <si>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</si>
  <si>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</si>
  <si>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</si>
  <si>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</si>
  <si>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</si>
  <si>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</si>
  <si>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</si>
  <si>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</si>
  <si>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</si>
  <si>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</si>
  <si>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</si>
  <si>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</si>
  <si>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</si>
  <si>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</si>
  <si>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</si>
  <si>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</si>
  <si>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</si>
  <si>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</si>
  <si>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</si>
  <si>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</si>
  <si>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</si>
  <si>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</si>
  <si>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</si>
  <si>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</si>
  <si>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</si>
  <si>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</si>
  <si>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</si>
  <si>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</si>
  <si>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</si>
  <si>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</si>
  <si>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</si>
  <si>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</si>
  <si>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</si>
  <si>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</si>
  <si>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</si>
  <si>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</si>
  <si>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通州区台湖镇国际图书城东门对面，外郎营村北2号院</t>
    <phoneticPr fontId="4" type="noConversion"/>
  </si>
  <si>
    <t>通州区</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</si>
  <si>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</si>
  <si>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</si>
  <si>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</si>
  <si>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</si>
  <si>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</si>
  <si>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</si>
  <si>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</si>
  <si>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</si>
  <si>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</si>
  <si>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</si>
  <si>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</si>
  <si>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</si>
  <si>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</si>
  <si>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</si>
  <si>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</si>
  <si>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</si>
  <si>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</si>
  <si>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</si>
  <si>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</si>
  <si>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</si>
  <si>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办公</t>
    <phoneticPr fontId="4" type="noConversion"/>
  </si>
  <si>
    <t>——</t>
    <phoneticPr fontId="4" type="noConversion"/>
  </si>
  <si>
    <t>地下1层，地上1-5层，企业独栋；</t>
    <phoneticPr fontId="4" type="noConversion"/>
  </si>
  <si>
    <t>2020年</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</si>
  <si>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</si>
  <si>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</si>
  <si>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</si>
  <si>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</si>
  <si>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</si>
  <si>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</si>
  <si>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</si>
  <si>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</si>
  <si>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</si>
  <si>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</si>
  <si>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</si>
  <si>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</si>
  <si>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</si>
  <si>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</si>
  <si>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</si>
  <si>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</si>
  <si>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</si>
  <si>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</si>
  <si>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</si>
  <si>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</si>
  <si>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</si>
  <si>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</si>
  <si>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</si>
  <si>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</si>
  <si>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</si>
  <si>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</si>
  <si>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</si>
  <si>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</si>
  <si>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</si>
  <si>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</si>
  <si>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</si>
  <si>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</si>
  <si>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</si>
  <si>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</si>
  <si>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</si>
  <si>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</si>
  <si>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</si>
  <si>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</si>
  <si>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</si>
  <si>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</si>
  <si>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</si>
  <si>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</si>
  <si>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</si>
  <si>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</si>
  <si>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</si>
  <si>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</si>
  <si>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</si>
  <si>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</si>
  <si>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</si>
  <si>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</si>
  <si>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</si>
  <si>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</si>
  <si>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</si>
  <si>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</si>
  <si>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</si>
  <si>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</si>
  <si>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</si>
  <si>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</si>
  <si>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</si>
  <si>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</si>
  <si>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</si>
  <si>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</si>
  <si>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</si>
  <si>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</si>
  <si>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</si>
  <si>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</si>
  <si>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</si>
  <si>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</si>
  <si>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</si>
  <si>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</si>
  <si>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</si>
  <si>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</si>
  <si>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</si>
  <si>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</si>
  <si>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</si>
  <si>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企业</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</si>
  <si>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</si>
  <si>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</si>
  <si>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</si>
  <si>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</si>
  <si>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拍卖</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</si>
  <si>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</si>
  <si>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</si>
  <si>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石景山区</t>
    <phoneticPr fontId="4" type="noConversion"/>
  </si>
  <si>
    <t>苹果园</t>
    <phoneticPr fontId="4" type="noConversion"/>
  </si>
  <si>
    <t>石景山国投</t>
    <phoneticPr fontId="4" type="noConversion"/>
  </si>
  <si>
    <t>办公</t>
    <phoneticPr fontId="4" type="noConversion"/>
  </si>
  <si>
    <t>——</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</si>
  <si>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</si>
  <si>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</si>
  <si>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</si>
  <si>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</si>
  <si>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</si>
  <si>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</si>
  <si>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</si>
  <si>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</si>
  <si>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个人</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</si>
  <si>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</si>
  <si>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</si>
  <si>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</si>
  <si>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</si>
  <si>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大兴区</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</si>
  <si>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</si>
  <si>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</si>
  <si>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</si>
  <si>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</si>
  <si>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</si>
  <si>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2021年</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</si>
  <si>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</si>
  <si>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</si>
  <si>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</si>
  <si>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</si>
  <si>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</si>
  <si>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</si>
  <si>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</si>
  <si>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</si>
  <si>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</si>
  <si>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</si>
  <si>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</si>
  <si>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</si>
  <si>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</si>
  <si>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</si>
  <si>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朝阳区</t>
    <phoneticPr fontId="4" type="noConversion"/>
  </si>
  <si>
    <t>望京</t>
    <phoneticPr fontId="4" type="noConversion"/>
  </si>
  <si>
    <t>电子城股份</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</si>
  <si>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</si>
  <si>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</si>
  <si>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</si>
  <si>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</si>
  <si>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</si>
  <si>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</si>
  <si>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</si>
  <si>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</si>
  <si>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</si>
  <si>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</si>
  <si>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</si>
  <si>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</si>
  <si>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</si>
  <si>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</si>
  <si>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</si>
  <si>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</si>
  <si>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</si>
  <si>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</si>
  <si>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北京经济技术开发区</t>
    <phoneticPr fontId="4" type="noConversion"/>
  </si>
  <si>
    <t>亦庄</t>
    <phoneticPr fontId="4" type="noConversion"/>
  </si>
  <si>
    <t>唐山东旭</t>
    <phoneticPr fontId="4" type="noConversion"/>
  </si>
  <si>
    <t>办公（工业）</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</si>
  <si>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</si>
  <si>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</si>
  <si>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</si>
  <si>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</si>
  <si>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</si>
  <si>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</si>
  <si>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</si>
  <si>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</si>
  <si>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</si>
  <si>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</si>
  <si>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</si>
  <si>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</si>
  <si>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</si>
  <si>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</si>
  <si>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</si>
  <si>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</si>
  <si>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</si>
  <si>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</si>
  <si>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</si>
  <si>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</si>
  <si>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</si>
  <si>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</si>
  <si>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</si>
  <si>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酒仙桥</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</si>
  <si>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</si>
  <si>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</si>
  <si>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</si>
  <si>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</si>
  <si>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</si>
  <si>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</si>
  <si>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</si>
  <si>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</si>
  <si>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</si>
  <si>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</si>
  <si>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</si>
  <si>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</si>
  <si>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</si>
  <si>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</si>
  <si>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</si>
  <si>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</si>
  <si>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</si>
  <si>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</si>
  <si>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</si>
  <si>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</si>
  <si>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</si>
  <si>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</si>
  <si>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</si>
  <si>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</si>
  <si>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</si>
  <si>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</si>
  <si>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</si>
  <si>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</si>
  <si>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</si>
  <si>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</si>
  <si>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</si>
  <si>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</si>
  <si>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</si>
  <si>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</si>
  <si>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</si>
  <si>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</si>
  <si>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</si>
  <si>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</si>
  <si>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</si>
  <si>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</si>
  <si>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</si>
  <si>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厂房（办公）</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</si>
  <si>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</si>
  <si>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</si>
  <si>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</si>
  <si>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</si>
  <si>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</si>
  <si>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</si>
  <si>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</si>
  <si>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</si>
  <si>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</si>
  <si>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</si>
  <si>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</si>
  <si>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</si>
  <si>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</si>
  <si>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</si>
  <si>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</si>
  <si>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</si>
  <si>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</si>
  <si>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快速路</t>
    <phoneticPr fontId="32" type="noConversion"/>
  </si>
  <si>
    <t>主干道</t>
    <phoneticPr fontId="32" type="noConversion"/>
  </si>
  <si>
    <t>次干道</t>
  </si>
  <si>
    <t>次干道</t>
    <phoneticPr fontId="32" type="noConversion"/>
  </si>
  <si>
    <t>支路</t>
    <phoneticPr fontId="32" type="noConversion"/>
  </si>
  <si>
    <t>高速路</t>
    <phoneticPr fontId="32" type="noConversion"/>
  </si>
  <si>
    <r>
      <rPr>
        <sz val="11"/>
        <color theme="9" tint="-0.249977111117893"/>
        <rFont val="宋体"/>
        <family val="3"/>
        <charset val="134"/>
      </rPr>
      <t>中关村西三旗</t>
    </r>
    <r>
      <rPr>
        <sz val="11"/>
        <color theme="9" tint="-0.249977111117893"/>
        <rFont val="Arial"/>
        <family val="2"/>
      </rPr>
      <t>(</t>
    </r>
    <r>
      <rPr>
        <sz val="11"/>
        <color theme="9" tint="-0.249977111117893"/>
        <rFont val="宋体"/>
        <family val="3"/>
        <charset val="134"/>
      </rPr>
      <t>金隅</t>
    </r>
    <r>
      <rPr>
        <sz val="11"/>
        <color theme="9" tint="-0.249977111117893"/>
        <rFont val="Arial"/>
        <family val="2"/>
      </rPr>
      <t>)</t>
    </r>
    <r>
      <rPr>
        <sz val="11"/>
        <color theme="9" tint="-0.249977111117893"/>
        <rFont val="宋体"/>
        <family val="3"/>
        <charset val="134"/>
      </rPr>
      <t>科技园</t>
    </r>
    <r>
      <rPr>
        <sz val="11"/>
        <color theme="9" tint="-0.249977111117893"/>
        <rFont val="Arial"/>
        <family val="2"/>
      </rPr>
      <t>T5</t>
    </r>
    <r>
      <rPr>
        <sz val="11"/>
        <color theme="9" tint="-0.249977111117893"/>
        <rFont val="宋体"/>
        <family val="3"/>
        <charset val="134"/>
      </rPr>
      <t>研发设计楼地上</t>
    </r>
    <r>
      <rPr>
        <sz val="11"/>
        <color theme="9" tint="-0.249977111117893"/>
        <rFont val="Arial"/>
        <family val="2"/>
      </rPr>
      <t>1-7</t>
    </r>
    <r>
      <rPr>
        <sz val="11"/>
        <color theme="9" tint="-0.249977111117893"/>
        <rFont val="宋体"/>
        <family val="3"/>
        <charset val="134"/>
      </rPr>
      <t>层</t>
    </r>
    <phoneticPr fontId="32" type="noConversion"/>
  </si>
  <si>
    <t>科研办公</t>
    <phoneticPr fontId="32" type="noConversion"/>
  </si>
  <si>
    <t>研发楼</t>
  </si>
  <si>
    <t>项目模式</t>
  </si>
  <si>
    <t>售价</t>
  </si>
  <si>
    <t>押一</t>
  </si>
  <si>
    <t>非生产用房</t>
  </si>
  <si>
    <t>否</t>
  </si>
  <si>
    <t>项目局部</t>
  </si>
  <si>
    <t>比较法-办公</t>
  </si>
  <si>
    <t>地下部分规证</t>
    <phoneticPr fontId="135" type="noConversion"/>
  </si>
  <si>
    <t>研发配套用房</t>
    <phoneticPr fontId="135" type="noConversion"/>
  </si>
  <si>
    <t>库房</t>
    <phoneticPr fontId="135" type="noConversion"/>
  </si>
  <si>
    <t>配套停车</t>
    <phoneticPr fontId="135" type="noConversion"/>
  </si>
  <si>
    <t>其他</t>
    <phoneticPr fontId="135" type="noConversion"/>
  </si>
  <si>
    <t>人防</t>
    <phoneticPr fontId="135" type="noConversion"/>
  </si>
  <si>
    <t>宗地容积率</t>
  </si>
  <si>
    <t>平整</t>
  </si>
  <si>
    <t>与级别开发程度不一致</t>
  </si>
  <si>
    <t>地上</t>
    <phoneticPr fontId="135" type="noConversion"/>
  </si>
  <si>
    <t>地下</t>
    <phoneticPr fontId="135" type="noConversion"/>
  </si>
  <si>
    <t>未包含在土地购买价格中</t>
  </si>
  <si>
    <t>全部缴纳</t>
  </si>
  <si>
    <t>已包含在土地取得成本中</t>
  </si>
  <si>
    <t>收益法下</t>
  </si>
  <si>
    <t>收益法下</t>
    <phoneticPr fontId="17" type="noConversion"/>
  </si>
  <si>
    <t>租金</t>
    <phoneticPr fontId="135" type="noConversion"/>
  </si>
  <si>
    <t>合计</t>
    <phoneticPr fontId="135" type="noConversion"/>
  </si>
  <si>
    <t>成本法</t>
  </si>
  <si>
    <t>总价</t>
  </si>
  <si>
    <t>收益比率</t>
  </si>
  <si>
    <t>30-40</t>
    <phoneticPr fontId="32" type="noConversion"/>
  </si>
  <si>
    <t>3号楼</t>
    <phoneticPr fontId="135" type="noConversion"/>
  </si>
  <si>
    <r>
      <t>0</t>
    </r>
    <r>
      <rPr>
        <sz val="11"/>
        <color theme="1"/>
        <rFont val="宋体"/>
        <family val="3"/>
        <charset val="134"/>
        <scheme val="minor"/>
      </rPr>
      <t>7层02、03</t>
    </r>
    <phoneticPr fontId="135" type="noConversion"/>
  </si>
  <si>
    <t>建筑面积</t>
    <phoneticPr fontId="135" type="noConversion"/>
  </si>
  <si>
    <t>楼号</t>
    <phoneticPr fontId="135" type="noConversion"/>
  </si>
  <si>
    <t>房号</t>
    <phoneticPr fontId="135" type="noConversion"/>
  </si>
  <si>
    <t>起租</t>
    <phoneticPr fontId="135" type="noConversion"/>
  </si>
  <si>
    <t>终止</t>
    <phoneticPr fontId="135" type="noConversion"/>
  </si>
  <si>
    <t>物业</t>
    <phoneticPr fontId="135" type="noConversion"/>
  </si>
  <si>
    <t>1号楼</t>
    <phoneticPr fontId="135" type="noConversion"/>
  </si>
  <si>
    <r>
      <t>0</t>
    </r>
    <r>
      <rPr>
        <sz val="11"/>
        <color theme="1"/>
        <rFont val="宋体"/>
        <family val="3"/>
        <charset val="134"/>
        <scheme val="minor"/>
      </rPr>
      <t>7层01</t>
    </r>
    <phoneticPr fontId="135" type="noConversion"/>
  </si>
  <si>
    <t>月租金</t>
    <phoneticPr fontId="135" type="noConversion"/>
  </si>
  <si>
    <t>租金（不含物业）</t>
    <phoneticPr fontId="135" type="noConversion"/>
  </si>
  <si>
    <t>07层10、11</t>
    <phoneticPr fontId="135" type="noConversion"/>
  </si>
  <si>
    <t>06层08、09</t>
    <phoneticPr fontId="135" type="noConversion"/>
  </si>
  <si>
    <t>10层07、08</t>
    <phoneticPr fontId="135" type="noConversion"/>
  </si>
  <si>
    <t>06层12</t>
    <phoneticPr fontId="135" type="noConversion"/>
  </si>
  <si>
    <t>10层03-06</t>
    <phoneticPr fontId="135" type="noConversion"/>
  </si>
  <si>
    <t>04层04室</t>
    <phoneticPr fontId="135" type="noConversion"/>
  </si>
  <si>
    <t>10层09-12、01、02</t>
    <phoneticPr fontId="135" type="noConversion"/>
  </si>
  <si>
    <t>07层07、08、09</t>
    <phoneticPr fontId="135" type="noConversion"/>
  </si>
  <si>
    <t>06层03</t>
    <phoneticPr fontId="135" type="noConversion"/>
  </si>
  <si>
    <t>08层01、10、11、12</t>
    <phoneticPr fontId="135" type="noConversion"/>
  </si>
  <si>
    <t>07层04</t>
    <phoneticPr fontId="135" type="noConversion"/>
  </si>
  <si>
    <t>08层02-05</t>
    <phoneticPr fontId="135" type="noConversion"/>
  </si>
  <si>
    <t>地下1层</t>
    <phoneticPr fontId="135" type="noConversion"/>
  </si>
  <si>
    <t>美食广场</t>
    <phoneticPr fontId="135" type="noConversion"/>
  </si>
  <si>
    <t>品牌餐饮</t>
    <phoneticPr fontId="135" type="noConversion"/>
  </si>
  <si>
    <t>2号楼</t>
    <phoneticPr fontId="135" type="noConversion"/>
  </si>
  <si>
    <t>地下1、3、4</t>
    <phoneticPr fontId="135" type="noConversion"/>
  </si>
  <si>
    <t>健身房、游泳馆、多功能球馆</t>
    <phoneticPr fontId="135" type="noConversion"/>
  </si>
  <si>
    <t>企业</t>
  </si>
  <si>
    <t>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</si>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</sst>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11"/>
      <color rgb="FFFF0000"/>
      <name val="宋体"/>
      <family val="3"/>
      <charset val="134"/>
      <scheme val="minor"/>
    </font>
    <font>
      <sz val="10"/>
      <name val="Calibri"/>
      <family val="3"/>
      <charset val="16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9" fontId="160" fillId="0" borderId="0" applyFont="0" applyFill="0" applyBorder="0" applyAlignment="0" applyProtection="0">
      <alignment vertical="center"/>
    </xf>
  </cellStyleXfs>
  <cellXfs count="390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48"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183" fontId="270" fillId="0" borderId="1" xfId="18" applyNumberFormat="1" applyFont="1" applyFill="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10" fontId="48" fillId="12" borderId="0" xfId="17"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10" fontId="45" fillId="0" borderId="61"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0" fontId="273"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4" fillId="24" borderId="176" xfId="38" applyFont="1" applyFill="1" applyBorder="1" applyAlignment="1">
      <alignment vertical="center"/>
    </xf>
    <xf numFmtId="31" fontId="274" fillId="24" borderId="176" xfId="38" applyNumberFormat="1" applyFont="1" applyFill="1" applyBorder="1" applyAlignment="1">
      <alignment vertical="center"/>
    </xf>
    <xf numFmtId="9" fontId="274" fillId="24" borderId="176" xfId="38" applyNumberFormat="1" applyFont="1" applyFill="1" applyBorder="1" applyAlignment="1">
      <alignment vertical="center"/>
    </xf>
    <xf numFmtId="0" fontId="130" fillId="5" borderId="176" xfId="38" applyFont="1" applyFill="1" applyBorder="1" applyAlignment="1">
      <alignment vertical="center"/>
    </xf>
    <xf numFmtId="0" fontId="130" fillId="9" borderId="176" xfId="38" applyFont="1" applyFill="1" applyBorder="1" applyAlignment="1">
      <alignment vertical="center"/>
    </xf>
    <xf numFmtId="31" fontId="130" fillId="9" borderId="176" xfId="38" applyNumberFormat="1" applyFont="1" applyFill="1" applyBorder="1" applyAlignment="1">
      <alignment vertical="center"/>
    </xf>
    <xf numFmtId="9" fontId="130" fillId="5" borderId="176" xfId="38" applyNumberFormat="1" applyFont="1" applyFill="1" applyBorder="1" applyAlignment="1">
      <alignment vertical="center"/>
    </xf>
    <xf numFmtId="0" fontId="275" fillId="5" borderId="176" xfId="38" applyFont="1" applyFill="1" applyBorder="1" applyAlignment="1">
      <alignment vertical="center"/>
    </xf>
    <xf numFmtId="0" fontId="274" fillId="9" borderId="176" xfId="38" applyFont="1" applyFill="1" applyBorder="1" applyAlignment="1">
      <alignment vertical="center"/>
    </xf>
    <xf numFmtId="31" fontId="274" fillId="9" borderId="176" xfId="38" applyNumberFormat="1" applyFont="1" applyFill="1" applyBorder="1" applyAlignment="1">
      <alignment vertical="center"/>
    </xf>
    <xf numFmtId="0" fontId="130" fillId="25" borderId="176" xfId="38" applyFont="1" applyFill="1" applyBorder="1" applyAlignment="1">
      <alignment vertical="center"/>
    </xf>
    <xf numFmtId="31" fontId="130" fillId="25" borderId="176" xfId="38" applyNumberFormat="1" applyFont="1" applyFill="1" applyBorder="1" applyAlignment="1">
      <alignment vertical="center"/>
    </xf>
    <xf numFmtId="9" fontId="130" fillId="25" borderId="176" xfId="38" applyNumberFormat="1" applyFont="1" applyFill="1" applyBorder="1" applyAlignment="1">
      <alignment vertical="center"/>
    </xf>
    <xf numFmtId="0" fontId="275"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49" fontId="52"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5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50"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9" fontId="48" fillId="12" borderId="1" xfId="19" applyFont="1" applyFill="1" applyBorder="1" applyAlignment="1" applyProtection="1">
      <alignment horizontal="center" vertical="center"/>
      <protection locked="0"/>
    </xf>
    <xf numFmtId="1" fontId="71" fillId="3" borderId="51" xfId="0" applyNumberFormat="1" applyFont="1" applyFill="1" applyBorder="1" applyAlignment="1" applyProtection="1">
      <alignment vertical="center" wrapText="1"/>
      <protection locked="0"/>
    </xf>
    <xf numFmtId="1" fontId="71" fillId="3" borderId="20" xfId="0" applyNumberFormat="1" applyFont="1" applyFill="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43" fontId="96" fillId="0" borderId="1" xfId="20" applyFont="1" applyBorder="1">
      <alignment vertical="center"/>
    </xf>
    <xf numFmtId="0" fontId="96" fillId="0" borderId="1" xfId="10" applyBorder="1">
      <alignment vertical="center"/>
    </xf>
    <xf numFmtId="2" fontId="96" fillId="0" borderId="1" xfId="10" applyNumberFormat="1" applyBorder="1">
      <alignment vertical="center"/>
    </xf>
    <xf numFmtId="0" fontId="96" fillId="0" borderId="0" xfId="0" applyFont="1">
      <alignment vertical="center"/>
    </xf>
    <xf numFmtId="14" fontId="0" fillId="0" borderId="0" xfId="0" applyNumberFormat="1">
      <alignment vertical="center"/>
    </xf>
    <xf numFmtId="2" fontId="0" fillId="0" borderId="0" xfId="0" applyNumberForma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50"/>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696;&#20363;/2023-1-0887-P01DYGJ1&#23481;&#21019;&#36335;15&#21495;2023.1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研发中心</v>
          </cell>
        </row>
        <row r="20">
          <cell r="C20"/>
        </row>
        <row r="21">
          <cell r="C21"/>
        </row>
        <row r="22">
          <cell r="C22"/>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cell r="C55" t="str">
            <v>正常</v>
          </cell>
          <cell r="D55"/>
          <cell r="E55"/>
          <cell r="F55"/>
          <cell r="G55"/>
          <cell r="H55"/>
          <cell r="I55"/>
          <cell r="J55"/>
          <cell r="K55"/>
          <cell r="L55"/>
          <cell r="M55"/>
        </row>
        <row r="57">
          <cell r="B57" t="str">
            <v>用途</v>
          </cell>
          <cell r="C57" t="str">
            <v>科研办公</v>
          </cell>
          <cell r="D57"/>
          <cell r="E57"/>
          <cell r="F57"/>
          <cell r="G57"/>
          <cell r="H57"/>
          <cell r="I57"/>
          <cell r="J57"/>
          <cell r="K57"/>
          <cell r="L57"/>
          <cell r="M57"/>
        </row>
        <row r="88">
          <cell r="B88" t="str">
            <v>建筑类型</v>
          </cell>
          <cell r="C88" t="str">
            <v>标准写字楼</v>
          </cell>
          <cell r="D88" t="str">
            <v>商务楼</v>
          </cell>
          <cell r="E88"/>
          <cell r="F88"/>
          <cell r="G88"/>
          <cell r="H88"/>
          <cell r="I88"/>
          <cell r="J88"/>
          <cell r="K88"/>
          <cell r="L88"/>
          <cell r="M88"/>
        </row>
        <row r="93">
          <cell r="B93" t="str">
            <v>建筑结构</v>
          </cell>
          <cell r="C93" t="str">
            <v>精装修</v>
          </cell>
          <cell r="D93" t="str">
            <v>普通装修</v>
          </cell>
          <cell r="E93" t="str">
            <v>简单装修</v>
          </cell>
          <cell r="F93" t="str">
            <v>毛坯</v>
          </cell>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t="str">
            <v>专业物业</v>
          </cell>
          <cell r="D100" t="str">
            <v>普通物业</v>
          </cell>
          <cell r="E100"/>
          <cell r="F100"/>
          <cell r="G100"/>
          <cell r="H100"/>
          <cell r="I100"/>
          <cell r="J100"/>
          <cell r="K100"/>
          <cell r="L100"/>
          <cell r="M100"/>
        </row>
        <row r="102">
          <cell r="B102" t="str">
            <v>市政基础设施</v>
          </cell>
          <cell r="C102" t="str">
            <v>七通</v>
          </cell>
          <cell r="D102" t="str">
            <v>六通</v>
          </cell>
          <cell r="E102" t="str">
            <v>五通</v>
          </cell>
          <cell r="F102" t="str">
            <v>四通</v>
          </cell>
          <cell r="G102" t="str">
            <v>三通</v>
          </cell>
          <cell r="H102"/>
          <cell r="I102"/>
          <cell r="J102"/>
          <cell r="K102"/>
          <cell r="L102"/>
          <cell r="M102"/>
        </row>
        <row r="104">
          <cell r="B104" t="str">
            <v>内部装修</v>
          </cell>
          <cell r="C104">
            <v>0</v>
          </cell>
          <cell r="D104">
            <v>0</v>
          </cell>
          <cell r="E104">
            <v>0</v>
          </cell>
          <cell r="F104">
            <v>0</v>
          </cell>
          <cell r="G104"/>
          <cell r="H104"/>
          <cell r="I104"/>
          <cell r="J104"/>
          <cell r="K104"/>
          <cell r="L104"/>
          <cell r="M104"/>
        </row>
      </sheetData>
      <sheetData sheetId="22"/>
      <sheetData sheetId="23"/>
      <sheetData sheetId="24"/>
      <sheetData sheetId="25"/>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2">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3">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北京市丰台区四合庄路6号院1-3号楼房地产抵押价值预评估</v>
      </c>
    </row>
    <row r="3" spans="1:2" s="1195" customFormat="1">
      <c r="A3" s="1193" t="s">
        <v>523</v>
      </c>
      <c r="B3" s="1194">
        <f>'预评函-封皮'!B40</f>
        <v>0</v>
      </c>
    </row>
    <row r="4" spans="1:2" s="1195" customFormat="1">
      <c r="A4" s="1193" t="s">
        <v>524</v>
      </c>
      <c r="B4" s="1194" t="str">
        <f ca="1">'预评函-封皮'!B46</f>
        <v>郑燚（注册号：1120070131)、吴薇（注册号：1419970001)</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受贵公司委托，我公司对北京市丰台区四合庄路6号院1-3号楼房地产抵押价值进行了预评估。</v>
      </c>
    </row>
    <row r="7" spans="1:2" s="1195" customFormat="1">
      <c r="A7" s="1193" t="s">
        <v>566</v>
      </c>
      <c r="B7" s="1194" t="str">
        <f>'预评函-1'!A7</f>
        <v>估价对象为北京市丰台区四合庄路6号院1-3号楼房地产，为所有。根据《国有土地使用证》[]，估价对象（分摊）出让国有建设用地使用权面积为22117.26平方米，建筑面积为103664.12平方米。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丰台区四合庄路6号院1-3号楼房地产,属开发建设的，该项目尚在开发建设中。根据《国有土地使用证》[]，估价对象（分摊）出让国有建设用地使用权面积为22117.26平方米，规划建筑面积为103664.12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2" spans="1:2" s="1195" customFormat="1">
      <c r="A12" s="1193" t="s">
        <v>528</v>
      </c>
      <c r="B12" s="1194" t="str">
        <f>'预评函-1'!A15</f>
        <v>2024年4月19日（评估专业人员实地查勘之日）</v>
      </c>
    </row>
    <row r="13" spans="1:2" s="1195" customFormat="1">
      <c r="A13" s="1193" t="s">
        <v>529</v>
      </c>
      <c r="B13" s="1194" t="str">
        <f>'预评函-1'!A18</f>
        <v>本次估价的“房地产价值”是指在正常市场情况下，在价值时点2024年4月19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169025</v>
      </c>
    </row>
    <row r="21" spans="1:2" s="1195" customFormat="1">
      <c r="A21" s="1193" t="s">
        <v>537</v>
      </c>
      <c r="B21" s="1194">
        <f ca="1">'预评函-2'!D7</f>
        <v>32567</v>
      </c>
    </row>
    <row r="22" spans="1:2" s="1195" customFormat="1">
      <c r="A22" s="1193" t="s">
        <v>538</v>
      </c>
      <c r="B22" s="1194" t="str">
        <f ca="1">'预评函-2'!D6</f>
        <v>壹拾陆亿玖仟零贰拾伍万元整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169025</v>
      </c>
    </row>
    <row r="31" spans="1:2" s="1195" customFormat="1">
      <c r="A31" s="1193" t="s">
        <v>576</v>
      </c>
      <c r="B31" s="1194">
        <f ca="1">'预评函-2'!D15</f>
        <v>32567</v>
      </c>
    </row>
    <row r="32" spans="1:2" s="1195" customFormat="1">
      <c r="A32" s="1193" t="s">
        <v>543</v>
      </c>
      <c r="B32" s="1194" t="str">
        <f ca="1">'预评函-2'!D14</f>
        <v>壹拾陆亿玖仟零贰拾伍万元整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北京市丰台区四合庄路6号院1-3号楼房地产</v>
      </c>
    </row>
    <row r="42" spans="1:2" s="1195" customFormat="1">
      <c r="A42" s="1193" t="s">
        <v>590</v>
      </c>
      <c r="B42" s="1194" t="str">
        <f>'预评函-3'!B2</f>
        <v>建筑面积</v>
      </c>
    </row>
    <row r="43" spans="1:2" s="1195" customFormat="1">
      <c r="A43" s="1193" t="s">
        <v>591</v>
      </c>
      <c r="B43" s="1194">
        <f>'预评函-3'!B4</f>
        <v>103664.12</v>
      </c>
    </row>
    <row r="44" spans="1:2" s="1195" customFormat="1">
      <c r="A44" s="1193" t="s">
        <v>575</v>
      </c>
      <c r="B44" s="1194" t="str">
        <f>'预评函-3'!C2</f>
        <v>(分摊)土地面积</v>
      </c>
    </row>
    <row r="45" spans="1:2" s="1195" customFormat="1">
      <c r="A45" s="1193" t="s">
        <v>547</v>
      </c>
      <c r="B45" s="1194">
        <f>'预评函-3'!C4</f>
        <v>22117.26</v>
      </c>
    </row>
    <row r="46" spans="1:2" s="1195" customFormat="1">
      <c r="A46" s="1193" t="s">
        <v>573</v>
      </c>
      <c r="B46" s="1194" t="str">
        <f>'预评函-3'!D2</f>
        <v>出让国有建设用地使用权价值</v>
      </c>
    </row>
    <row r="47" spans="1:2" s="1195" customFormat="1">
      <c r="A47" s="1193" t="s">
        <v>548</v>
      </c>
      <c r="B47" s="1194">
        <f ca="1">'预评函-3'!D4</f>
        <v>35495</v>
      </c>
    </row>
    <row r="48" spans="1:2" s="1195" customFormat="1">
      <c r="A48" s="1193" t="s">
        <v>549</v>
      </c>
      <c r="B48" s="1194">
        <f ca="1">'预评函-3'!E4</f>
        <v>6839</v>
      </c>
    </row>
    <row r="49" spans="1:2" s="1195" customFormat="1">
      <c r="A49" s="1193" t="s">
        <v>550</v>
      </c>
      <c r="B49" s="1194" t="str">
        <f ca="1">'预评函-3'!D5</f>
        <v>叁亿伍仟肆佰玖拾伍万元整</v>
      </c>
    </row>
    <row r="50" spans="1:2" s="1195" customFormat="1">
      <c r="A50" s="1193" t="s">
        <v>574</v>
      </c>
      <c r="B50" s="1194" t="str">
        <f>'预评函-3'!F2</f>
        <v>在建建筑物价值</v>
      </c>
    </row>
    <row r="51" spans="1:2" s="1195" customFormat="1">
      <c r="A51" s="1193" t="s">
        <v>551</v>
      </c>
      <c r="B51" s="1194">
        <f ca="1">'预评函-3'!F4</f>
        <v>133530</v>
      </c>
    </row>
    <row r="52" spans="1:2" s="1195" customFormat="1">
      <c r="A52" s="1193" t="s">
        <v>552</v>
      </c>
      <c r="B52" s="1194">
        <f ca="1">'预评函-3'!G4</f>
        <v>25728</v>
      </c>
    </row>
    <row r="53" spans="1:2" s="1195" customFormat="1">
      <c r="A53" s="1193" t="s">
        <v>580</v>
      </c>
      <c r="B53" s="1194" t="str">
        <f ca="1">'预评函-3'!F5</f>
        <v>壹拾叁亿叁仟伍佰叁拾万元整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吴薇</v>
      </c>
    </row>
    <row r="73" spans="1:2" s="1189" customFormat="1" ht="15" thickBot="1">
      <c r="A73" s="1196" t="s">
        <v>565</v>
      </c>
      <c r="B73" s="1197">
        <f ca="1">'预评函-4'!B5</f>
        <v>1419970001</v>
      </c>
    </row>
    <row r="74" spans="1:2" ht="15" thickTop="1">
      <c r="A74" s="1186" t="s">
        <v>601</v>
      </c>
      <c r="B74" s="1203"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3355</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3341</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3342</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3343</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3344</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3345</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3346</v>
      </c>
    </row>
    <row r="8" spans="1:23">
      <c r="A8" s="1538" t="s">
        <v>1026</v>
      </c>
      <c r="B8" s="1538" t="s">
        <v>1027</v>
      </c>
      <c r="C8" s="1539" t="s">
        <v>319</v>
      </c>
      <c r="F8" s="1540" t="s">
        <v>1028</v>
      </c>
      <c r="H8" s="1540" t="s">
        <v>2581</v>
      </c>
      <c r="I8" s="1540" t="s">
        <v>3347</v>
      </c>
    </row>
    <row r="9" spans="1:23">
      <c r="A9" s="1538" t="s">
        <v>1029</v>
      </c>
      <c r="B9" s="1538" t="s">
        <v>1030</v>
      </c>
      <c r="C9" s="1539" t="s">
        <v>320</v>
      </c>
      <c r="F9" s="1540" t="s">
        <v>1031</v>
      </c>
      <c r="H9" s="1540"/>
      <c r="I9" s="1543" t="s">
        <v>3348</v>
      </c>
    </row>
    <row r="10" spans="1:23">
      <c r="A10" s="1538" t="s">
        <v>1032</v>
      </c>
      <c r="B10" s="1538" t="s">
        <v>1033</v>
      </c>
      <c r="C10" s="1539" t="s">
        <v>321</v>
      </c>
      <c r="F10" s="1540" t="s">
        <v>2582</v>
      </c>
      <c r="I10" s="1543" t="s">
        <v>3349</v>
      </c>
    </row>
    <row r="11" spans="1:23">
      <c r="A11" s="1538" t="s">
        <v>1034</v>
      </c>
      <c r="B11" s="1538" t="s">
        <v>1035</v>
      </c>
      <c r="C11" s="1539" t="s">
        <v>322</v>
      </c>
      <c r="F11" s="1540" t="s">
        <v>13</v>
      </c>
      <c r="I11" s="1543" t="s">
        <v>3350</v>
      </c>
    </row>
    <row r="12" spans="1:23">
      <c r="A12" s="1538" t="s">
        <v>1036</v>
      </c>
      <c r="B12" s="1538" t="s">
        <v>1037</v>
      </c>
      <c r="C12" s="1539" t="s">
        <v>323</v>
      </c>
      <c r="I12" s="1543" t="s">
        <v>3351</v>
      </c>
    </row>
    <row r="13" spans="1:23">
      <c r="A13" s="1538" t="s">
        <v>1038</v>
      </c>
      <c r="B13" s="1538" t="s">
        <v>1039</v>
      </c>
      <c r="C13" s="1539" t="s">
        <v>324</v>
      </c>
      <c r="I13" s="1543" t="s">
        <v>3352</v>
      </c>
    </row>
    <row r="14" spans="1:23">
      <c r="A14" s="1538" t="s">
        <v>1040</v>
      </c>
      <c r="B14" s="1538" t="s">
        <v>1041</v>
      </c>
      <c r="C14" s="1540" t="s">
        <v>13</v>
      </c>
      <c r="I14" s="1543" t="s">
        <v>3353</v>
      </c>
    </row>
    <row r="15" spans="1:23">
      <c r="A15" s="1538" t="s">
        <v>1042</v>
      </c>
      <c r="B15" s="1538" t="s">
        <v>1043</v>
      </c>
      <c r="C15" s="1539"/>
      <c r="I15" s="1543" t="s">
        <v>3354</v>
      </c>
    </row>
    <row r="16" spans="1:23">
      <c r="A16" s="1538" t="s">
        <v>1044</v>
      </c>
      <c r="B16" s="1538" t="s">
        <v>312</v>
      </c>
      <c r="C16" s="1539"/>
    </row>
    <row r="17" spans="1:3">
      <c r="A17" s="1538" t="s">
        <v>1045</v>
      </c>
      <c r="B17" s="1538" t="s">
        <v>2293</v>
      </c>
      <c r="C17" s="1539"/>
    </row>
    <row r="18" spans="1:3">
      <c r="A18" s="1538" t="s">
        <v>1046</v>
      </c>
      <c r="B18" s="1538" t="s">
        <v>2437</v>
      </c>
      <c r="C18" s="1539"/>
    </row>
    <row r="19" spans="1:3">
      <c r="A19" s="1538" t="s">
        <v>1047</v>
      </c>
      <c r="B19" s="1541" t="s">
        <v>3879</v>
      </c>
      <c r="C19" s="1539"/>
    </row>
    <row r="20" spans="1:3">
      <c r="A20" s="1538" t="s">
        <v>1048</v>
      </c>
      <c r="B20" s="1538" t="s">
        <v>313</v>
      </c>
      <c r="C20" s="1539"/>
    </row>
    <row r="21" spans="1:3">
      <c r="A21" s="1538" t="s">
        <v>1049</v>
      </c>
      <c r="B21" s="1538" t="s">
        <v>313</v>
      </c>
      <c r="C21" s="1539"/>
    </row>
    <row r="22" spans="1:3">
      <c r="A22" s="1538" t="s">
        <v>1050</v>
      </c>
      <c r="B22" s="1538" t="s">
        <v>313</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599"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9"/>
      <c r="B54" s="1546" t="s">
        <v>385</v>
      </c>
      <c r="C54" s="1543" t="s">
        <v>583</v>
      </c>
    </row>
    <row r="55" spans="1:4">
      <c r="A55" s="3599"/>
      <c r="B55" s="1546" t="s">
        <v>386</v>
      </c>
      <c r="C55" s="1543" t="s">
        <v>584</v>
      </c>
    </row>
    <row r="56" spans="1:4">
      <c r="A56" s="3599"/>
      <c r="B56" s="1546" t="s">
        <v>387</v>
      </c>
      <c r="C56" s="1543" t="s">
        <v>588</v>
      </c>
    </row>
    <row r="57" spans="1:4">
      <c r="A57" s="3599"/>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2504</v>
      </c>
      <c r="B1" s="3006"/>
      <c r="C1" s="3006"/>
      <c r="D1" s="3006"/>
      <c r="E1" s="3006"/>
      <c r="F1" s="3007"/>
      <c r="I1" s="3429" t="s">
        <v>2597</v>
      </c>
      <c r="J1" s="3218"/>
      <c r="K1" s="3218"/>
      <c r="L1" s="3218"/>
      <c r="M1" s="3218"/>
      <c r="N1" s="3430"/>
      <c r="O1" s="3430"/>
      <c r="P1" s="3430"/>
      <c r="Q1" s="3430"/>
      <c r="R1" s="3430"/>
    </row>
    <row r="2" spans="1:18">
      <c r="A2" s="3009"/>
      <c r="B2" s="3010"/>
      <c r="C2" s="3010"/>
      <c r="D2" s="3010"/>
      <c r="E2" s="3010"/>
      <c r="F2" s="3011"/>
      <c r="I2" s="3600" t="s">
        <v>2584</v>
      </c>
      <c r="J2" s="3600"/>
      <c r="K2" s="3600"/>
      <c r="L2" s="3600"/>
      <c r="M2" s="3600"/>
      <c r="N2" s="3600"/>
      <c r="O2" s="3600"/>
      <c r="P2" s="3600"/>
      <c r="Q2" s="3600"/>
      <c r="R2" s="3600"/>
    </row>
    <row r="3" spans="1:18">
      <c r="A3" s="3012" t="s">
        <v>2505</v>
      </c>
      <c r="B3" s="3013">
        <f>项目基本情况!D3</f>
        <v>45401</v>
      </c>
      <c r="C3" s="3015"/>
      <c r="D3" s="3015"/>
      <c r="E3" s="3015"/>
      <c r="F3" s="3011"/>
      <c r="I3" s="3431"/>
      <c r="J3" s="3431" t="s">
        <v>2588</v>
      </c>
      <c r="K3" s="3431" t="s">
        <v>2589</v>
      </c>
      <c r="L3" s="3431" t="s">
        <v>2590</v>
      </c>
      <c r="M3" s="3431" t="s">
        <v>2591</v>
      </c>
      <c r="N3" s="3432" t="s">
        <v>2592</v>
      </c>
      <c r="O3" s="3432" t="s">
        <v>2593</v>
      </c>
      <c r="P3" s="3432" t="s">
        <v>2594</v>
      </c>
      <c r="Q3" s="3432" t="s">
        <v>2595</v>
      </c>
      <c r="R3" s="3432" t="s">
        <v>2596</v>
      </c>
    </row>
    <row r="4" spans="1:18">
      <c r="A4" s="3012" t="s">
        <v>2506</v>
      </c>
      <c r="B4" s="3015" t="s">
        <v>2507</v>
      </c>
      <c r="C4" s="3015" t="s">
        <v>2508</v>
      </c>
      <c r="D4" s="3015" t="s">
        <v>2509</v>
      </c>
      <c r="E4" s="3015" t="s">
        <v>2510</v>
      </c>
      <c r="F4" s="3011"/>
      <c r="I4" s="3431" t="s">
        <v>2585</v>
      </c>
      <c r="J4" s="3431">
        <v>80</v>
      </c>
      <c r="K4" s="3431">
        <v>70</v>
      </c>
      <c r="L4" s="3431">
        <v>20</v>
      </c>
      <c r="M4" s="3431">
        <v>30</v>
      </c>
      <c r="N4" s="3015">
        <v>45</v>
      </c>
      <c r="O4" s="3015">
        <v>60</v>
      </c>
      <c r="P4" s="3015">
        <v>50</v>
      </c>
      <c r="Q4" s="3015">
        <v>20</v>
      </c>
      <c r="R4" s="3015">
        <v>375</v>
      </c>
    </row>
    <row r="5" spans="1:18">
      <c r="A5" s="3016">
        <v>40</v>
      </c>
      <c r="B5" s="3013">
        <v>46375</v>
      </c>
      <c r="C5" s="3015">
        <f>ROUNDDOWN(MIN((B5-B3)/365,A5),2)</f>
        <v>2.66</v>
      </c>
      <c r="D5" s="3017">
        <f>IF(ISERROR(ROUND(POWER(1+E5,A5-C5)*(POWER(1+E5,C5)-1)/(POWER(1+E5,A5)-1),3)),0,ROUND(POWER(1+E5,A5-C5)*(POWER(1+E5,C5)-1)/(POWER(1+E5,A5)-1),4))</f>
        <v>0.12509999999999999</v>
      </c>
      <c r="E5" s="3018">
        <v>0.04</v>
      </c>
      <c r="F5" s="3011"/>
      <c r="I5" s="3431" t="s">
        <v>2586</v>
      </c>
      <c r="J5" s="3431">
        <v>70</v>
      </c>
      <c r="K5" s="3431">
        <v>60</v>
      </c>
      <c r="L5" s="3431">
        <v>15</v>
      </c>
      <c r="M5" s="3431">
        <v>25</v>
      </c>
      <c r="N5" s="3015">
        <v>40</v>
      </c>
      <c r="O5" s="3015">
        <v>50</v>
      </c>
      <c r="P5" s="3015">
        <v>40</v>
      </c>
      <c r="Q5" s="3015">
        <v>15</v>
      </c>
      <c r="R5" s="3015">
        <v>315</v>
      </c>
    </row>
    <row r="6" spans="1:18">
      <c r="A6" s="3016">
        <v>50</v>
      </c>
      <c r="B6" s="3013">
        <v>50028</v>
      </c>
      <c r="C6" s="3015">
        <f>ROUNDDOWN(MIN((B6-B3)/365,A6),2)</f>
        <v>12.67</v>
      </c>
      <c r="D6" s="3017">
        <f>IF(ISERROR(ROUND(POWER(1+E6,A6-C6)*(POWER(1+E6,C6)-1)/(POWER(1+E6,A6)-1),3)),0,ROUND(POWER(1+E6,A6-C6)*(POWER(1+E6,C6)-1)/(POWER(1+E6,A6)-1),4))</f>
        <v>0.45569999999999999</v>
      </c>
      <c r="E6" s="3018">
        <v>0.04</v>
      </c>
      <c r="F6" s="3011"/>
      <c r="I6" s="3431" t="s">
        <v>2587</v>
      </c>
      <c r="J6" s="3431">
        <v>60</v>
      </c>
      <c r="K6" s="3431">
        <v>50</v>
      </c>
      <c r="L6" s="3431">
        <v>10</v>
      </c>
      <c r="M6" s="3431">
        <v>20</v>
      </c>
      <c r="N6" s="3015">
        <v>35</v>
      </c>
      <c r="O6" s="3015">
        <v>40</v>
      </c>
      <c r="P6" s="3015">
        <v>30</v>
      </c>
      <c r="Q6" s="3015">
        <v>10</v>
      </c>
      <c r="R6" s="3015">
        <v>255</v>
      </c>
    </row>
    <row r="7" spans="1:18">
      <c r="A7" s="3016">
        <v>70</v>
      </c>
      <c r="B7" s="3013">
        <v>57333</v>
      </c>
      <c r="C7" s="3015">
        <f>ROUNDDOWN(MIN((B7-B3)/365,A7),2)</f>
        <v>32.69</v>
      </c>
      <c r="D7" s="3017">
        <f>IF(ISERROR(ROUND(POWER(1+E7,A7-C7)*(POWER(1+E7,C7)-1)/(POWER(1+E7,A7)-1),3)),0,ROUND(POWER(1+E7,A7-C7)*(POWER(1+E7,C7)-1)/(POWER(1+E7,A7)-1),4))</f>
        <v>0.77210000000000001</v>
      </c>
      <c r="E7" s="3018">
        <v>0.04</v>
      </c>
      <c r="F7" s="3011"/>
    </row>
    <row r="8" spans="1:18">
      <c r="A8" s="3009"/>
      <c r="B8" s="3010"/>
      <c r="C8" s="3010"/>
      <c r="D8" s="3010"/>
      <c r="E8" s="3010"/>
      <c r="F8" s="3011"/>
    </row>
    <row r="9" spans="1:18">
      <c r="A9" s="3012" t="s">
        <v>2511</v>
      </c>
      <c r="B9" s="3015"/>
      <c r="C9" s="3015"/>
      <c r="D9" s="3015"/>
      <c r="E9" s="3015"/>
      <c r="F9" s="3019"/>
    </row>
    <row r="10" spans="1:18">
      <c r="A10" s="3012" t="s">
        <v>2512</v>
      </c>
      <c r="B10" s="3015"/>
      <c r="C10" s="3015"/>
      <c r="D10" s="3015" t="s">
        <v>2510</v>
      </c>
      <c r="E10" s="3015"/>
      <c r="F10" s="3019" t="s">
        <v>2509</v>
      </c>
    </row>
    <row r="11" spans="1:18">
      <c r="A11" s="3012" t="s">
        <v>2513</v>
      </c>
      <c r="B11" s="3020">
        <v>70</v>
      </c>
      <c r="C11" s="3015" t="s">
        <v>2514</v>
      </c>
      <c r="D11" s="3021">
        <v>4.4999999999999998E-2</v>
      </c>
      <c r="E11" s="3015" t="s">
        <v>2515</v>
      </c>
      <c r="F11" s="3022">
        <f>ROUND(1-(1/(POWER(1+D11,B11))),4)</f>
        <v>0.95409999999999995</v>
      </c>
    </row>
    <row r="12" spans="1:18">
      <c r="A12" s="3012" t="s">
        <v>2516</v>
      </c>
      <c r="B12" s="3020">
        <v>40</v>
      </c>
      <c r="C12" s="3015" t="s">
        <v>2517</v>
      </c>
      <c r="D12" s="3021">
        <v>4.4999999999999998E-2</v>
      </c>
      <c r="E12" s="3015" t="s">
        <v>2518</v>
      </c>
      <c r="F12" s="3022">
        <f>ROUND(1-(1/(POWER(1+D12,B12))),4)</f>
        <v>0.82809999999999995</v>
      </c>
    </row>
    <row r="13" spans="1:18">
      <c r="A13" s="3012" t="s">
        <v>2519</v>
      </c>
      <c r="B13" s="3015"/>
      <c r="C13" s="3015"/>
      <c r="D13" s="3010"/>
      <c r="E13" s="3010"/>
      <c r="F13" s="3011"/>
    </row>
    <row r="14" spans="1:18">
      <c r="A14" s="3012" t="s">
        <v>2520</v>
      </c>
      <c r="B14" s="3020">
        <v>5000</v>
      </c>
      <c r="C14" s="3014"/>
      <c r="D14" s="3010"/>
      <c r="E14" s="3010"/>
      <c r="F14" s="3011"/>
    </row>
    <row r="15" spans="1:18">
      <c r="A15" s="3012" t="s">
        <v>2521</v>
      </c>
      <c r="B15" s="3015">
        <f>ROUND(B14*F12/F11,2)</f>
        <v>4339.6899999999996</v>
      </c>
      <c r="C15" s="3015">
        <f>ROUND(F12/F11,4)</f>
        <v>0.8679</v>
      </c>
      <c r="D15" s="3010"/>
      <c r="E15" s="3010"/>
      <c r="F15" s="3011"/>
    </row>
    <row r="16" spans="1:18">
      <c r="A16" s="3012" t="s">
        <v>2522</v>
      </c>
      <c r="B16" s="3015"/>
      <c r="C16" s="3015"/>
      <c r="D16" s="3010"/>
      <c r="E16" s="3010"/>
      <c r="F16" s="3011"/>
    </row>
    <row r="17" spans="1:13">
      <c r="A17" s="3012" t="s">
        <v>2521</v>
      </c>
      <c r="B17" s="3021">
        <v>4810</v>
      </c>
      <c r="C17" s="3014"/>
      <c r="D17" s="3010"/>
      <c r="E17" s="3010"/>
      <c r="F17" s="3011"/>
    </row>
    <row r="18" spans="1:13" ht="14.25" thickBot="1">
      <c r="A18" s="3023" t="s">
        <v>2520</v>
      </c>
      <c r="B18" s="3024">
        <f>ROUND(B17*F11/F12,2)</f>
        <v>5541.87</v>
      </c>
      <c r="C18" s="3024">
        <f>ROUND(F11/F12,4)</f>
        <v>1.1521999999999999</v>
      </c>
      <c r="D18" s="3025"/>
      <c r="E18" s="3025"/>
      <c r="F18" s="3026"/>
    </row>
    <row r="19" spans="1:13" ht="14.25" thickBot="1"/>
    <row r="20" spans="1:13" s="3061" customFormat="1" ht="14.25" thickTop="1">
      <c r="A20" s="3058" t="s">
        <v>2523</v>
      </c>
      <c r="B20" s="3059"/>
      <c r="C20" s="3059"/>
      <c r="D20" s="3059"/>
      <c r="E20" s="3059"/>
      <c r="F20" s="3059"/>
      <c r="G20" s="3060"/>
      <c r="I20" s="3062" t="s">
        <v>2568</v>
      </c>
      <c r="J20" s="3062" t="s">
        <v>2573</v>
      </c>
      <c r="K20" s="3062"/>
      <c r="L20" s="3062"/>
      <c r="M20" s="3062"/>
    </row>
    <row r="21" spans="1:13">
      <c r="A21" s="3027"/>
      <c r="B21" s="3028" t="s">
        <v>2524</v>
      </c>
      <c r="C21" s="3028" t="s">
        <v>2525</v>
      </c>
      <c r="D21" s="3028" t="s">
        <v>2526</v>
      </c>
      <c r="E21" s="3028" t="s">
        <v>2527</v>
      </c>
      <c r="F21" s="3028" t="s">
        <v>2528</v>
      </c>
      <c r="G21" s="3029" t="s">
        <v>2529</v>
      </c>
      <c r="I21" s="3050">
        <v>5</v>
      </c>
      <c r="J21" s="3050">
        <v>54.2</v>
      </c>
    </row>
    <row r="22" spans="1:13">
      <c r="A22" s="3027" t="s">
        <v>2530</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2531</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2571</v>
      </c>
      <c r="M23" s="3050" t="s">
        <v>2572</v>
      </c>
    </row>
    <row r="24" spans="1:13">
      <c r="A24" s="3027" t="s">
        <v>2532</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2570</v>
      </c>
      <c r="M24" s="3050">
        <v>10</v>
      </c>
    </row>
    <row r="25" spans="1:13">
      <c r="A25" s="3027" t="s">
        <v>2533</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2574</v>
      </c>
      <c r="M25" s="3050">
        <v>8</v>
      </c>
    </row>
    <row r="26" spans="1:13">
      <c r="A26" s="3032"/>
      <c r="B26" s="3033"/>
      <c r="C26" s="3033"/>
      <c r="D26" s="3033"/>
      <c r="E26" s="3033"/>
      <c r="F26" s="3033"/>
      <c r="G26" s="3034"/>
      <c r="I26" s="3050">
        <v>30</v>
      </c>
      <c r="J26" s="3050">
        <v>90.5</v>
      </c>
      <c r="K26" s="3050">
        <f t="shared" si="2"/>
        <v>4.2000000000000028</v>
      </c>
      <c r="L26" s="3050" t="s">
        <v>2575</v>
      </c>
      <c r="M26" s="3050">
        <v>5</v>
      </c>
    </row>
    <row r="27" spans="1:13">
      <c r="A27" s="3032" t="s">
        <v>2534</v>
      </c>
      <c r="B27" s="3033"/>
      <c r="C27" s="3033"/>
      <c r="D27" s="3033"/>
      <c r="E27" s="3033"/>
      <c r="F27" s="3033"/>
      <c r="G27" s="3034"/>
      <c r="I27" s="3050">
        <v>35</v>
      </c>
      <c r="J27" s="3050">
        <v>93.8</v>
      </c>
      <c r="K27" s="3050">
        <f t="shared" si="2"/>
        <v>3.2999999999999972</v>
      </c>
      <c r="L27" s="3050" t="s">
        <v>2576</v>
      </c>
      <c r="M27" s="3050">
        <v>3</v>
      </c>
    </row>
    <row r="28" spans="1:13">
      <c r="A28" s="3032" t="s">
        <v>2535</v>
      </c>
      <c r="B28" s="3033"/>
      <c r="C28" s="3033"/>
      <c r="D28" s="3033"/>
      <c r="E28" s="3033"/>
      <c r="F28" s="3033"/>
      <c r="G28" s="3034"/>
      <c r="I28" s="3050">
        <v>40</v>
      </c>
      <c r="J28" s="3050">
        <v>96.4</v>
      </c>
      <c r="K28" s="3050">
        <f t="shared" si="2"/>
        <v>2.6000000000000085</v>
      </c>
      <c r="L28" s="3050" t="s">
        <v>2577</v>
      </c>
      <c r="M28" s="3050">
        <v>2</v>
      </c>
    </row>
    <row r="29" spans="1:13">
      <c r="A29" s="3032" t="s">
        <v>2536</v>
      </c>
      <c r="B29" s="3033"/>
      <c r="C29" s="3033"/>
      <c r="D29" s="3033"/>
      <c r="E29" s="3033"/>
      <c r="F29" s="3033"/>
      <c r="G29" s="3034"/>
      <c r="I29" s="3050">
        <v>45</v>
      </c>
      <c r="J29" s="3050">
        <v>98.4</v>
      </c>
      <c r="K29" s="3050">
        <f t="shared" si="2"/>
        <v>2</v>
      </c>
    </row>
    <row r="30" spans="1:13">
      <c r="A30" s="3032" t="s">
        <v>2537</v>
      </c>
      <c r="B30" s="3033"/>
      <c r="C30" s="3033"/>
      <c r="D30" s="3033"/>
      <c r="E30" s="3033"/>
      <c r="F30" s="3033"/>
      <c r="G30" s="3034"/>
      <c r="I30" s="3050">
        <v>50</v>
      </c>
      <c r="J30" s="3050">
        <v>100</v>
      </c>
      <c r="K30" s="3050">
        <f t="shared" si="2"/>
        <v>1.5999999999999943</v>
      </c>
    </row>
    <row r="31" spans="1:13">
      <c r="A31" s="3032" t="s">
        <v>2538</v>
      </c>
      <c r="B31" s="3033"/>
      <c r="C31" s="3033"/>
      <c r="D31" s="3033"/>
      <c r="E31" s="3033"/>
      <c r="F31" s="3033"/>
      <c r="G31" s="3034"/>
      <c r="I31" s="3050" t="s">
        <v>2569</v>
      </c>
    </row>
    <row r="32" spans="1:13">
      <c r="A32" s="3032" t="s">
        <v>2539</v>
      </c>
      <c r="B32" s="3033"/>
      <c r="C32" s="3033"/>
      <c r="D32" s="3033"/>
      <c r="E32" s="3033"/>
      <c r="F32" s="3033"/>
      <c r="G32" s="3034"/>
    </row>
    <row r="33" spans="1:13">
      <c r="A33" s="3032" t="s">
        <v>2540</v>
      </c>
      <c r="B33" s="3033"/>
      <c r="C33" s="3033"/>
      <c r="D33" s="3033"/>
      <c r="E33" s="3033"/>
      <c r="F33" s="3033"/>
      <c r="G33" s="3034"/>
      <c r="I33" s="3050" t="s">
        <v>2568</v>
      </c>
      <c r="J33" s="3050" t="s">
        <v>2578</v>
      </c>
    </row>
    <row r="34" spans="1:13">
      <c r="A34" s="3032" t="s">
        <v>2541</v>
      </c>
      <c r="B34" s="3033"/>
      <c r="C34" s="3033"/>
      <c r="D34" s="3033"/>
      <c r="E34" s="3033"/>
      <c r="F34" s="3033"/>
      <c r="G34" s="3034"/>
      <c r="I34" s="3050">
        <v>5</v>
      </c>
      <c r="J34" s="3050">
        <v>55.1</v>
      </c>
    </row>
    <row r="35" spans="1:13">
      <c r="A35" s="3032" t="s">
        <v>2542</v>
      </c>
      <c r="B35" s="3033"/>
      <c r="C35" s="3033"/>
      <c r="D35" s="3033"/>
      <c r="E35" s="3033"/>
      <c r="F35" s="3033"/>
      <c r="G35" s="3034"/>
      <c r="I35" s="3050">
        <v>10</v>
      </c>
      <c r="J35" s="3050">
        <v>67</v>
      </c>
      <c r="K35" s="3050">
        <f>J35-J34</f>
        <v>11.899999999999999</v>
      </c>
    </row>
    <row r="36" spans="1:13">
      <c r="A36" s="3032" t="s">
        <v>2543</v>
      </c>
      <c r="B36" s="3033"/>
      <c r="C36" s="3033"/>
      <c r="D36" s="3033"/>
      <c r="E36" s="3033"/>
      <c r="F36" s="3033"/>
      <c r="G36" s="3034"/>
      <c r="I36" s="3050">
        <v>15</v>
      </c>
      <c r="J36" s="3050">
        <v>76.3</v>
      </c>
      <c r="K36" s="3050">
        <f t="shared" ref="K36:K41" si="3">J36-J35</f>
        <v>9.2999999999999972</v>
      </c>
      <c r="L36" s="3050" t="s">
        <v>2571</v>
      </c>
      <c r="M36" s="3050" t="s">
        <v>2572</v>
      </c>
    </row>
    <row r="37" spans="1:13">
      <c r="A37" s="3032" t="s">
        <v>2544</v>
      </c>
      <c r="B37" s="3033"/>
      <c r="C37" s="3033"/>
      <c r="D37" s="3033"/>
      <c r="E37" s="3033"/>
      <c r="F37" s="3033"/>
      <c r="G37" s="3034"/>
      <c r="I37" s="3050">
        <v>20</v>
      </c>
      <c r="J37" s="3050">
        <v>83.6</v>
      </c>
      <c r="K37" s="3050">
        <f t="shared" si="3"/>
        <v>7.2999999999999972</v>
      </c>
      <c r="L37" s="3050" t="s">
        <v>2570</v>
      </c>
      <c r="M37" s="3050">
        <v>10</v>
      </c>
    </row>
    <row r="38" spans="1:13">
      <c r="A38" s="3032" t="s">
        <v>2545</v>
      </c>
      <c r="B38" s="3033"/>
      <c r="C38" s="3033"/>
      <c r="D38" s="3033"/>
      <c r="E38" s="3033"/>
      <c r="F38" s="3033"/>
      <c r="G38" s="3034"/>
      <c r="I38" s="3050">
        <v>25</v>
      </c>
      <c r="J38" s="3050">
        <v>89.3</v>
      </c>
      <c r="K38" s="3050">
        <f t="shared" si="3"/>
        <v>5.7000000000000028</v>
      </c>
      <c r="L38" s="3050" t="s">
        <v>2574</v>
      </c>
      <c r="M38" s="3050">
        <v>8</v>
      </c>
    </row>
    <row r="39" spans="1:13">
      <c r="A39" s="3032"/>
      <c r="B39" s="3033"/>
      <c r="C39" s="3033"/>
      <c r="D39" s="3033"/>
      <c r="E39" s="3033"/>
      <c r="F39" s="3033"/>
      <c r="G39" s="3034"/>
      <c r="I39" s="3050">
        <v>30</v>
      </c>
      <c r="J39" s="3050">
        <v>93.8</v>
      </c>
      <c r="K39" s="3050">
        <f t="shared" si="3"/>
        <v>4.5</v>
      </c>
      <c r="L39" s="3050" t="s">
        <v>2575</v>
      </c>
      <c r="M39" s="3050">
        <v>6</v>
      </c>
    </row>
    <row r="40" spans="1:13">
      <c r="A40" s="3035" t="s">
        <v>2546</v>
      </c>
      <c r="B40" s="3036"/>
      <c r="C40" s="3036"/>
      <c r="D40" s="3036"/>
      <c r="E40" s="3036"/>
      <c r="F40" s="3036"/>
      <c r="G40" s="3037"/>
      <c r="I40" s="3050">
        <v>35</v>
      </c>
      <c r="J40" s="3050">
        <v>97.2</v>
      </c>
      <c r="K40" s="3050">
        <f t="shared" si="3"/>
        <v>3.4000000000000057</v>
      </c>
      <c r="L40" s="3050" t="s">
        <v>2576</v>
      </c>
      <c r="M40" s="3050">
        <v>3</v>
      </c>
    </row>
    <row r="41" spans="1:13">
      <c r="A41" s="3038" t="s">
        <v>2547</v>
      </c>
      <c r="B41" s="3039" t="s">
        <v>2548</v>
      </c>
      <c r="C41" s="3040" t="s">
        <v>2549</v>
      </c>
      <c r="D41" s="3040" t="s">
        <v>2550</v>
      </c>
      <c r="E41" s="3041"/>
      <c r="F41" s="3042"/>
      <c r="G41" s="3043"/>
      <c r="I41" s="3050">
        <v>40</v>
      </c>
      <c r="J41" s="3050">
        <v>100</v>
      </c>
      <c r="K41" s="3050">
        <f t="shared" si="3"/>
        <v>2.7999999999999972</v>
      </c>
    </row>
    <row r="42" spans="1:13">
      <c r="A42" s="3038" t="s">
        <v>2551</v>
      </c>
      <c r="B42" s="3039" t="s">
        <v>2552</v>
      </c>
      <c r="C42" s="3040" t="s">
        <v>2553</v>
      </c>
      <c r="D42" s="3044" t="s">
        <v>2554</v>
      </c>
      <c r="E42" s="3036" t="s">
        <v>2555</v>
      </c>
      <c r="F42" s="3036"/>
      <c r="G42" s="3037"/>
    </row>
    <row r="43" spans="1:13">
      <c r="A43" s="3038" t="s">
        <v>2556</v>
      </c>
      <c r="B43" s="3039" t="s">
        <v>2557</v>
      </c>
      <c r="C43" s="3040" t="s">
        <v>2558</v>
      </c>
      <c r="D43" s="3040" t="s">
        <v>2559</v>
      </c>
      <c r="E43" s="3041" t="s">
        <v>2560</v>
      </c>
      <c r="F43" s="3042"/>
      <c r="G43" s="3043"/>
      <c r="I43" s="3050" t="s">
        <v>2568</v>
      </c>
      <c r="J43" s="3050" t="s">
        <v>2579</v>
      </c>
    </row>
    <row r="44" spans="1:13">
      <c r="A44" s="3038" t="s">
        <v>2561</v>
      </c>
      <c r="B44" s="3039" t="s">
        <v>2562</v>
      </c>
      <c r="C44" s="3040" t="s">
        <v>2563</v>
      </c>
      <c r="D44" s="3044">
        <v>0.5</v>
      </c>
      <c r="E44" s="3041" t="s">
        <v>2564</v>
      </c>
      <c r="F44" s="3042"/>
      <c r="G44" s="3043"/>
      <c r="I44" s="3050">
        <v>30</v>
      </c>
      <c r="J44" s="3050">
        <v>81.7</v>
      </c>
    </row>
    <row r="45" spans="1:13" ht="14.25" thickBot="1">
      <c r="A45" s="3045" t="s">
        <v>2565</v>
      </c>
      <c r="B45" s="3046" t="s">
        <v>2552</v>
      </c>
      <c r="C45" s="3047" t="s">
        <v>2552</v>
      </c>
      <c r="D45" s="3047" t="s">
        <v>2566</v>
      </c>
      <c r="E45" s="3048" t="s">
        <v>2567</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33" sqref="F33"/>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20" customWidth="1"/>
    <col min="12" max="13" width="10" style="2621"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8" t="s">
        <v>2168</v>
      </c>
      <c r="B1" s="3609" t="str">
        <f>IF(B10="北京市","北京市",C10)&amp;F10&amp;IF(结果表!G1="在建","出让国有建设用地使用权及在建建筑物",IF(结果表!G1="土地","出让国有建设用地使用权",))&amp;B9&amp;"预评估"</f>
        <v>北京市丰台区四合庄路6号院1-3号楼房地产抵押价值预评估</v>
      </c>
      <c r="C1" s="3610"/>
      <c r="D1" s="3610"/>
      <c r="E1" s="3610"/>
      <c r="F1" s="3610"/>
      <c r="G1" s="3610"/>
      <c r="H1" s="3610"/>
      <c r="I1" s="3611"/>
      <c r="J1" s="2463"/>
      <c r="K1" s="2360"/>
      <c r="L1" s="2361"/>
      <c r="M1" s="2361"/>
      <c r="N1" s="2362"/>
      <c r="O1" s="1568"/>
      <c r="P1" s="2362"/>
      <c r="Q1" s="2362"/>
      <c r="R1" s="2362"/>
      <c r="S1" s="1674" t="str">
        <f>IF(B10="北京市","北京市",C10)&amp;F10&amp;IF(结果表!G1="在建","出让国有建设用地使用权及在建建筑物房地产抵押价值",IF(结果表!G1="土地","出让国有建设用地使用权抵押价值",B9))</f>
        <v>北京市丰台区四合庄路6号院1-3号楼房地产抵押价值</v>
      </c>
      <c r="T1" s="1737"/>
      <c r="U1" s="1737"/>
      <c r="V1" s="1737"/>
      <c r="W1" s="1737"/>
      <c r="X1" s="1737"/>
      <c r="Y1" s="1737"/>
      <c r="Z1" s="1737"/>
      <c r="AA1" s="1737"/>
      <c r="AB1" s="1737"/>
    </row>
    <row r="2" spans="1:30">
      <c r="A2" s="2359" t="s">
        <v>2169</v>
      </c>
      <c r="B2" s="2363"/>
      <c r="C2" s="2364"/>
      <c r="D2" s="2662"/>
      <c r="E2" s="2654"/>
      <c r="F2" s="2654"/>
      <c r="G2" s="2655"/>
      <c r="H2" s="2655"/>
      <c r="I2" s="2655"/>
      <c r="J2" s="2463"/>
      <c r="K2" s="2360"/>
      <c r="L2" s="2361"/>
      <c r="M2" s="2361"/>
      <c r="N2" s="2362"/>
      <c r="O2" s="1568"/>
      <c r="P2" s="2362"/>
      <c r="Q2" s="2362"/>
      <c r="R2" s="2362"/>
      <c r="S2" s="1674" t="str">
        <f>IF(B10="北京市","北京市",C10)&amp;F10&amp;IF(结果表!G1="在建","出让国有建设用地使用权及在建建筑物房地产",IF(结果表!G1="土地","出让国有建设用地使用权","房地产"))</f>
        <v>北京市丰台区四合庄路6号院1-3号楼房地产</v>
      </c>
      <c r="T2" s="1737"/>
      <c r="U2" s="1737"/>
      <c r="V2" s="1737"/>
      <c r="W2" s="1737"/>
      <c r="X2" s="1737"/>
      <c r="Y2" s="1737"/>
      <c r="Z2" s="1737"/>
      <c r="AA2" s="1737"/>
      <c r="AB2" s="1737"/>
    </row>
    <row r="3" spans="1:30">
      <c r="A3" s="299" t="s">
        <v>2170</v>
      </c>
      <c r="B3" s="2365">
        <v>45401</v>
      </c>
      <c r="C3" s="2366" t="s">
        <v>2171</v>
      </c>
      <c r="D3" s="2365">
        <f>B3</f>
        <v>45401</v>
      </c>
      <c r="E3" s="2655"/>
      <c r="F3" s="2655"/>
      <c r="G3" s="2655"/>
      <c r="H3" s="2655"/>
      <c r="I3" s="2655"/>
      <c r="J3" s="2463"/>
      <c r="K3" s="2360"/>
      <c r="L3" s="2361"/>
      <c r="M3" s="2361"/>
      <c r="N3" s="2362"/>
      <c r="O3" s="1568"/>
      <c r="P3" s="2362"/>
      <c r="Q3" s="2362"/>
      <c r="R3" s="2362"/>
      <c r="S3" s="1674"/>
      <c r="T3" s="1737"/>
      <c r="U3" s="1737"/>
      <c r="V3" s="1737"/>
      <c r="W3" s="1737"/>
      <c r="X3" s="1737"/>
      <c r="Y3" s="1737"/>
      <c r="Z3" s="1737"/>
      <c r="AA3" s="1737"/>
      <c r="AB3" s="1737"/>
    </row>
    <row r="4" spans="1:30" ht="13.5" thickBot="1">
      <c r="A4" s="1082" t="s">
        <v>2172</v>
      </c>
      <c r="B4" s="2367" t="s">
        <v>3384</v>
      </c>
      <c r="C4" s="2368">
        <f ca="1">SUMIF(注册房地产估价师,B4,估价师及机构信息!B3:B24)</f>
        <v>1120070131</v>
      </c>
      <c r="D4" s="2367" t="s">
        <v>3385</v>
      </c>
      <c r="E4" s="2369">
        <f ca="1">SUMIF(注册房地产估价师,D4,估价师及机构信息!B3:B24)</f>
        <v>1419970001</v>
      </c>
      <c r="F4" s="2367"/>
      <c r="G4" s="2369">
        <f>SUMIF(注册房地产估价师,F4,估价师及机构信息!B3:B24)</f>
        <v>0</v>
      </c>
      <c r="H4" s="2367"/>
      <c r="I4" s="2369">
        <f>SUMIF(注册房地产估价师,H4,估价师及机构信息!B3:B24)</f>
        <v>0</v>
      </c>
      <c r="J4" s="2431"/>
      <c r="K4" s="2370" t="str">
        <f ca="1">CONCATENATE(B4,"（注册号：",C4,")、",D4,"（注册号：",E4,")")</f>
        <v>郑燚（注册号：1120070131)、吴薇（注册号：1419970001)</v>
      </c>
      <c r="L4" s="2361"/>
      <c r="M4" s="2361"/>
      <c r="N4" s="2362"/>
      <c r="O4" s="1568"/>
      <c r="P4" s="2362"/>
      <c r="Q4" s="2362"/>
      <c r="R4" s="2362"/>
      <c r="S4" s="1674"/>
      <c r="T4" s="1737"/>
      <c r="U4" s="1737"/>
      <c r="V4" s="1737"/>
      <c r="W4" s="1737"/>
      <c r="X4" s="1737"/>
      <c r="Y4" s="1737"/>
      <c r="Z4" s="1737"/>
      <c r="AA4" s="1737"/>
      <c r="AB4" s="1737"/>
    </row>
    <row r="5" spans="1:30" ht="13.5" thickTop="1">
      <c r="A5" s="2371" t="s">
        <v>2173</v>
      </c>
      <c r="B5" s="2372"/>
      <c r="C5" s="2373"/>
      <c r="D5" s="2374"/>
      <c r="E5" s="2656"/>
      <c r="F5" s="2656"/>
      <c r="G5" s="2656"/>
      <c r="H5" s="2656"/>
      <c r="I5" s="2656"/>
      <c r="J5" s="2431"/>
      <c r="K5" s="2370" t="str">
        <f>IF(F4="——","",IF(H4="——",F4&amp;"（注册号："&amp;G4&amp;")",CONCATENATE(F4,"（注册号：",G4,")、",H4,"（注册号：",I4,")")))</f>
        <v>（注册号：0)、（注册号：0)</v>
      </c>
      <c r="L5" s="2361"/>
      <c r="M5" s="2361"/>
      <c r="N5" s="2362"/>
      <c r="O5" s="1568"/>
      <c r="P5" s="2362"/>
      <c r="Q5" s="2362"/>
      <c r="R5" s="2362"/>
      <c r="S5" s="1737"/>
      <c r="T5" s="1737"/>
      <c r="U5" s="1737"/>
      <c r="V5" s="1737"/>
      <c r="W5" s="1737"/>
      <c r="X5" s="1737"/>
      <c r="Y5" s="1737"/>
      <c r="Z5" s="1737"/>
      <c r="AA5" s="1737"/>
      <c r="AB5" s="1737"/>
    </row>
    <row r="6" spans="1:30">
      <c r="A6" s="2375" t="s">
        <v>2174</v>
      </c>
      <c r="B6" s="2376"/>
      <c r="C6" s="2377"/>
      <c r="D6" s="2378"/>
      <c r="E6" s="2654"/>
      <c r="F6" s="2656"/>
      <c r="G6" s="2656"/>
      <c r="H6" s="2656"/>
      <c r="I6" s="2656"/>
      <c r="J6" s="2431"/>
      <c r="K6" s="2607" t="str">
        <f>IF(COUNTIF(B6,"*上海银行*"),"上海银行","")</f>
        <v/>
      </c>
      <c r="L6" s="2605"/>
      <c r="M6" s="2605"/>
      <c r="N6" s="2431"/>
      <c r="O6" s="2442"/>
      <c r="P6" s="2431"/>
      <c r="Q6" s="2431"/>
      <c r="R6" s="2431"/>
    </row>
    <row r="7" spans="1:30">
      <c r="A7" s="2375" t="s">
        <v>2175</v>
      </c>
      <c r="B7" s="2379"/>
      <c r="C7" s="2377"/>
      <c r="D7" s="2378"/>
      <c r="E7" s="2654"/>
      <c r="F7" s="2656"/>
      <c r="G7" s="2656"/>
      <c r="H7" s="2656"/>
      <c r="I7" s="2656"/>
      <c r="J7" s="2431"/>
      <c r="K7" s="2608"/>
      <c r="L7" s="2605"/>
      <c r="M7" s="2605"/>
      <c r="N7" s="2431"/>
      <c r="O7" s="2442"/>
      <c r="P7" s="2431"/>
      <c r="Q7" s="2431"/>
      <c r="R7" s="2431"/>
    </row>
    <row r="8" spans="1:30">
      <c r="A8" s="2380" t="s">
        <v>2176</v>
      </c>
      <c r="B8" s="2381" t="s">
        <v>3380</v>
      </c>
      <c r="C8" s="2382"/>
      <c r="D8" s="3612" t="s">
        <v>2177</v>
      </c>
      <c r="E8" s="2383" t="s">
        <v>3386</v>
      </c>
      <c r="F8" s="2384"/>
      <c r="G8" s="2655"/>
      <c r="H8" s="2655"/>
      <c r="I8" s="2655"/>
      <c r="J8" s="2431"/>
      <c r="K8" s="2606"/>
      <c r="L8" s="2605"/>
      <c r="M8" s="2605"/>
      <c r="N8" s="2431"/>
      <c r="O8" s="2442"/>
      <c r="P8" s="2431"/>
      <c r="Q8" s="2431"/>
      <c r="R8" s="2431"/>
    </row>
    <row r="9" spans="1:30" ht="13.5" thickBot="1">
      <c r="A9" s="2385" t="s">
        <v>2178</v>
      </c>
      <c r="B9" s="2386" t="s">
        <v>3386</v>
      </c>
      <c r="C9" s="2387"/>
      <c r="D9" s="3613"/>
      <c r="E9" s="2386"/>
      <c r="F9" s="2388"/>
      <c r="G9" s="2657"/>
      <c r="H9" s="2657"/>
      <c r="I9" s="2657"/>
      <c r="J9" s="2431"/>
      <c r="K9" s="2608"/>
      <c r="L9" s="2605"/>
      <c r="M9" s="2605"/>
      <c r="N9" s="2431"/>
      <c r="O9" s="2442"/>
      <c r="P9" s="2431"/>
      <c r="Q9" s="2431"/>
      <c r="R9" s="2431"/>
    </row>
    <row r="10" spans="1:30" ht="13.5" thickTop="1">
      <c r="A10" s="2389" t="s">
        <v>2179</v>
      </c>
      <c r="B10" s="2390" t="s">
        <v>3387</v>
      </c>
      <c r="C10" s="2391"/>
      <c r="D10" s="2374"/>
      <c r="E10" s="2392" t="s">
        <v>2180</v>
      </c>
      <c r="F10" s="2658" t="s">
        <v>3388</v>
      </c>
      <c r="G10" s="2659"/>
      <c r="H10" s="2660"/>
      <c r="I10" s="2661"/>
      <c r="J10" s="2431"/>
      <c r="K10" s="2608"/>
      <c r="L10" s="2605"/>
      <c r="M10" s="2605"/>
      <c r="N10" s="2431"/>
      <c r="O10" s="2442"/>
      <c r="P10" s="2431"/>
      <c r="Q10" s="2431"/>
      <c r="R10" s="2431"/>
    </row>
    <row r="11" spans="1:30">
      <c r="A11" s="2393" t="s">
        <v>2181</v>
      </c>
      <c r="B11" s="2394" t="s">
        <v>3916</v>
      </c>
      <c r="C11" s="2395"/>
      <c r="D11" s="2396"/>
      <c r="E11" s="2362"/>
      <c r="F11" s="2362"/>
      <c r="G11" s="2362"/>
      <c r="H11" s="2362"/>
      <c r="I11" s="2362"/>
      <c r="J11" s="3053"/>
      <c r="K11" s="3052"/>
      <c r="L11" s="2605"/>
      <c r="M11" s="2605"/>
      <c r="N11" s="2431"/>
      <c r="O11" s="2442"/>
      <c r="P11" s="2431"/>
      <c r="Q11" s="2431"/>
      <c r="R11" s="2431"/>
    </row>
    <row r="12" spans="1:30">
      <c r="A12" s="2397" t="s">
        <v>2182</v>
      </c>
      <c r="B12" s="320" t="s">
        <v>2183</v>
      </c>
      <c r="C12" s="2398" t="s">
        <v>2184</v>
      </c>
      <c r="D12" s="2398" t="s">
        <v>2185</v>
      </c>
      <c r="E12" s="2398" t="s">
        <v>2186</v>
      </c>
      <c r="F12" s="2398" t="s">
        <v>2187</v>
      </c>
      <c r="G12" s="2398" t="s">
        <v>2188</v>
      </c>
      <c r="H12" s="2398" t="s">
        <v>2189</v>
      </c>
      <c r="I12" s="3051" t="s">
        <v>2580</v>
      </c>
      <c r="J12" s="3054"/>
      <c r="K12" s="2605"/>
      <c r="L12" s="2605"/>
      <c r="M12" s="2431"/>
      <c r="N12" s="2442"/>
      <c r="O12" s="2431"/>
      <c r="P12" s="2431"/>
      <c r="Q12" s="2431"/>
      <c r="AD12" s="1737"/>
    </row>
    <row r="13" spans="1:30" ht="14.25">
      <c r="A13" s="3415" t="s">
        <v>3336</v>
      </c>
      <c r="B13" s="2399" t="s">
        <v>2190</v>
      </c>
      <c r="C13" s="848"/>
      <c r="D13" s="3465">
        <v>57248</v>
      </c>
      <c r="E13" s="3465">
        <v>60900</v>
      </c>
      <c r="F13" s="3465">
        <v>60900</v>
      </c>
      <c r="G13" s="3465">
        <v>60900</v>
      </c>
      <c r="H13" s="848"/>
      <c r="I13" s="3465">
        <v>60900</v>
      </c>
      <c r="J13" s="3054"/>
      <c r="K13" s="2605"/>
      <c r="L13" s="2605"/>
      <c r="M13" s="2431"/>
      <c r="N13" s="2442"/>
      <c r="O13" s="2431"/>
      <c r="P13" s="2431"/>
      <c r="Q13" s="2431"/>
      <c r="AD13" s="1737"/>
    </row>
    <row r="14" spans="1:30">
      <c r="A14" s="1073"/>
      <c r="B14" s="2399" t="s">
        <v>2191</v>
      </c>
      <c r="C14" s="2400"/>
      <c r="D14" s="2400">
        <v>40</v>
      </c>
      <c r="E14" s="2400">
        <v>50</v>
      </c>
      <c r="F14" s="2400">
        <v>50</v>
      </c>
      <c r="G14" s="2400">
        <v>50</v>
      </c>
      <c r="H14" s="2400"/>
      <c r="I14" s="2400">
        <v>50</v>
      </c>
      <c r="J14" s="3055"/>
      <c r="K14" s="2605"/>
      <c r="L14" s="2605"/>
      <c r="M14" s="2431"/>
      <c r="N14" s="2442"/>
      <c r="O14" s="2431"/>
      <c r="P14" s="2431"/>
      <c r="Q14" s="2431"/>
      <c r="AD14" s="1737"/>
    </row>
    <row r="15" spans="1:30">
      <c r="A15" s="317"/>
      <c r="B15" s="2401" t="s">
        <v>2192</v>
      </c>
      <c r="C15" s="2402" t="str">
        <f>IF(A13="出让",IF(C13="","",ROUNDDOWN(MIN((C13-$D$3)/365,C14),2)),C14)</f>
        <v/>
      </c>
      <c r="D15" s="2402">
        <f>IF(A13="出让",IF(D13="","",ROUNDDOWN(MIN((D13-$D$3)/365,D14),2)),D14)</f>
        <v>32.450000000000003</v>
      </c>
      <c r="E15" s="2402">
        <f>IF(A13="出让",IF(E13="","",ROUNDDOWN(MIN((E13-$D$3)/365,E14),2)),E14)</f>
        <v>42.46</v>
      </c>
      <c r="F15" s="2402">
        <f>IF(A13="出让",IF(F13="","",ROUNDDOWN(MIN((F13-$D$3)/365,F14),2)),F14)</f>
        <v>42.46</v>
      </c>
      <c r="G15" s="2402">
        <f>IF(A13="出让",IF(G13="","",ROUNDDOWN(MIN((G13-$D$3)/365,G14),2)),G14)</f>
        <v>42.46</v>
      </c>
      <c r="H15" s="2402" t="str">
        <f>IF(A13="出让",IF(H13="","",ROUNDDOWN(MIN((H13-$D$3)/365,H14),2)),H14)</f>
        <v/>
      </c>
      <c r="I15" s="2402">
        <f>IF(A13="出让",IF(I13="","",ROUNDDOWN(MIN((I13-$D$3)/365,I14),2)),I14)</f>
        <v>42.46</v>
      </c>
      <c r="J15" s="3056"/>
      <c r="K15" s="2443"/>
      <c r="L15" s="2443"/>
      <c r="M15" s="2501"/>
      <c r="N15" s="2443"/>
      <c r="O15" s="2501"/>
      <c r="P15" s="2431"/>
      <c r="Q15" s="2431"/>
      <c r="AD15" s="1737"/>
    </row>
    <row r="16" spans="1:30">
      <c r="A16" s="2392" t="s">
        <v>2193</v>
      </c>
      <c r="B16" s="3619"/>
      <c r="C16" s="3620"/>
      <c r="D16" s="3621"/>
      <c r="E16" s="2405" t="s">
        <v>2194</v>
      </c>
      <c r="F16" s="3622"/>
      <c r="G16" s="3623"/>
      <c r="H16" s="3623"/>
      <c r="I16" s="3624"/>
      <c r="J16" s="2431"/>
      <c r="K16" s="2609"/>
      <c r="L16" s="2443"/>
      <c r="M16" s="2443"/>
      <c r="N16" s="2501"/>
      <c r="O16" s="2443"/>
      <c r="P16" s="2501"/>
      <c r="Q16" s="2431"/>
      <c r="R16" s="2431"/>
    </row>
    <row r="17" spans="1:28">
      <c r="A17" s="310" t="s">
        <v>2195</v>
      </c>
      <c r="B17" s="299" t="s">
        <v>2196</v>
      </c>
      <c r="C17" s="8">
        <f>'数据-汇总表'!E3</f>
        <v>103664.12</v>
      </c>
      <c r="D17" s="2314" t="s">
        <v>2197</v>
      </c>
      <c r="E17" s="3625" t="s">
        <v>2198</v>
      </c>
      <c r="F17" s="3626"/>
      <c r="G17" s="3626"/>
      <c r="H17" s="3626"/>
      <c r="I17" s="3627"/>
      <c r="J17" s="2431"/>
      <c r="K17" s="2610"/>
      <c r="L17" s="2443"/>
      <c r="M17" s="2443"/>
      <c r="N17" s="2501"/>
      <c r="O17" s="2443"/>
      <c r="P17" s="2501"/>
      <c r="Q17" s="2431"/>
      <c r="R17" s="2431"/>
      <c r="S17" s="2431"/>
      <c r="T17" s="2431"/>
      <c r="U17" s="2431"/>
      <c r="V17" s="2431"/>
    </row>
    <row r="18" spans="1:28" ht="24.75" thickBot="1">
      <c r="A18" s="2406" t="s">
        <v>2199</v>
      </c>
      <c r="B18" s="1082" t="s">
        <v>2200</v>
      </c>
      <c r="C18" s="2407">
        <f>'数据-汇总表'!D3</f>
        <v>22117.26</v>
      </c>
      <c r="D18" s="1084" t="s">
        <v>2201</v>
      </c>
      <c r="E18" s="3628" t="s">
        <v>2202</v>
      </c>
      <c r="F18" s="3629"/>
      <c r="G18" s="3629"/>
      <c r="H18" s="3629"/>
      <c r="I18" s="3630"/>
      <c r="J18" s="2431"/>
      <c r="K18" s="2610"/>
      <c r="L18" s="2443"/>
      <c r="M18" s="2443"/>
      <c r="N18" s="2501"/>
      <c r="O18" s="2443"/>
      <c r="P18" s="2501"/>
      <c r="Q18" s="2431"/>
      <c r="R18" s="2431"/>
      <c r="S18" s="2431"/>
      <c r="T18" s="2431"/>
      <c r="U18" s="2431"/>
      <c r="V18" s="2431"/>
    </row>
    <row r="19" spans="1:28" ht="37.5" thickTop="1" thickBot="1">
      <c r="A19" s="324" t="s">
        <v>1055</v>
      </c>
      <c r="B19" s="304" t="s">
        <v>2203</v>
      </c>
      <c r="C19" s="1555"/>
      <c r="D19" s="1556" t="s">
        <v>2204</v>
      </c>
      <c r="E19" s="1557"/>
      <c r="F19" s="1558" t="str">
        <f>IF(AND(C19="是",E19="否"),"是否提供他项权证或相关说明","")</f>
        <v/>
      </c>
      <c r="G19" s="1559"/>
      <c r="H19" s="2656"/>
      <c r="I19" s="2656"/>
      <c r="J19" s="2431"/>
      <c r="K19" s="2608"/>
      <c r="L19" s="2605"/>
      <c r="M19" s="2605"/>
      <c r="N19" s="2501"/>
      <c r="O19" s="2443"/>
      <c r="P19" s="2501"/>
      <c r="Q19" s="2431"/>
      <c r="R19" s="2431"/>
      <c r="S19" s="2431"/>
      <c r="T19" s="2431"/>
      <c r="U19" s="2431"/>
      <c r="V19" s="2431"/>
    </row>
    <row r="20" spans="1:28">
      <c r="A20" s="2624" t="s">
        <v>2205</v>
      </c>
      <c r="B20" s="3615" t="s">
        <v>2206</v>
      </c>
      <c r="C20" s="3616"/>
      <c r="D20" s="3617" t="s">
        <v>2207</v>
      </c>
      <c r="E20" s="3618"/>
      <c r="F20" s="2639" t="s">
        <v>1056</v>
      </c>
      <c r="G20" s="2656"/>
      <c r="H20" s="2656"/>
      <c r="I20" s="2656"/>
      <c r="J20" s="2431"/>
      <c r="K20" s="3614"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7"/>
      <c r="X20" s="1737"/>
      <c r="Y20" s="1737"/>
      <c r="Z20" s="1737"/>
      <c r="AA20" s="1737"/>
      <c r="AB20" s="1737"/>
    </row>
    <row r="21" spans="1:28" ht="24.75" thickBot="1">
      <c r="A21" s="2624"/>
      <c r="B21" s="2625" t="s">
        <v>2209</v>
      </c>
      <c r="C21" s="2626" t="s">
        <v>1057</v>
      </c>
      <c r="D21" s="1560" t="s">
        <v>2210</v>
      </c>
      <c r="E21" s="2627" t="s">
        <v>1057</v>
      </c>
      <c r="F21" s="2640"/>
      <c r="G21" s="2656"/>
      <c r="H21" s="2656"/>
      <c r="I21" s="2656"/>
      <c r="J21" s="2431"/>
      <c r="K21" s="3614"/>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7"/>
      <c r="X21" s="1737"/>
      <c r="Y21" s="1737"/>
      <c r="Z21" s="1737"/>
      <c r="AA21" s="1737"/>
      <c r="AB21" s="1737"/>
    </row>
    <row r="22" spans="1:28" ht="24.75" thickBot="1">
      <c r="A22" s="2624"/>
      <c r="B22" s="2628" t="s">
        <v>2211</v>
      </c>
      <c r="C22" s="2626" t="s">
        <v>1058</v>
      </c>
      <c r="D22" s="2655"/>
      <c r="E22" s="2655"/>
      <c r="F22" s="2655"/>
      <c r="G22" s="2656"/>
      <c r="H22" s="2656"/>
      <c r="I22" s="2656"/>
      <c r="J22" s="2431"/>
      <c r="K22" s="3614"/>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7"/>
      <c r="X22" s="1737"/>
      <c r="Y22" s="1737"/>
      <c r="Z22" s="1737"/>
      <c r="AA22" s="1737"/>
      <c r="AB22" s="1737"/>
    </row>
    <row r="23" spans="1:28">
      <c r="A23" s="2629" t="s">
        <v>2212</v>
      </c>
      <c r="B23" s="2494" t="s">
        <v>2213</v>
      </c>
      <c r="C23" s="2630"/>
      <c r="D23" s="2631" t="s">
        <v>2213</v>
      </c>
      <c r="E23" s="2632"/>
      <c r="F23" s="2655"/>
      <c r="G23" s="2656"/>
      <c r="H23" s="2656"/>
      <c r="I23" s="2656"/>
      <c r="J23" s="2431"/>
      <c r="K23" s="2611"/>
      <c r="L23" s="2467"/>
      <c r="M23" s="2605"/>
      <c r="N23" s="2501"/>
      <c r="O23" s="2443"/>
      <c r="P23" s="2501"/>
      <c r="Q23" s="2431"/>
      <c r="R23" s="2431"/>
      <c r="S23" s="2431"/>
      <c r="T23" s="2431"/>
      <c r="U23" s="2431"/>
      <c r="V23" s="2431"/>
    </row>
    <row r="24" spans="1:28">
      <c r="A24" s="2629"/>
      <c r="B24" s="2494" t="s">
        <v>1059</v>
      </c>
      <c r="C24" s="2633"/>
      <c r="D24" s="2629" t="s">
        <v>1059</v>
      </c>
      <c r="E24" s="2634"/>
      <c r="F24" s="2655"/>
      <c r="G24" s="2656"/>
      <c r="H24" s="2656"/>
      <c r="I24" s="2656"/>
      <c r="J24" s="2431"/>
      <c r="K24" s="2611"/>
      <c r="L24" s="2467"/>
      <c r="M24" s="2605"/>
      <c r="N24" s="2501"/>
      <c r="O24" s="2443"/>
      <c r="P24" s="2501"/>
      <c r="Q24" s="2431"/>
      <c r="R24" s="2431"/>
      <c r="S24" s="2431"/>
      <c r="T24" s="2431"/>
      <c r="U24" s="2431"/>
      <c r="V24" s="2431"/>
    </row>
    <row r="25" spans="1:28">
      <c r="A25" s="2629"/>
      <c r="B25" s="2494" t="s">
        <v>1060</v>
      </c>
      <c r="C25" s="2633"/>
      <c r="D25" s="2629" t="s">
        <v>1060</v>
      </c>
      <c r="E25" s="2634"/>
      <c r="F25" s="2655"/>
      <c r="G25" s="2656"/>
      <c r="H25" s="2656"/>
      <c r="I25" s="2656"/>
      <c r="J25" s="2431"/>
      <c r="K25" s="2608"/>
      <c r="L25" s="2605"/>
      <c r="M25" s="2605"/>
      <c r="N25" s="2501"/>
      <c r="O25" s="2443"/>
      <c r="P25" s="2501"/>
      <c r="Q25" s="2431"/>
      <c r="R25" s="2431"/>
      <c r="S25" s="2431"/>
      <c r="T25" s="2431"/>
      <c r="U25" s="2431"/>
      <c r="V25" s="2431"/>
    </row>
    <row r="26" spans="1:28" ht="13.5" thickBot="1">
      <c r="A26" s="2635"/>
      <c r="B26" s="2636" t="s">
        <v>1061</v>
      </c>
      <c r="C26" s="2637"/>
      <c r="D26" s="2635" t="s">
        <v>1061</v>
      </c>
      <c r="E26" s="2638"/>
      <c r="F26" s="2657"/>
      <c r="G26" s="2657"/>
      <c r="H26" s="2657"/>
      <c r="I26" s="2657"/>
      <c r="J26" s="2431"/>
      <c r="K26" s="2608"/>
      <c r="L26" s="2605"/>
      <c r="M26" s="2605"/>
      <c r="N26" s="2501"/>
      <c r="O26" s="2443"/>
      <c r="P26" s="2501"/>
      <c r="Q26" s="2431"/>
      <c r="R26" s="2431"/>
      <c r="S26" s="2431"/>
      <c r="T26" s="2431"/>
      <c r="U26" s="2431"/>
      <c r="V26" s="2431"/>
    </row>
    <row r="27" spans="1:28" ht="13.5" thickTop="1">
      <c r="A27" s="3602" t="s">
        <v>2214</v>
      </c>
      <c r="B27" s="317" t="s">
        <v>2215</v>
      </c>
      <c r="C27" s="2408"/>
      <c r="D27" s="2409"/>
      <c r="E27" s="2656"/>
      <c r="F27" s="2656"/>
      <c r="G27" s="2656"/>
      <c r="H27" s="2656"/>
      <c r="I27" s="2656"/>
      <c r="J27" s="2431"/>
      <c r="K27" s="2609"/>
      <c r="L27" s="2443"/>
      <c r="M27" s="2443"/>
      <c r="N27" s="2501"/>
      <c r="O27" s="2443"/>
      <c r="P27" s="2501"/>
      <c r="Q27" s="2431"/>
      <c r="R27" s="2431"/>
      <c r="S27" s="2431"/>
      <c r="T27" s="2431"/>
      <c r="U27" s="2431"/>
      <c r="V27" s="2431"/>
    </row>
    <row r="28" spans="1:28">
      <c r="A28" s="3602"/>
      <c r="B28" s="299" t="s">
        <v>2216</v>
      </c>
      <c r="C28" s="2410"/>
      <c r="D28" s="2411"/>
      <c r="E28" s="2656"/>
      <c r="F28" s="2656"/>
      <c r="G28" s="2656"/>
      <c r="H28" s="2656"/>
      <c r="I28" s="2656"/>
      <c r="J28" s="2431"/>
      <c r="K28" s="2608"/>
      <c r="L28" s="2605"/>
      <c r="M28" s="2605"/>
      <c r="N28" s="2431"/>
      <c r="O28" s="2442"/>
      <c r="P28" s="2431"/>
      <c r="Q28" s="2431"/>
      <c r="R28" s="2431"/>
      <c r="S28" s="2431"/>
      <c r="T28" s="2431"/>
      <c r="U28" s="2431"/>
      <c r="V28" s="2431"/>
    </row>
    <row r="29" spans="1:28">
      <c r="A29" s="3602"/>
      <c r="B29" s="299" t="s">
        <v>2217</v>
      </c>
      <c r="C29" s="2412"/>
      <c r="D29" s="2413"/>
      <c r="E29" s="2656"/>
      <c r="F29" s="2656"/>
      <c r="G29" s="2656"/>
      <c r="H29" s="2656"/>
      <c r="I29" s="2656"/>
      <c r="J29" s="2431"/>
      <c r="K29" s="2608"/>
      <c r="L29" s="2605"/>
      <c r="M29" s="2605"/>
      <c r="N29" s="2431"/>
      <c r="O29" s="2442"/>
      <c r="P29" s="2431"/>
      <c r="Q29" s="2431"/>
      <c r="R29" s="2431"/>
      <c r="S29" s="2431"/>
      <c r="T29" s="2431"/>
      <c r="U29" s="2431"/>
      <c r="V29" s="2431"/>
    </row>
    <row r="30" spans="1:28">
      <c r="A30" s="3603"/>
      <c r="B30" s="299" t="s">
        <v>2218</v>
      </c>
      <c r="C30" s="3604"/>
      <c r="D30" s="3605"/>
      <c r="E30" s="2656"/>
      <c r="F30" s="2656"/>
      <c r="G30" s="2656"/>
      <c r="H30" s="2656"/>
      <c r="I30" s="2656"/>
      <c r="J30" s="2431"/>
      <c r="K30" s="2608"/>
      <c r="L30" s="2605"/>
      <c r="M30" s="2605"/>
      <c r="N30" s="2431"/>
      <c r="O30" s="2442"/>
      <c r="P30" s="2431"/>
      <c r="Q30" s="2431"/>
      <c r="R30" s="2431"/>
      <c r="S30" s="2431"/>
      <c r="T30" s="2431"/>
      <c r="U30" s="2431"/>
      <c r="V30" s="2431"/>
    </row>
    <row r="31" spans="1:28">
      <c r="A31" s="3606" t="s">
        <v>2219</v>
      </c>
      <c r="B31" s="2414" t="s">
        <v>3395</v>
      </c>
      <c r="C31" s="2315" t="str">
        <f>IF(B31="现房","成新及维护状况正常否",IF(B31="在建","工程状态是否正常",IF(B31="土地","是否闲置","-")))</f>
        <v>成新及维护状况正常否</v>
      </c>
      <c r="D31" s="1365"/>
      <c r="E31" s="2415"/>
      <c r="F31" s="2656"/>
      <c r="G31" s="2656"/>
      <c r="H31" s="2656"/>
      <c r="I31" s="2656"/>
      <c r="J31" s="2431"/>
      <c r="K31" s="2607"/>
      <c r="L31" s="2605"/>
      <c r="M31" s="2605"/>
      <c r="N31" s="2431"/>
      <c r="O31" s="2442"/>
      <c r="P31" s="2431"/>
      <c r="Q31" s="2431"/>
      <c r="R31" s="2431"/>
      <c r="S31" s="2431"/>
      <c r="T31" s="2431"/>
      <c r="U31" s="2431"/>
      <c r="V31" s="2431"/>
    </row>
    <row r="32" spans="1:28">
      <c r="A32" s="3607"/>
      <c r="B32" s="2414"/>
      <c r="C32" s="2315" t="str">
        <f>IF(B32="现房","成新及维护状况是否正常",IF(B32="在建","工程状态是否正常",IF(B32="土地","是否闲置","-")))</f>
        <v>-</v>
      </c>
      <c r="D32" s="1365"/>
      <c r="E32" s="2415"/>
      <c r="F32" s="2656"/>
      <c r="G32" s="2656"/>
      <c r="H32" s="2656"/>
      <c r="I32" s="2656"/>
      <c r="J32" s="2431"/>
      <c r="K32" s="2608"/>
      <c r="L32" s="2605"/>
      <c r="M32" s="2605"/>
      <c r="N32" s="2431"/>
      <c r="O32" s="2442"/>
      <c r="P32" s="2431"/>
      <c r="Q32" s="2431"/>
      <c r="R32" s="2431"/>
      <c r="S32" s="2431"/>
      <c r="T32" s="2431"/>
      <c r="U32" s="2431"/>
      <c r="V32" s="2431"/>
    </row>
    <row r="33" spans="1:30">
      <c r="A33" s="3607"/>
      <c r="B33" s="2417"/>
      <c r="C33" s="1582" t="str">
        <f>IF(B33="现房","成新及维护状况是否正常",IF(B33="在建","工程状态是否正常",IF(B33="土地","是否闲置","-")))</f>
        <v>-</v>
      </c>
      <c r="D33" s="1357"/>
      <c r="E33" s="2418"/>
      <c r="F33" s="2656"/>
      <c r="G33" s="2656"/>
      <c r="H33" s="2656"/>
      <c r="I33" s="2656"/>
      <c r="J33" s="2431"/>
      <c r="K33" s="2608"/>
      <c r="L33" s="2605"/>
      <c r="M33" s="2605"/>
      <c r="N33" s="2431"/>
      <c r="O33" s="2442"/>
      <c r="P33" s="2431"/>
      <c r="Q33" s="2431"/>
      <c r="R33" s="2431"/>
      <c r="S33" s="2431"/>
      <c r="T33" s="2431"/>
      <c r="U33" s="2431"/>
      <c r="V33" s="2431"/>
    </row>
    <row r="34" spans="1:30">
      <c r="A34" s="299" t="s">
        <v>2220</v>
      </c>
      <c r="B34" s="2018" t="s">
        <v>3389</v>
      </c>
      <c r="C34" s="2018" t="s">
        <v>3390</v>
      </c>
      <c r="D34" s="2018" t="s">
        <v>3391</v>
      </c>
      <c r="E34" s="2018" t="s">
        <v>3392</v>
      </c>
      <c r="F34" s="2018" t="s">
        <v>3393</v>
      </c>
      <c r="G34" s="2018" t="s">
        <v>3394</v>
      </c>
      <c r="H34" s="2018"/>
      <c r="I34" s="2656"/>
      <c r="J34" s="2431"/>
      <c r="K34" s="2419">
        <f>COUNTIF(B34:H34,"——")</f>
        <v>0</v>
      </c>
      <c r="L34" s="320" t="s">
        <v>2221</v>
      </c>
      <c r="M34" s="320" t="s">
        <v>2222</v>
      </c>
      <c r="N34" s="320" t="s">
        <v>2223</v>
      </c>
      <c r="O34" s="320" t="s">
        <v>2224</v>
      </c>
      <c r="P34" s="320" t="s">
        <v>2225</v>
      </c>
      <c r="Q34" s="320" t="s">
        <v>2226</v>
      </c>
      <c r="R34" s="320" t="s">
        <v>2227</v>
      </c>
      <c r="S34" s="3601" t="s">
        <v>2228</v>
      </c>
      <c r="T34" s="2420" t="str">
        <f>NUMBERSTRING(7-K34,1)&amp;"通"</f>
        <v>七通</v>
      </c>
      <c r="U34" s="2431"/>
      <c r="V34" s="2431"/>
    </row>
    <row r="35" spans="1:30">
      <c r="A35" s="2421"/>
      <c r="B35" s="3608" t="s">
        <v>2229</v>
      </c>
      <c r="C35" s="3608"/>
      <c r="D35" s="3608"/>
      <c r="E35" s="3608"/>
      <c r="F35" s="661">
        <f>C10</f>
        <v>0</v>
      </c>
      <c r="G35" s="2656"/>
      <c r="H35" s="2656"/>
      <c r="I35" s="2656"/>
      <c r="J35" s="2431"/>
      <c r="K35" s="320"/>
      <c r="L35" s="320" t="str">
        <f>B34</f>
        <v>通路</v>
      </c>
      <c r="M35" s="326" t="str">
        <f>B34&amp;"、"&amp;C34</f>
        <v>通路、通电</v>
      </c>
      <c r="N35" s="326" t="str">
        <f>B34&amp;"、"&amp;C34&amp;"、"&amp;D34</f>
        <v>通路、通电、通讯</v>
      </c>
      <c r="O35" s="326" t="str">
        <f>B34&amp;"、"&amp;C34&amp;"、"&amp;D34&amp;"、"&amp;E34</f>
        <v>通路、通电、通讯、通上水</v>
      </c>
      <c r="P35" s="326" t="str">
        <f>B34&amp;"、"&amp;C34&amp;"、"&amp;D34&amp;"、"&amp;E34&amp;"、"&amp;F34</f>
        <v>通路、通电、通讯、通上水、通下水</v>
      </c>
      <c r="Q35" s="326" t="str">
        <f>B34&amp;"、"&amp;C34&amp;"、"&amp;D34&amp;"、"&amp;E34&amp;"、"&amp;F34&amp;"、"&amp;G34</f>
        <v>通路、通电、通讯、通上水、通下水、燃气</v>
      </c>
      <c r="R35" s="326" t="str">
        <f>B34&amp;"、"&amp;C34&amp;"、"&amp;D34&amp;"、"&amp;E34&amp;"、"&amp;F34&amp;"、"&amp;G34&amp;"、"&amp;H34</f>
        <v>通路、通电、通讯、通上水、通下水、燃气、</v>
      </c>
      <c r="S35" s="3601"/>
      <c r="T35" s="326" t="str">
        <f>IF(T34="一通",L35,IF(T34="二通",M35,IF(T34="三通",N35,IF(T34="四通",O35,IF(T34="五通",P35,IF(T34="六通",Q35,R35))))))</f>
        <v>通路、通电、通讯、通上水、通下水、燃气、</v>
      </c>
      <c r="U35" s="2431"/>
      <c r="V35" s="2431"/>
    </row>
    <row r="36" spans="1:30">
      <c r="A36" s="2422"/>
      <c r="B36" s="661" t="s">
        <v>2185</v>
      </c>
      <c r="C36" s="661" t="s">
        <v>2186</v>
      </c>
      <c r="D36" s="661" t="s">
        <v>2184</v>
      </c>
      <c r="E36" s="661" t="s">
        <v>2189</v>
      </c>
      <c r="F36" s="3057" t="s">
        <v>2583</v>
      </c>
      <c r="G36" s="2656"/>
      <c r="H36" s="2656"/>
      <c r="I36" s="2656"/>
      <c r="J36" s="2431"/>
      <c r="K36" s="2608"/>
      <c r="L36" s="2605"/>
      <c r="M36" s="2605"/>
      <c r="N36" s="2431"/>
      <c r="O36" s="2442"/>
      <c r="P36" s="2431"/>
      <c r="Q36" s="2431"/>
      <c r="R36" s="2431"/>
      <c r="S36" s="2431"/>
      <c r="T36" s="2431"/>
      <c r="U36" s="2431"/>
      <c r="V36" s="2431"/>
    </row>
    <row r="37" spans="1:30" ht="14.25">
      <c r="A37" s="2622" t="s">
        <v>2230</v>
      </c>
      <c r="B37" s="2423" t="s">
        <v>303</v>
      </c>
      <c r="C37" s="2423" t="s">
        <v>303</v>
      </c>
      <c r="D37" s="2423"/>
      <c r="E37" s="3466"/>
      <c r="F37" s="2423" t="s">
        <v>303</v>
      </c>
      <c r="G37" s="2656"/>
      <c r="H37" s="2656"/>
      <c r="I37" s="2656"/>
      <c r="J37" s="2431"/>
      <c r="K37" s="2608"/>
      <c r="L37" s="2605"/>
      <c r="M37" s="2605"/>
      <c r="N37" s="2431"/>
      <c r="O37" s="2442"/>
      <c r="P37" s="2431"/>
      <c r="Q37" s="2431"/>
      <c r="R37" s="2431"/>
      <c r="S37" s="2431"/>
      <c r="T37" s="2431"/>
      <c r="U37" s="2431"/>
      <c r="V37" s="2431"/>
    </row>
    <row r="38" spans="1:30" ht="15" thickBot="1">
      <c r="A38" s="2623" t="s">
        <v>2231</v>
      </c>
      <c r="B38" s="2424" t="s">
        <v>247</v>
      </c>
      <c r="C38" s="2424" t="s">
        <v>247</v>
      </c>
      <c r="D38" s="2424"/>
      <c r="E38" s="3466"/>
      <c r="F38" s="2424" t="s">
        <v>247</v>
      </c>
      <c r="G38" s="2657"/>
      <c r="H38" s="2657"/>
      <c r="I38" s="2657"/>
      <c r="J38" s="2431"/>
      <c r="K38" s="2608"/>
      <c r="L38" s="2605"/>
      <c r="M38" s="2605"/>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2"/>
      <c r="B40" s="2362"/>
      <c r="C40" s="2362"/>
      <c r="D40" s="2362"/>
      <c r="E40" s="2362"/>
      <c r="F40" s="2362"/>
      <c r="G40" s="2362"/>
      <c r="H40" s="2362"/>
      <c r="I40" s="1570"/>
      <c r="J40" s="2501"/>
      <c r="K40" s="2607"/>
      <c r="L40" s="2443"/>
      <c r="M40" s="2443"/>
      <c r="N40" s="2501"/>
      <c r="O40" s="2443"/>
      <c r="P40" s="2431"/>
      <c r="Q40" s="2431"/>
      <c r="R40" s="2431"/>
      <c r="S40" s="2431"/>
      <c r="T40" s="2431"/>
      <c r="U40" s="2431"/>
      <c r="V40" s="2431"/>
    </row>
    <row r="41" spans="1:30">
      <c r="A41" s="2428" t="s">
        <v>2233</v>
      </c>
      <c r="B41" s="1749"/>
      <c r="C41" s="1365"/>
      <c r="D41" s="2362"/>
      <c r="E41" s="2362"/>
      <c r="F41" s="2362"/>
      <c r="G41" s="2362"/>
      <c r="H41" s="2362"/>
      <c r="I41" s="1568"/>
      <c r="J41" s="2431"/>
      <c r="K41" s="2608"/>
      <c r="L41" s="2605"/>
      <c r="M41" s="2605"/>
      <c r="N41" s="2431"/>
      <c r="O41" s="2442"/>
      <c r="P41" s="2431"/>
      <c r="Q41" s="2431"/>
      <c r="R41" s="2431"/>
      <c r="S41" s="2431"/>
      <c r="T41" s="2431"/>
      <c r="U41" s="2431"/>
      <c r="V41" s="2431"/>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1"/>
      <c r="T42" s="2431"/>
      <c r="U42" s="2431"/>
      <c r="V42" s="2431"/>
    </row>
    <row r="43" spans="1:30" s="1735" customFormat="1">
      <c r="A43" s="1562"/>
      <c r="B43" s="1043"/>
      <c r="C43" s="1043"/>
      <c r="D43" s="1043"/>
      <c r="E43" s="1043"/>
      <c r="F43" s="1043"/>
      <c r="G43" s="1043"/>
      <c r="H43" s="1043"/>
      <c r="I43" s="1043"/>
      <c r="J43" s="2429"/>
      <c r="K43" s="2430"/>
      <c r="L43" s="2430"/>
      <c r="M43" s="1043"/>
      <c r="N43" s="1043"/>
      <c r="O43" s="1043"/>
      <c r="P43" s="1043"/>
      <c r="Q43" s="1043"/>
      <c r="R43" s="1043"/>
      <c r="S43" s="2431"/>
      <c r="T43" s="2431"/>
      <c r="U43" s="2431"/>
      <c r="V43" s="2431"/>
    </row>
    <row r="44" spans="1:30" s="1735" customFormat="1">
      <c r="A44" s="1562"/>
      <c r="B44" s="1562"/>
      <c r="C44" s="1043"/>
      <c r="D44" s="1043"/>
      <c r="E44" s="1043"/>
      <c r="F44" s="1043"/>
      <c r="G44" s="1043"/>
      <c r="H44" s="1043"/>
      <c r="I44" s="1043"/>
      <c r="J44" s="2429"/>
      <c r="K44" s="2430"/>
      <c r="L44" s="2430"/>
      <c r="M44" s="1043"/>
      <c r="N44" s="1043"/>
      <c r="O44" s="1043"/>
      <c r="P44" s="1043"/>
      <c r="Q44" s="1043"/>
      <c r="R44" s="1043"/>
      <c r="S44" s="2431"/>
      <c r="T44" s="2431"/>
      <c r="U44" s="2431"/>
      <c r="V44" s="2431"/>
    </row>
    <row r="45" spans="1:30" s="1735" customFormat="1">
      <c r="A45" s="1562"/>
      <c r="B45" s="1562"/>
      <c r="C45" s="1043"/>
      <c r="D45" s="1043"/>
      <c r="E45" s="1043"/>
      <c r="F45" s="1043"/>
      <c r="G45" s="1043"/>
      <c r="H45" s="1043"/>
      <c r="I45" s="1043"/>
      <c r="J45" s="2429"/>
      <c r="K45" s="2430"/>
      <c r="L45" s="2430"/>
      <c r="M45" s="1043"/>
      <c r="N45" s="1043"/>
      <c r="O45" s="1043"/>
      <c r="P45" s="1043"/>
      <c r="Q45" s="1043"/>
      <c r="R45" s="1043"/>
      <c r="S45" s="2431"/>
      <c r="T45" s="2431"/>
      <c r="U45" s="2431"/>
      <c r="V45" s="2431"/>
    </row>
    <row r="46" spans="1:30" s="1735" customFormat="1">
      <c r="A46" s="1562"/>
      <c r="B46" s="1562"/>
      <c r="C46" s="1043"/>
      <c r="D46" s="1043"/>
      <c r="E46" s="1043"/>
      <c r="F46" s="1043"/>
      <c r="G46" s="1043"/>
      <c r="H46" s="1043"/>
      <c r="I46" s="1043"/>
      <c r="J46" s="2429"/>
      <c r="K46" s="2430"/>
      <c r="L46" s="2430"/>
      <c r="M46" s="1043"/>
      <c r="N46" s="1043"/>
      <c r="O46" s="1043"/>
      <c r="P46" s="1043"/>
      <c r="Q46" s="1043"/>
      <c r="R46" s="1043"/>
      <c r="S46" s="2431"/>
      <c r="T46" s="2431"/>
      <c r="U46" s="2431"/>
      <c r="V46" s="2431"/>
    </row>
    <row r="47" spans="1:30" s="1735" customFormat="1">
      <c r="A47" s="1562"/>
      <c r="B47" s="1562"/>
      <c r="C47" s="1043"/>
      <c r="D47" s="1043"/>
      <c r="E47" s="1043"/>
      <c r="F47" s="1043"/>
      <c r="G47" s="1043"/>
      <c r="H47" s="1043"/>
      <c r="I47" s="1043"/>
      <c r="J47" s="2429"/>
      <c r="K47" s="2430"/>
      <c r="L47" s="2430"/>
      <c r="M47" s="1043"/>
      <c r="N47" s="1043"/>
      <c r="O47" s="1043"/>
      <c r="P47" s="1043"/>
      <c r="Q47" s="1043"/>
      <c r="R47" s="1043"/>
      <c r="S47" s="2431"/>
      <c r="T47" s="2431"/>
      <c r="U47" s="2431"/>
      <c r="V47" s="2431"/>
    </row>
    <row r="48" spans="1:30" s="1735" customFormat="1">
      <c r="A48" s="1562"/>
      <c r="B48" s="1562"/>
      <c r="C48" s="1043"/>
      <c r="D48" s="1043"/>
      <c r="E48" s="1043"/>
      <c r="F48" s="1043"/>
      <c r="G48" s="1043"/>
      <c r="H48" s="1043"/>
      <c r="I48" s="1043"/>
      <c r="J48" s="2429"/>
      <c r="K48" s="2430"/>
      <c r="L48" s="2430"/>
      <c r="M48" s="1043"/>
      <c r="N48" s="1043"/>
      <c r="O48" s="1043"/>
      <c r="P48" s="1043"/>
      <c r="Q48" s="1043"/>
      <c r="R48" s="1043"/>
      <c r="S48" s="2431"/>
      <c r="T48" s="2431"/>
      <c r="U48" s="2431"/>
      <c r="V48" s="2431"/>
    </row>
    <row r="49" spans="1:22" s="1735" customFormat="1">
      <c r="A49" s="1562"/>
      <c r="B49" s="1562"/>
      <c r="C49" s="1043"/>
      <c r="D49" s="1043"/>
      <c r="E49" s="1043"/>
      <c r="F49" s="1043"/>
      <c r="G49" s="1043"/>
      <c r="H49" s="1043"/>
      <c r="I49" s="1043"/>
      <c r="J49" s="2429"/>
      <c r="K49" s="2430"/>
      <c r="L49" s="2430"/>
      <c r="M49" s="1043"/>
      <c r="N49" s="1043"/>
      <c r="O49" s="1043"/>
      <c r="P49" s="1043"/>
      <c r="Q49" s="1043"/>
      <c r="R49" s="1043"/>
      <c r="S49" s="2431"/>
      <c r="T49" s="2431"/>
      <c r="U49" s="2431"/>
      <c r="V49" s="2431"/>
    </row>
    <row r="50" spans="1:22" s="1735" customFormat="1">
      <c r="A50" s="1562"/>
      <c r="B50" s="1562"/>
      <c r="C50" s="1043"/>
      <c r="D50" s="1043"/>
      <c r="E50" s="1043"/>
      <c r="F50" s="1043"/>
      <c r="G50" s="1043"/>
      <c r="H50" s="1043"/>
      <c r="I50" s="1043"/>
      <c r="J50" s="2429"/>
      <c r="K50" s="2430"/>
      <c r="L50" s="2430"/>
      <c r="M50" s="1043"/>
      <c r="N50" s="1043"/>
      <c r="O50" s="1043"/>
      <c r="P50" s="1043"/>
      <c r="Q50" s="1043"/>
      <c r="R50" s="1043"/>
      <c r="S50" s="2431"/>
      <c r="T50" s="2431"/>
      <c r="U50" s="2431"/>
      <c r="V50" s="2431"/>
    </row>
    <row r="51" spans="1:22" s="1735" customFormat="1">
      <c r="A51" s="1562"/>
      <c r="B51" s="1562"/>
      <c r="C51" s="1043"/>
      <c r="D51" s="1043"/>
      <c r="E51" s="1043"/>
      <c r="F51" s="1043"/>
      <c r="G51" s="1043"/>
      <c r="H51" s="1043"/>
      <c r="I51" s="1043"/>
      <c r="J51" s="2429"/>
      <c r="K51" s="2430"/>
      <c r="L51" s="2430"/>
      <c r="M51" s="1043"/>
      <c r="N51" s="1043"/>
      <c r="O51" s="1043"/>
      <c r="P51" s="1043"/>
      <c r="Q51" s="1043"/>
      <c r="R51" s="1043"/>
    </row>
    <row r="52" spans="1:22" s="1735" customFormat="1">
      <c r="A52" s="1562"/>
      <c r="B52" s="1562"/>
      <c r="C52" s="1562"/>
      <c r="D52" s="1562"/>
      <c r="E52" s="1562"/>
      <c r="F52" s="1043"/>
      <c r="G52" s="1562"/>
      <c r="H52" s="1562"/>
      <c r="I52" s="1562"/>
      <c r="J52" s="2432"/>
      <c r="K52" s="2430"/>
      <c r="L52" s="2430"/>
      <c r="M52" s="2430"/>
      <c r="N52" s="1562"/>
      <c r="O52" s="1562"/>
      <c r="P52" s="1562"/>
      <c r="Q52" s="1562"/>
      <c r="R52" s="1562"/>
    </row>
    <row r="53" spans="1:22" s="1735" customFormat="1">
      <c r="A53" s="1562"/>
      <c r="B53" s="1562"/>
      <c r="C53" s="1562"/>
      <c r="D53" s="1562"/>
      <c r="E53" s="1562"/>
      <c r="F53" s="1043"/>
      <c r="G53" s="1562"/>
      <c r="H53" s="1562"/>
      <c r="I53" s="1562"/>
      <c r="J53" s="2432"/>
      <c r="K53" s="2430"/>
      <c r="L53" s="2430"/>
      <c r="M53" s="2430"/>
      <c r="N53" s="1562"/>
      <c r="O53" s="1562"/>
      <c r="P53" s="1562"/>
      <c r="Q53" s="1562"/>
      <c r="R53" s="1562"/>
    </row>
    <row r="54" spans="1:22" s="1735" customFormat="1">
      <c r="A54" s="1562"/>
      <c r="B54" s="1562"/>
      <c r="C54" s="1562"/>
      <c r="D54" s="1562"/>
      <c r="E54" s="1562"/>
      <c r="F54" s="1043"/>
      <c r="G54" s="1562"/>
      <c r="H54" s="1562"/>
      <c r="I54" s="1562"/>
      <c r="J54" s="2432"/>
      <c r="K54" s="2430"/>
      <c r="L54" s="2430"/>
      <c r="M54" s="2430"/>
      <c r="N54" s="1562"/>
      <c r="O54" s="1562"/>
      <c r="P54" s="1562"/>
      <c r="Q54" s="1562"/>
      <c r="R54" s="1562"/>
    </row>
    <row r="55" spans="1:22" s="1735" customFormat="1">
      <c r="A55" s="1562"/>
      <c r="B55" s="1562"/>
      <c r="C55" s="1562"/>
      <c r="D55" s="1562"/>
      <c r="E55" s="1562"/>
      <c r="F55" s="1043"/>
      <c r="G55" s="1562"/>
      <c r="H55" s="1562"/>
      <c r="I55" s="1562"/>
      <c r="J55" s="2432"/>
      <c r="K55" s="2430"/>
      <c r="L55" s="2430"/>
      <c r="M55" s="2430"/>
      <c r="N55" s="1562"/>
      <c r="O55" s="1562"/>
      <c r="P55" s="1562"/>
      <c r="Q55" s="1562"/>
      <c r="R55" s="1562"/>
    </row>
    <row r="56" spans="1:22" s="1735" customFormat="1">
      <c r="A56" s="1562"/>
      <c r="B56" s="1562"/>
      <c r="C56" s="1562"/>
      <c r="D56" s="1562"/>
      <c r="E56" s="1562"/>
      <c r="F56" s="1043"/>
      <c r="G56" s="1562"/>
      <c r="H56" s="1562"/>
      <c r="I56" s="1562"/>
      <c r="J56" s="2432"/>
      <c r="K56" s="2430"/>
      <c r="L56" s="2430"/>
      <c r="M56" s="2430"/>
      <c r="N56" s="1562"/>
      <c r="O56" s="1562"/>
      <c r="P56" s="1562"/>
      <c r="Q56" s="1562"/>
      <c r="R56" s="15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68"/>
  <sheetViews>
    <sheetView workbookViewId="0">
      <selection activeCell="K27" sqref="K27"/>
    </sheetView>
  </sheetViews>
  <sheetFormatPr defaultRowHeight="13.5"/>
  <cols>
    <col min="1" max="1" width="9" style="3468"/>
    <col min="2" max="2" width="16.125" style="3468" bestFit="1" customWidth="1"/>
    <col min="3" max="3" width="10.25" style="3468" bestFit="1" customWidth="1"/>
    <col min="4" max="5" width="15.5" style="3468" bestFit="1" customWidth="1"/>
    <col min="6" max="6" width="15.75" style="3468" customWidth="1"/>
    <col min="7" max="7" width="9" style="3468"/>
    <col min="8" max="8" width="12.75" style="3468" bestFit="1" customWidth="1"/>
    <col min="9" max="9" width="11.625" style="3468" bestFit="1" customWidth="1"/>
    <col min="10" max="10" width="9" style="3468"/>
    <col min="11" max="11" width="10.5" style="3468" bestFit="1" customWidth="1"/>
    <col min="12" max="12" width="9.5" style="3468" bestFit="1" customWidth="1"/>
    <col min="13" max="16384" width="9" style="3468"/>
  </cols>
  <sheetData>
    <row r="2" spans="2:8">
      <c r="B2" s="3467" t="s">
        <v>3406</v>
      </c>
    </row>
    <row r="3" spans="2:8">
      <c r="B3" s="3469"/>
      <c r="C3" s="3470" t="s">
        <v>2332</v>
      </c>
      <c r="D3" s="3470" t="s">
        <v>3407</v>
      </c>
      <c r="E3" s="3470" t="s">
        <v>3408</v>
      </c>
      <c r="F3" s="3469"/>
      <c r="G3" s="3471" t="s">
        <v>3409</v>
      </c>
    </row>
    <row r="4" spans="2:8">
      <c r="B4" s="3472" t="s">
        <v>3410</v>
      </c>
      <c r="C4" s="3473">
        <f>C5+C6</f>
        <v>103664.12</v>
      </c>
      <c r="D4" s="3473">
        <f>E4/C4</f>
        <v>3248.3381424546892</v>
      </c>
      <c r="E4" s="3473">
        <f>E5+E6</f>
        <v>336736115</v>
      </c>
      <c r="F4" s="3469"/>
      <c r="G4" s="3474">
        <v>1</v>
      </c>
    </row>
    <row r="5" spans="2:8">
      <c r="B5" s="3470" t="s">
        <v>3411</v>
      </c>
      <c r="C5" s="3475">
        <f>'数据-汇总表'!F19</f>
        <v>51900.97</v>
      </c>
      <c r="D5" s="3469">
        <v>2000</v>
      </c>
      <c r="E5" s="3469">
        <f>D5*C5</f>
        <v>103801940</v>
      </c>
      <c r="F5" s="3469"/>
      <c r="G5" s="3469"/>
    </row>
    <row r="6" spans="2:8">
      <c r="B6" s="3470" t="s">
        <v>2642</v>
      </c>
      <c r="C6" s="3469">
        <f>'数据-汇总表'!G20</f>
        <v>51763.15</v>
      </c>
      <c r="D6" s="3469">
        <v>4500</v>
      </c>
      <c r="E6" s="3469">
        <f t="shared" ref="E6:E9" si="0">D6*C6</f>
        <v>232934175</v>
      </c>
      <c r="F6" s="3469"/>
      <c r="G6" s="3469"/>
      <c r="H6" s="3468" t="s">
        <v>3873</v>
      </c>
    </row>
    <row r="7" spans="2:8">
      <c r="B7" s="3472" t="s">
        <v>3412</v>
      </c>
      <c r="C7" s="3473">
        <f>C4</f>
        <v>103664.12</v>
      </c>
      <c r="D7" s="3473">
        <v>1000</v>
      </c>
      <c r="E7" s="3473">
        <f>D7*C7</f>
        <v>103664120</v>
      </c>
      <c r="F7" s="3469"/>
      <c r="G7" s="3474">
        <v>1</v>
      </c>
      <c r="H7" s="3468" t="s">
        <v>3874</v>
      </c>
    </row>
    <row r="8" spans="2:8">
      <c r="B8" s="3472" t="s">
        <v>3413</v>
      </c>
      <c r="C8" s="3473">
        <f>C4</f>
        <v>103664.12</v>
      </c>
      <c r="D8" s="3473">
        <v>2000</v>
      </c>
      <c r="E8" s="3473">
        <f>D8*C8</f>
        <v>207328240</v>
      </c>
      <c r="F8" s="3469"/>
      <c r="G8" s="3474">
        <v>1</v>
      </c>
    </row>
    <row r="9" spans="2:8">
      <c r="B9" s="3472" t="s">
        <v>3414</v>
      </c>
      <c r="C9" s="3473">
        <v>0</v>
      </c>
      <c r="D9" s="3473">
        <f>D6</f>
        <v>4500</v>
      </c>
      <c r="E9" s="3473">
        <f t="shared" si="0"/>
        <v>0</v>
      </c>
      <c r="F9" s="3469"/>
      <c r="G9" s="3469"/>
    </row>
    <row r="10" spans="2:8">
      <c r="B10" s="3470" t="s">
        <v>3415</v>
      </c>
      <c r="C10" s="3469">
        <f>C4</f>
        <v>103664.12</v>
      </c>
      <c r="D10" s="3469">
        <f>E10/C10</f>
        <v>6248.3381424546897</v>
      </c>
      <c r="E10" s="3469">
        <f>E4+E7+E8+E9</f>
        <v>647728475</v>
      </c>
      <c r="F10" s="3469"/>
      <c r="G10" s="3472">
        <f>(G4*E4+G7*E7+G8*E8)/E10</f>
        <v>1</v>
      </c>
    </row>
    <row r="14" spans="2:8">
      <c r="B14" s="3467" t="s">
        <v>3416</v>
      </c>
    </row>
    <row r="15" spans="2:8">
      <c r="B15" s="3469"/>
      <c r="C15" s="3470" t="s">
        <v>3417</v>
      </c>
      <c r="D15" s="3470"/>
      <c r="E15" s="3470" t="s">
        <v>3418</v>
      </c>
      <c r="F15" s="3470" t="s">
        <v>3419</v>
      </c>
      <c r="G15" s="3470" t="s">
        <v>3420</v>
      </c>
      <c r="H15" s="3471" t="s">
        <v>3421</v>
      </c>
    </row>
    <row r="16" spans="2:8">
      <c r="B16" s="3472" t="s">
        <v>3422</v>
      </c>
      <c r="C16" s="3473">
        <v>2022</v>
      </c>
      <c r="D16" s="3473">
        <v>2024</v>
      </c>
      <c r="E16" s="3473">
        <v>50</v>
      </c>
      <c r="F16" s="3469">
        <v>60</v>
      </c>
      <c r="G16" s="3469">
        <v>0</v>
      </c>
      <c r="H16" s="3476">
        <f>ROUND((1-G16)-(D16-C16)/F16,2)</f>
        <v>0.97</v>
      </c>
    </row>
    <row r="17" spans="2:8">
      <c r="B17" s="3470" t="s">
        <v>3423</v>
      </c>
      <c r="C17" s="3475"/>
      <c r="D17" s="3469"/>
      <c r="E17" s="3469"/>
      <c r="F17" s="3469"/>
      <c r="G17" s="3469"/>
      <c r="H17" s="3474">
        <v>0.85</v>
      </c>
    </row>
    <row r="18" spans="2:8">
      <c r="B18" s="3470"/>
      <c r="C18" s="3469"/>
      <c r="D18" s="3469"/>
      <c r="E18" s="3469"/>
      <c r="F18" s="3469"/>
      <c r="G18" s="3469"/>
      <c r="H18" s="3477">
        <f>ROUND((H17+H16)/2,2)</f>
        <v>0.91</v>
      </c>
    </row>
    <row r="22" spans="2:8">
      <c r="B22" s="3478"/>
    </row>
    <row r="23" spans="2:8">
      <c r="B23" s="3478"/>
    </row>
    <row r="25" spans="2:8">
      <c r="B25" s="3478" t="s">
        <v>3864</v>
      </c>
      <c r="H25" s="3468" t="s">
        <v>3880</v>
      </c>
    </row>
    <row r="26" spans="2:8">
      <c r="B26" s="3553" t="s">
        <v>3865</v>
      </c>
      <c r="C26" s="3554">
        <v>17034.7</v>
      </c>
      <c r="D26" s="3554">
        <f>ROUND(C26/$C$30*$D$30,2)</f>
        <v>17122.310000000001</v>
      </c>
      <c r="H26" s="3554">
        <v>2.5</v>
      </c>
    </row>
    <row r="27" spans="2:8">
      <c r="B27" s="3553" t="s">
        <v>3866</v>
      </c>
      <c r="C27" s="3554">
        <v>992.6</v>
      </c>
      <c r="D27" s="3554">
        <f t="shared" ref="D27:D28" si="1">ROUND(C27/$C$30*$D$30,2)</f>
        <v>997.7</v>
      </c>
      <c r="H27" s="3554">
        <v>1.5</v>
      </c>
    </row>
    <row r="28" spans="2:8">
      <c r="B28" s="3553" t="s">
        <v>3867</v>
      </c>
      <c r="C28" s="3554">
        <f>26028.5-C31</f>
        <v>19757.5</v>
      </c>
      <c r="D28" s="3554">
        <f t="shared" si="1"/>
        <v>19859.11</v>
      </c>
      <c r="E28" s="3468">
        <v>720</v>
      </c>
      <c r="F28" s="3468">
        <f>D28/E28</f>
        <v>27.582097222222224</v>
      </c>
      <c r="G28" s="3468">
        <v>1200</v>
      </c>
      <c r="H28" s="3555">
        <f>ROUND(E28*G28*12/D28/365,2)</f>
        <v>1.43</v>
      </c>
    </row>
    <row r="29" spans="2:8">
      <c r="B29" s="3553" t="s">
        <v>3868</v>
      </c>
      <c r="C29" s="3554">
        <f>691.9+110+92+97+12722.6</f>
        <v>13713.5</v>
      </c>
      <c r="D29" s="3554">
        <f>D30-D28-D27-D26</f>
        <v>13784.029999999999</v>
      </c>
      <c r="H29" s="3554">
        <v>0</v>
      </c>
    </row>
    <row r="30" spans="2:8">
      <c r="B30" s="3553" t="s">
        <v>3881</v>
      </c>
      <c r="C30" s="3554">
        <f>SUM(C26:C29)</f>
        <v>51498.3</v>
      </c>
      <c r="D30" s="3554">
        <f>C6</f>
        <v>51763.15</v>
      </c>
      <c r="H30" s="3555">
        <f>(D26*H26+D27*H27+D28*H28+D29*H29)/D30</f>
        <v>1.4044904975837058</v>
      </c>
    </row>
    <row r="31" spans="2:8">
      <c r="B31" s="3553" t="s">
        <v>3869</v>
      </c>
      <c r="C31" s="3554">
        <v>6271</v>
      </c>
      <c r="D31" s="3554"/>
      <c r="H31" s="3554"/>
    </row>
    <row r="32" spans="2:8">
      <c r="B32" s="3478"/>
      <c r="C32" s="3468">
        <f>SUM(C30:C31)</f>
        <v>57769.3</v>
      </c>
    </row>
    <row r="33" spans="2:5">
      <c r="B33" s="3478"/>
    </row>
    <row r="34" spans="2:5">
      <c r="B34" s="3478"/>
    </row>
    <row r="35" spans="2:5">
      <c r="B35" s="3478"/>
    </row>
    <row r="36" spans="2:5">
      <c r="B36" s="3478"/>
      <c r="D36" s="3468">
        <f>'数据-基础表'!I13</f>
        <v>18871.95</v>
      </c>
      <c r="E36" s="3468">
        <v>3.5</v>
      </c>
    </row>
    <row r="37" spans="2:5">
      <c r="B37" s="3478"/>
      <c r="D37" s="3468">
        <f>'数据-基础表'!I14</f>
        <v>14142.75</v>
      </c>
      <c r="E37" s="3468">
        <v>4</v>
      </c>
    </row>
    <row r="38" spans="2:5">
      <c r="B38" s="3478"/>
      <c r="D38" s="3468">
        <f>'数据-基础表'!I15</f>
        <v>18886.27</v>
      </c>
      <c r="E38" s="3468">
        <v>3.5</v>
      </c>
    </row>
    <row r="39" spans="2:5">
      <c r="B39" s="3478"/>
      <c r="D39" s="3468">
        <f>SUM(D36:D38)</f>
        <v>51900.97</v>
      </c>
      <c r="E39" s="3468">
        <f>SUMPRODUCT(E36:E38,D36:D38)/D39</f>
        <v>3.6362474535639704</v>
      </c>
    </row>
    <row r="40" spans="2:5">
      <c r="B40" s="3478"/>
    </row>
    <row r="41" spans="2:5">
      <c r="B41" s="3478"/>
    </row>
    <row r="42" spans="2:5">
      <c r="B42" s="3478"/>
    </row>
    <row r="43" spans="2:5">
      <c r="B43" s="3478"/>
    </row>
    <row r="44" spans="2:5">
      <c r="B44" s="3478"/>
    </row>
    <row r="45" spans="2:5">
      <c r="B45" s="3478"/>
    </row>
    <row r="46" spans="2:5">
      <c r="B46" s="3478"/>
    </row>
    <row r="47" spans="2:5">
      <c r="B47" s="3478"/>
    </row>
    <row r="48" spans="2:5">
      <c r="B48" s="3478"/>
    </row>
    <row r="49" spans="2:2">
      <c r="B49" s="3478"/>
    </row>
    <row r="50" spans="2:2">
      <c r="B50" s="3478"/>
    </row>
    <row r="51" spans="2:2">
      <c r="B51" s="3478"/>
    </row>
    <row r="52" spans="2:2">
      <c r="B52" s="3478"/>
    </row>
    <row r="53" spans="2:2">
      <c r="B53" s="3478"/>
    </row>
    <row r="54" spans="2:2">
      <c r="B54" s="3478"/>
    </row>
    <row r="55" spans="2:2">
      <c r="B55" s="3478"/>
    </row>
    <row r="56" spans="2:2">
      <c r="B56" s="3478"/>
    </row>
    <row r="57" spans="2:2">
      <c r="B57" s="3478"/>
    </row>
    <row r="58" spans="2:2">
      <c r="B58" s="3478"/>
    </row>
    <row r="59" spans="2:2">
      <c r="B59" s="3478"/>
    </row>
    <row r="60" spans="2:2">
      <c r="B60" s="3478"/>
    </row>
    <row r="61" spans="2:2">
      <c r="B61" s="3478"/>
    </row>
    <row r="62" spans="2:2">
      <c r="B62" s="3478"/>
    </row>
    <row r="63" spans="2:2">
      <c r="B63" s="3478"/>
    </row>
    <row r="64" spans="2:2">
      <c r="B64" s="3478"/>
    </row>
    <row r="65" spans="2:2">
      <c r="B65" s="3478"/>
    </row>
    <row r="66" spans="2:2">
      <c r="B66" s="3478"/>
    </row>
    <row r="67" spans="2:2">
      <c r="B67" s="3478"/>
    </row>
    <row r="68" spans="2:2">
      <c r="B68" s="3478"/>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6"/>
  <sheetViews>
    <sheetView workbookViewId="0">
      <selection activeCell="D45" sqref="D45"/>
    </sheetView>
  </sheetViews>
  <sheetFormatPr defaultRowHeight="13.5"/>
  <cols>
    <col min="3" max="3" width="11.375" bestFit="1" customWidth="1"/>
    <col min="5" max="6" width="11.625" bestFit="1" customWidth="1"/>
    <col min="7" max="7" width="10.5" customWidth="1"/>
    <col min="8" max="8" width="17.25" bestFit="1" customWidth="1"/>
  </cols>
  <sheetData>
    <row r="3" spans="2:9">
      <c r="B3" s="3556" t="s">
        <v>3889</v>
      </c>
      <c r="C3" s="3556" t="s">
        <v>3890</v>
      </c>
      <c r="D3" s="3556" t="s">
        <v>3888</v>
      </c>
      <c r="E3" s="3556" t="s">
        <v>3891</v>
      </c>
      <c r="F3" s="3556" t="s">
        <v>3892</v>
      </c>
      <c r="G3" s="3556" t="s">
        <v>3896</v>
      </c>
      <c r="H3" s="3556" t="s">
        <v>3897</v>
      </c>
      <c r="I3" s="3556" t="s">
        <v>3893</v>
      </c>
    </row>
    <row r="4" spans="2:9">
      <c r="B4" s="3556" t="s">
        <v>3886</v>
      </c>
      <c r="C4" s="3556" t="s">
        <v>3887</v>
      </c>
      <c r="D4">
        <v>285</v>
      </c>
      <c r="E4" s="3557">
        <v>44940</v>
      </c>
      <c r="F4" s="3557">
        <v>46035</v>
      </c>
      <c r="G4" s="3001">
        <f>34675</f>
        <v>34675</v>
      </c>
      <c r="H4" s="3558">
        <f>G4/D4/30</f>
        <v>4.0555555555555554</v>
      </c>
      <c r="I4">
        <v>1</v>
      </c>
    </row>
    <row r="5" spans="2:9">
      <c r="B5" s="3556" t="s">
        <v>3894</v>
      </c>
      <c r="C5" s="3556" t="s">
        <v>3895</v>
      </c>
      <c r="D5">
        <v>278</v>
      </c>
      <c r="E5" s="3557">
        <v>45383</v>
      </c>
      <c r="F5" s="3557">
        <v>45869</v>
      </c>
      <c r="G5" s="3001">
        <v>33823</v>
      </c>
      <c r="H5" s="3558">
        <f>G5/D5/30</f>
        <v>4.0555155875299764</v>
      </c>
      <c r="I5">
        <v>1</v>
      </c>
    </row>
    <row r="6" spans="2:9">
      <c r="B6" s="3556" t="s">
        <v>3886</v>
      </c>
      <c r="C6" s="3556" t="s">
        <v>3898</v>
      </c>
      <c r="D6">
        <v>400</v>
      </c>
      <c r="E6" s="3557">
        <v>44986</v>
      </c>
      <c r="F6" s="3557">
        <v>46081</v>
      </c>
      <c r="G6" s="3001">
        <v>51100</v>
      </c>
      <c r="H6" s="3558">
        <f t="shared" ref="H6:H17" si="0">G6/D6/30</f>
        <v>4.2583333333333337</v>
      </c>
    </row>
    <row r="7" spans="2:9">
      <c r="B7" s="3556" t="s">
        <v>3894</v>
      </c>
      <c r="C7" s="3556" t="s">
        <v>3899</v>
      </c>
      <c r="D7">
        <v>284</v>
      </c>
      <c r="E7" s="3557">
        <v>45338</v>
      </c>
      <c r="F7" s="3557">
        <v>46068</v>
      </c>
      <c r="G7" s="3001">
        <v>34553</v>
      </c>
      <c r="H7" s="3558">
        <f t="shared" si="0"/>
        <v>4.0555164319248824</v>
      </c>
    </row>
    <row r="8" spans="2:9">
      <c r="B8" s="3556" t="s">
        <v>3894</v>
      </c>
      <c r="C8" s="3556" t="s">
        <v>3900</v>
      </c>
      <c r="D8">
        <v>400</v>
      </c>
      <c r="E8" s="3557">
        <v>45275</v>
      </c>
      <c r="F8" s="3557">
        <v>46370</v>
      </c>
      <c r="G8" s="3001">
        <v>49883</v>
      </c>
      <c r="H8" s="3558">
        <f t="shared" si="0"/>
        <v>4.1569166666666666</v>
      </c>
    </row>
    <row r="9" spans="2:9">
      <c r="B9" s="3556" t="s">
        <v>3894</v>
      </c>
      <c r="C9" s="3556" t="s">
        <v>3901</v>
      </c>
      <c r="D9">
        <v>194</v>
      </c>
      <c r="E9" s="3557">
        <v>45367</v>
      </c>
      <c r="F9" s="3557">
        <v>46096</v>
      </c>
      <c r="G9" s="3001">
        <v>23603</v>
      </c>
      <c r="H9" s="3558">
        <f t="shared" si="0"/>
        <v>4.0554982817869414</v>
      </c>
    </row>
    <row r="10" spans="2:9">
      <c r="B10" s="3556" t="s">
        <v>3894</v>
      </c>
      <c r="C10" s="3556" t="s">
        <v>3902</v>
      </c>
      <c r="D10">
        <v>711</v>
      </c>
      <c r="E10" s="3557">
        <v>45261</v>
      </c>
      <c r="F10" s="3557">
        <v>46355</v>
      </c>
      <c r="G10" s="3001">
        <v>93209.14</v>
      </c>
      <c r="H10" s="3558">
        <f t="shared" si="0"/>
        <v>4.3698612283169247</v>
      </c>
    </row>
    <row r="11" spans="2:9">
      <c r="B11" s="3556" t="s">
        <v>3894</v>
      </c>
      <c r="C11" s="3556" t="s">
        <v>3903</v>
      </c>
      <c r="D11">
        <v>121</v>
      </c>
      <c r="E11" s="3557">
        <v>45337</v>
      </c>
      <c r="F11" s="3557">
        <v>46067</v>
      </c>
      <c r="G11" s="3001">
        <v>14722</v>
      </c>
      <c r="H11" s="3558">
        <f t="shared" si="0"/>
        <v>4.0556473829201103</v>
      </c>
    </row>
    <row r="12" spans="2:9">
      <c r="B12" s="3556" t="s">
        <v>3894</v>
      </c>
      <c r="C12" s="3556" t="s">
        <v>3904</v>
      </c>
      <c r="D12">
        <v>1199</v>
      </c>
      <c r="E12" s="3557">
        <v>45291</v>
      </c>
      <c r="F12" s="3557">
        <v>46386</v>
      </c>
      <c r="G12" s="3001">
        <v>149525</v>
      </c>
      <c r="H12" s="3558">
        <f t="shared" si="0"/>
        <v>4.156936335835419</v>
      </c>
    </row>
    <row r="13" spans="2:9">
      <c r="B13" s="3556" t="s">
        <v>3886</v>
      </c>
      <c r="C13" s="3556" t="s">
        <v>3905</v>
      </c>
      <c r="D13">
        <v>563</v>
      </c>
      <c r="E13" s="3557">
        <v>45078</v>
      </c>
      <c r="F13" s="3557">
        <v>46172</v>
      </c>
      <c r="G13" s="3001">
        <v>68498</v>
      </c>
      <c r="H13" s="3558">
        <f t="shared" si="0"/>
        <v>4.0555358200118414</v>
      </c>
    </row>
    <row r="14" spans="2:9">
      <c r="B14" s="3556" t="s">
        <v>3886</v>
      </c>
      <c r="C14" s="3556" t="s">
        <v>3906</v>
      </c>
      <c r="D14">
        <v>163</v>
      </c>
      <c r="E14" s="3557">
        <v>44958</v>
      </c>
      <c r="F14" s="3557">
        <v>45688</v>
      </c>
      <c r="G14" s="3001">
        <v>20327</v>
      </c>
      <c r="H14" s="3558">
        <f t="shared" si="0"/>
        <v>4.1568507157464207</v>
      </c>
    </row>
    <row r="15" spans="2:9">
      <c r="B15" s="3556" t="s">
        <v>3886</v>
      </c>
      <c r="C15" s="3556" t="s">
        <v>3907</v>
      </c>
      <c r="D15">
        <v>870</v>
      </c>
      <c r="E15" s="3557">
        <v>45170</v>
      </c>
      <c r="F15" s="3557">
        <v>45260</v>
      </c>
      <c r="G15" s="3001">
        <v>108496</v>
      </c>
      <c r="H15" s="3558">
        <f t="shared" si="0"/>
        <v>4.1569348659003831</v>
      </c>
    </row>
    <row r="16" spans="2:9">
      <c r="B16" s="3556" t="s">
        <v>3886</v>
      </c>
      <c r="C16" s="3556" t="s">
        <v>3908</v>
      </c>
      <c r="D16">
        <v>122</v>
      </c>
      <c r="E16" s="3557">
        <v>45122</v>
      </c>
      <c r="F16" s="3557">
        <v>46217</v>
      </c>
      <c r="G16" s="3001">
        <v>15214</v>
      </c>
      <c r="H16" s="3558">
        <f t="shared" si="0"/>
        <v>4.1568306010928957</v>
      </c>
    </row>
    <row r="17" spans="2:8">
      <c r="B17" s="3556" t="s">
        <v>3886</v>
      </c>
      <c r="C17" s="3556" t="s">
        <v>3909</v>
      </c>
      <c r="D17">
        <v>685</v>
      </c>
      <c r="E17" s="3557">
        <v>45153</v>
      </c>
      <c r="F17" s="3557">
        <v>46248</v>
      </c>
      <c r="G17" s="3001">
        <v>85425</v>
      </c>
      <c r="H17" s="3558">
        <f t="shared" si="0"/>
        <v>4.1569343065693429</v>
      </c>
    </row>
    <row r="18" spans="2:8">
      <c r="B18" s="3556"/>
      <c r="C18" s="3556"/>
      <c r="E18" s="3557"/>
      <c r="F18" s="3557"/>
      <c r="G18" s="3001"/>
      <c r="H18" s="3558"/>
    </row>
    <row r="19" spans="2:8">
      <c r="B19" s="3556"/>
      <c r="C19" s="3556"/>
      <c r="E19" s="3557"/>
      <c r="F19" s="3557"/>
      <c r="G19" s="3001"/>
      <c r="H19" s="3558"/>
    </row>
    <row r="20" spans="2:8">
      <c r="B20" s="3556"/>
      <c r="C20" s="3556"/>
      <c r="E20" s="3557"/>
      <c r="F20" s="3557"/>
      <c r="G20" s="3001"/>
      <c r="H20" s="3558"/>
    </row>
    <row r="22" spans="2:8">
      <c r="B22" s="3556" t="s">
        <v>3910</v>
      </c>
      <c r="C22" s="3556" t="s">
        <v>3911</v>
      </c>
      <c r="D22">
        <v>1858</v>
      </c>
      <c r="E22" s="3557">
        <v>44378</v>
      </c>
      <c r="F22" s="3557">
        <v>46112</v>
      </c>
      <c r="H22">
        <v>2.63</v>
      </c>
    </row>
    <row r="23" spans="2:8">
      <c r="B23" s="3556" t="s">
        <v>3910</v>
      </c>
      <c r="C23" s="3556" t="s">
        <v>3912</v>
      </c>
      <c r="D23">
        <v>1408</v>
      </c>
      <c r="E23" s="3557">
        <v>44378</v>
      </c>
      <c r="F23" s="3557">
        <v>46112</v>
      </c>
      <c r="H23">
        <v>2.63</v>
      </c>
    </row>
    <row r="24" spans="2:8">
      <c r="B24" s="3556" t="s">
        <v>3914</v>
      </c>
      <c r="C24" s="3556" t="s">
        <v>3915</v>
      </c>
      <c r="D24">
        <v>3252</v>
      </c>
      <c r="E24" s="3557">
        <v>45383</v>
      </c>
      <c r="F24" s="3557">
        <v>46203</v>
      </c>
      <c r="H24">
        <v>2.42</v>
      </c>
    </row>
    <row r="26" spans="2:8">
      <c r="B26" s="3556" t="s">
        <v>3913</v>
      </c>
      <c r="D26">
        <v>16255</v>
      </c>
      <c r="E26" s="3557">
        <v>44228</v>
      </c>
      <c r="F26" s="3557">
        <v>46053</v>
      </c>
      <c r="H26">
        <v>7.35</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5" sqref="K35"/>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2" width="9.5" style="1565" customWidth="1"/>
    <col min="13" max="14" width="9.5" style="1565" hidden="1" customWidth="1"/>
    <col min="15" max="15" width="9.875" style="1565" hidden="1" customWidth="1"/>
    <col min="16" max="16" width="9.75" style="1565" hidden="1" customWidth="1"/>
    <col min="17" max="17" width="9.375" style="1565" hidden="1" customWidth="1"/>
    <col min="18" max="18" width="9.25" style="1565" hidden="1" customWidth="1"/>
    <col min="19" max="19" width="10.875" style="1565" hidden="1" customWidth="1"/>
    <col min="20" max="21" width="10.75" style="1565" hidden="1" customWidth="1"/>
    <col min="22" max="22" width="10.875" style="1565" hidden="1" customWidth="1"/>
    <col min="23" max="27" width="10.75" style="1565" hidden="1" customWidth="1"/>
    <col min="28" max="28" width="10.875" style="1565" hidden="1"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v>22117.26</v>
      </c>
      <c r="B3" s="11">
        <f>IF(C3="否",G5-AT5,G5)</f>
        <v>103664.12</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103664.12</v>
      </c>
      <c r="H5" s="13">
        <f t="shared" ref="H5:AT5" si="0">SUM(H13:H656)</f>
        <v>103664.12</v>
      </c>
      <c r="I5" s="13">
        <f t="shared" si="0"/>
        <v>51900.97</v>
      </c>
      <c r="J5" s="13">
        <f t="shared" si="0"/>
        <v>0</v>
      </c>
      <c r="K5" s="13">
        <f t="shared" si="0"/>
        <v>51763.15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103664.12</v>
      </c>
      <c r="BA5" s="15">
        <f t="shared" si="1"/>
        <v>103664.12</v>
      </c>
      <c r="BB5" s="15">
        <f t="shared" si="1"/>
        <v>51900.97</v>
      </c>
      <c r="BC5" s="15">
        <f t="shared" si="1"/>
        <v>51763.15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22117.260000000002</v>
      </c>
      <c r="F6" s="13" t="s">
        <v>0</v>
      </c>
      <c r="G6" s="13" t="s">
        <v>1</v>
      </c>
      <c r="H6" s="17">
        <f>SUMIF(I$12:AB$12,"总值",I6:AB6)</f>
        <v>22117.260000000002</v>
      </c>
      <c r="I6" s="13">
        <f t="shared" ref="I6:AB6" si="2">ROUND($A$3*I5/$B$3,2)</f>
        <v>11073.33</v>
      </c>
      <c r="J6" s="13">
        <f t="shared" si="2"/>
        <v>0</v>
      </c>
      <c r="K6" s="13">
        <f t="shared" si="2"/>
        <v>11043.93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22117.26</v>
      </c>
      <c r="AZ6" s="13" t="s">
        <v>2</v>
      </c>
      <c r="BA6" s="13">
        <f>ROUND($AY$6*BA5/$AZ$5,2)</f>
        <v>22117.26</v>
      </c>
      <c r="BB6" s="13">
        <f>ROUND($AY$6*BB5/$AZ$5,2)</f>
        <v>11073.33</v>
      </c>
      <c r="BC6" s="13">
        <f t="shared" ref="BC6:BH6" si="4">ROUND($AY$6*BC5/$AZ$5,2)</f>
        <v>11043.93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3400</v>
      </c>
      <c r="J9" s="801"/>
      <c r="K9" s="1595" t="s">
        <v>3403</v>
      </c>
      <c r="L9" s="801"/>
      <c r="M9" s="1595"/>
      <c r="N9" s="801"/>
      <c r="O9" s="1595"/>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3401</v>
      </c>
      <c r="J10" s="801"/>
      <c r="K10" s="1601" t="s">
        <v>3401</v>
      </c>
      <c r="L10" s="801"/>
      <c r="M10" s="1601"/>
      <c r="N10" s="801"/>
      <c r="O10" s="1601"/>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地下</v>
      </c>
      <c r="BD10" s="26">
        <f>M9</f>
        <v>0</v>
      </c>
      <c r="BE10" s="26">
        <f>O9</f>
        <v>0</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t="s">
        <v>3402</v>
      </c>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公共服务</v>
      </c>
      <c r="BC11" s="1591" t="str">
        <f>K10</f>
        <v>公共服务</v>
      </c>
      <c r="BD11" s="1591">
        <f>M10</f>
        <v>0</v>
      </c>
      <c r="BE11" s="1591">
        <f>O10</f>
        <v>0</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t="str">
        <f>I11</f>
        <v>办公楼</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562" t="s">
        <v>3396</v>
      </c>
      <c r="D13" s="1617" t="s">
        <v>3405</v>
      </c>
      <c r="E13" s="13">
        <f>IF($C$3="是",ROUND($A$3*G13/$B$3,2),ROUND($A$3*(G13-AT13)/$B$3,2))</f>
        <v>4026.43</v>
      </c>
      <c r="F13" s="29"/>
      <c r="G13" s="30">
        <f>H13+AC13+AT13</f>
        <v>18871.95</v>
      </c>
      <c r="H13" s="17">
        <f>SUMIF(I$12:AB$12,"总值",I13:AB13)</f>
        <v>18871.95</v>
      </c>
      <c r="I13" s="1618">
        <v>18871.95</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t="str">
        <f t="shared" si="6"/>
        <v>1#研发楼</v>
      </c>
      <c r="AY13" s="1341">
        <f>ROUND($AY$6*AZ13/$AZ$5,2)</f>
        <v>4026.43</v>
      </c>
      <c r="AZ13" s="13">
        <f>BA13+BL13</f>
        <v>18871.95</v>
      </c>
      <c r="BA13" s="13">
        <f>SUM(BB13:BK13)</f>
        <v>18871.95</v>
      </c>
      <c r="BB13" s="13">
        <f>IF($D13="是",I13-J13,0)</f>
        <v>18871.95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562" t="s">
        <v>3397</v>
      </c>
      <c r="D14" s="1617" t="s">
        <v>3405</v>
      </c>
      <c r="E14" s="13">
        <f>IF($C$3="是",ROUND($A$3*G14/$B$3,2),ROUND($A$3*(G14-AT14)/$B$3,2))</f>
        <v>3017.43</v>
      </c>
      <c r="F14" s="29"/>
      <c r="G14" s="30">
        <f>H14+AC14+AT14</f>
        <v>14142.75</v>
      </c>
      <c r="H14" s="17">
        <f>SUMIF(I$12:AB$12,"总值",I14:AB14)</f>
        <v>14142.75</v>
      </c>
      <c r="I14" s="1618">
        <v>14142.75</v>
      </c>
      <c r="J14" s="1618"/>
      <c r="K14" s="1618"/>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t="str">
        <f t="shared" si="6"/>
        <v>2#研发楼</v>
      </c>
      <c r="AY14" s="1341">
        <f>ROUND($AY$6*AZ14/$AZ$5,2)</f>
        <v>3017.43</v>
      </c>
      <c r="AZ14" s="13">
        <f>BA14+BL14</f>
        <v>14142.75</v>
      </c>
      <c r="BA14" s="13">
        <f>SUM(BB14:BK14)</f>
        <v>14142.75</v>
      </c>
      <c r="BB14" s="13">
        <f>IF($D14="是",I14-J14,0)</f>
        <v>14142.75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562" t="s">
        <v>3398</v>
      </c>
      <c r="D15" s="1617" t="s">
        <v>3405</v>
      </c>
      <c r="E15" s="13">
        <f>IF($C$3="是",ROUND($A$3*G15/$B$3,2),ROUND($A$3*(G15-AT15)/$B$3,2))</f>
        <v>4029.48</v>
      </c>
      <c r="F15" s="29"/>
      <c r="G15" s="30">
        <f>H15+AC15+AT15</f>
        <v>18886.27</v>
      </c>
      <c r="H15" s="17">
        <f>SUMIF(I$12:AB$12,"总值",I15:AB15)</f>
        <v>18886.27</v>
      </c>
      <c r="I15" s="1618">
        <v>18886.27</v>
      </c>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t="str">
        <f t="shared" si="6"/>
        <v>3#研发楼</v>
      </c>
      <c r="AY15" s="1341">
        <f>ROUND($AY$6*AZ15/$AZ$5,2)</f>
        <v>4029.48</v>
      </c>
      <c r="AZ15" s="13">
        <f>BA15+BL15</f>
        <v>18886.27</v>
      </c>
      <c r="BA15" s="13">
        <f>SUM(BB15:BK15)</f>
        <v>18886.27</v>
      </c>
      <c r="BB15" s="13">
        <f>IF($D15="是",I15-J15,0)</f>
        <v>18886.27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562" t="s">
        <v>3399</v>
      </c>
      <c r="D16" s="1617" t="s">
        <v>3405</v>
      </c>
      <c r="E16" s="13">
        <f>IF($C$3="是",ROUND($A$3*G16/$B$3,2),ROUND($A$3*(G16-AT16)/$B$3,2))</f>
        <v>11043.93</v>
      </c>
      <c r="F16" s="29"/>
      <c r="G16" s="30">
        <f>H16+AC16+AT16</f>
        <v>51763.15</v>
      </c>
      <c r="H16" s="17">
        <f>SUMIF(I$12:AB$12,"总值",I16:AB16)</f>
        <v>51763.15</v>
      </c>
      <c r="I16" s="1618"/>
      <c r="J16" s="1618"/>
      <c r="K16" s="1618">
        <v>51763.15</v>
      </c>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t="str">
        <f t="shared" si="6"/>
        <v>4#地下车库</v>
      </c>
      <c r="AY16" s="1341">
        <f>ROUND($AY$6*AZ16/$AZ$5,2)</f>
        <v>11043.93</v>
      </c>
      <c r="AZ16" s="13">
        <f>BA16+BL16</f>
        <v>51763.15</v>
      </c>
      <c r="BA16" s="13">
        <f>SUM(BB16:BK16)</f>
        <v>51763.15</v>
      </c>
      <c r="BB16" s="13">
        <f>IF($D16="是",I16-J16,0)</f>
        <v>0</v>
      </c>
      <c r="BC16" s="13">
        <f>IF($D16="是",K16-L16,0)</f>
        <v>51763.15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c r="A17" s="1043"/>
      <c r="B17" s="1043"/>
      <c r="C17" s="1562"/>
      <c r="D17" s="1617"/>
      <c r="E17" s="13">
        <f>IF($C$3="是",ROUND($A$3*G17/$B$3,2),ROUND($A$3*(G17-AT17)/$B$3,2))</f>
        <v>0</v>
      </c>
      <c r="F17" s="29"/>
      <c r="G17" s="30">
        <f>H17+AC17+AT17</f>
        <v>0</v>
      </c>
      <c r="H17" s="17">
        <f>SUMIF(I$12:AB$12,"总值",I17:AB17)</f>
        <v>0</v>
      </c>
      <c r="I17" s="1618"/>
      <c r="J17" s="1618"/>
      <c r="K17" s="36"/>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S46" sqref="S46"/>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41"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640" t="s">
        <v>1131</v>
      </c>
      <c r="B2" s="3640"/>
      <c r="C2" s="3640"/>
      <c r="D2" s="788" t="s">
        <v>1107</v>
      </c>
      <c r="E2" s="1631" t="s">
        <v>1108</v>
      </c>
      <c r="F2" s="2651"/>
      <c r="G2" s="2642"/>
      <c r="H2" s="2643"/>
      <c r="I2" s="2317" t="s">
        <v>1132</v>
      </c>
      <c r="J2" s="2651"/>
      <c r="K2" s="2651"/>
      <c r="L2" s="2651"/>
      <c r="M2" s="2651"/>
      <c r="N2" s="2653"/>
      <c r="O2" s="2651"/>
      <c r="P2" s="2651"/>
    </row>
    <row r="3" spans="1:16" ht="15.75" thickBot="1">
      <c r="A3" s="3641" t="s">
        <v>1105</v>
      </c>
      <c r="B3" s="3641"/>
      <c r="C3" s="3641"/>
      <c r="D3" s="43">
        <f>'数据-基础表'!AY6</f>
        <v>22117.26</v>
      </c>
      <c r="E3" s="43">
        <f>'数据-基础表'!AZ5</f>
        <v>103664.12</v>
      </c>
      <c r="F3" s="2651"/>
      <c r="G3" s="1137"/>
      <c r="H3" s="1018" t="s">
        <v>1106</v>
      </c>
      <c r="I3" s="847">
        <f>ROUND('数据-基础表'!B3/'数据-基础表'!A3,2)</f>
        <v>4.6900000000000004</v>
      </c>
      <c r="J3" s="2651"/>
      <c r="K3" s="2651"/>
      <c r="L3" s="2651"/>
      <c r="M3" s="2651"/>
      <c r="N3" s="2653"/>
      <c r="O3" s="2651"/>
      <c r="P3" s="2651"/>
    </row>
    <row r="4" spans="1:16" ht="15">
      <c r="A4" s="3642"/>
      <c r="B4" s="3643"/>
      <c r="C4" s="3644"/>
      <c r="D4" s="1633" t="s">
        <v>1107</v>
      </c>
      <c r="E4" s="1634" t="s">
        <v>1108</v>
      </c>
      <c r="F4" s="2651"/>
      <c r="G4" s="2644" t="s">
        <v>1133</v>
      </c>
      <c r="H4" s="1018" t="s">
        <v>1113</v>
      </c>
      <c r="I4" s="847">
        <f>ROUND(SUMIF('数据-基础表'!I9:AS9,"地上",'数据-基础表'!I5:AS5)/'数据-基础表'!A3,2)</f>
        <v>2.35</v>
      </c>
      <c r="J4" s="2651"/>
      <c r="K4" s="2651"/>
      <c r="L4" s="2651"/>
      <c r="M4" s="2651"/>
      <c r="N4" s="2653"/>
      <c r="O4" s="2651"/>
      <c r="P4" s="2651"/>
    </row>
    <row r="5" spans="1:16">
      <c r="A5" s="44" t="s">
        <v>1109</v>
      </c>
      <c r="B5" s="3645" t="s">
        <v>1110</v>
      </c>
      <c r="C5" s="3645"/>
      <c r="D5" s="45">
        <f>ROUND($D$3*E5/$E$3,2)</f>
        <v>0</v>
      </c>
      <c r="E5" s="46">
        <f>SUMIF('数据-基础表'!$11:$11,"住宅",'数据-基础表'!$5:$5)</f>
        <v>0</v>
      </c>
      <c r="F5" s="2651"/>
      <c r="G5" s="1137"/>
      <c r="H5" s="1018" t="s">
        <v>1106</v>
      </c>
      <c r="I5" s="847">
        <f>ROUND(E31/D31,2)</f>
        <v>4.6900000000000004</v>
      </c>
      <c r="J5" s="2651"/>
      <c r="K5" s="2651"/>
      <c r="L5" s="2651"/>
      <c r="M5" s="2651"/>
      <c r="N5" s="2651"/>
      <c r="O5" s="2651"/>
      <c r="P5" s="2651"/>
    </row>
    <row r="6" spans="1:16" ht="15" thickBot="1">
      <c r="A6" s="1636"/>
      <c r="B6" s="3645" t="s">
        <v>1111</v>
      </c>
      <c r="C6" s="3645"/>
      <c r="D6" s="45">
        <f>ROUND($D$3*E6/$E$3,2)</f>
        <v>22117.26</v>
      </c>
      <c r="E6" s="46">
        <f>E3-E5</f>
        <v>103664.12</v>
      </c>
      <c r="F6" s="2651"/>
      <c r="G6" s="2645" t="s">
        <v>1112</v>
      </c>
      <c r="H6" s="1138" t="s">
        <v>1113</v>
      </c>
      <c r="I6" s="2646">
        <f>ROUND(F31/D31,2)</f>
        <v>2.35</v>
      </c>
      <c r="J6" s="2651"/>
      <c r="K6" s="2651"/>
      <c r="L6" s="2651"/>
      <c r="M6" s="2651"/>
      <c r="N6" s="2651"/>
      <c r="O6" s="2651"/>
      <c r="P6" s="2651"/>
    </row>
    <row r="7" spans="1:16" ht="15.75" thickBot="1">
      <c r="A7" s="3637"/>
      <c r="B7" s="3638"/>
      <c r="C7" s="3639"/>
      <c r="D7" s="1633" t="s">
        <v>1107</v>
      </c>
      <c r="E7" s="1637"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11073.33</v>
      </c>
      <c r="E8" s="48">
        <f>SUMIF('数据-基础表'!BB10:BK10,"地上",'数据-基础表'!BB5:BK5)</f>
        <v>51900.97</v>
      </c>
      <c r="F8" s="2651"/>
      <c r="G8" s="2652"/>
      <c r="H8" s="2652"/>
      <c r="I8" s="2651"/>
      <c r="J8" s="2651"/>
      <c r="K8" s="2651"/>
      <c r="L8" s="2651"/>
      <c r="M8" s="2651"/>
      <c r="N8" s="2651"/>
      <c r="O8" s="2651"/>
      <c r="P8" s="2651"/>
    </row>
    <row r="9" spans="1:16">
      <c r="A9" s="1638"/>
      <c r="B9" s="1639"/>
      <c r="C9" s="45" t="s">
        <v>1119</v>
      </c>
      <c r="D9" s="45">
        <f t="shared" si="0"/>
        <v>0</v>
      </c>
      <c r="E9" s="49">
        <v>0</v>
      </c>
      <c r="F9" s="2651"/>
      <c r="G9" s="2652"/>
      <c r="H9" s="2652"/>
      <c r="I9" s="2651"/>
      <c r="J9" s="2651"/>
      <c r="K9" s="2651"/>
      <c r="L9" s="2651"/>
      <c r="M9" s="2651"/>
      <c r="N9" s="2651"/>
      <c r="O9" s="2651"/>
      <c r="P9" s="2651"/>
    </row>
    <row r="10" spans="1:16">
      <c r="A10" s="1638"/>
      <c r="B10" s="1639"/>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38"/>
      <c r="B11" s="1639"/>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38"/>
      <c r="B12" s="1639"/>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38"/>
      <c r="B13" s="1639"/>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38"/>
      <c r="B14" s="1639"/>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38"/>
      <c r="B15" s="1639"/>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36"/>
      <c r="B16" s="1639"/>
      <c r="C16" s="47" t="s">
        <v>1123</v>
      </c>
      <c r="D16" s="47">
        <f>SUM(D8:D15)</f>
        <v>11073.33</v>
      </c>
      <c r="E16" s="50">
        <f>SUM(E8:E15)</f>
        <v>51900.97</v>
      </c>
      <c r="F16" s="2651"/>
      <c r="G16" s="2652"/>
      <c r="H16" s="1640" t="s">
        <v>1135</v>
      </c>
      <c r="I16" s="1641"/>
      <c r="J16" s="1131"/>
      <c r="K16" s="3634" t="s">
        <v>1135</v>
      </c>
      <c r="L16" s="3635"/>
      <c r="M16" s="3635"/>
      <c r="N16" s="3635"/>
      <c r="O16" s="3635"/>
      <c r="P16" s="3636"/>
    </row>
    <row r="17" spans="1:19" ht="15">
      <c r="A17" s="1642" t="s">
        <v>1136</v>
      </c>
      <c r="B17" s="1643" t="s">
        <v>1137</v>
      </c>
      <c r="C17" s="1644" t="s">
        <v>1138</v>
      </c>
      <c r="D17" s="1645" t="s">
        <v>1126</v>
      </c>
      <c r="E17" s="1646" t="s">
        <v>1127</v>
      </c>
      <c r="F17" s="1647"/>
      <c r="G17" s="1648"/>
      <c r="H17" s="1649" t="s">
        <v>1139</v>
      </c>
      <c r="I17" s="1650" t="s">
        <v>1124</v>
      </c>
      <c r="J17" s="1131"/>
      <c r="K17" s="3631" t="s">
        <v>1140</v>
      </c>
      <c r="L17" s="3632"/>
      <c r="M17" s="3633"/>
      <c r="N17" s="3631" t="s">
        <v>1141</v>
      </c>
      <c r="O17" s="3632"/>
      <c r="P17" s="3633"/>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9" t="s">
        <v>3404</v>
      </c>
      <c r="D19" s="45">
        <f>ROUND($D$3*E19/$E$3,2)</f>
        <v>11073.33</v>
      </c>
      <c r="E19" s="53">
        <f t="shared" ref="E19:E26" si="1">SUM(F19:G19)</f>
        <v>51900.97</v>
      </c>
      <c r="F19" s="2787">
        <f>'数据-基础表'!I5</f>
        <v>51900.97</v>
      </c>
      <c r="G19" s="2788"/>
      <c r="H19" s="667">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11073.33</v>
      </c>
      <c r="S19" s="1019">
        <f t="shared" si="5"/>
        <v>51900.97</v>
      </c>
    </row>
    <row r="20" spans="1:19">
      <c r="A20" s="1662"/>
      <c r="B20" s="47" t="s">
        <v>1153</v>
      </c>
      <c r="C20" s="3409" t="s">
        <v>3426</v>
      </c>
      <c r="D20" s="45">
        <f t="shared" ref="D20:D26" si="6">ROUND($D$3*E20/$E$3,2)</f>
        <v>11043.93</v>
      </c>
      <c r="E20" s="53">
        <f t="shared" si="1"/>
        <v>51763.15</v>
      </c>
      <c r="F20" s="2787"/>
      <c r="G20" s="2788">
        <f>'数据-基础表'!K16</f>
        <v>51763.15</v>
      </c>
      <c r="H20" s="667">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11043.93</v>
      </c>
      <c r="S20" s="1019">
        <f t="shared" si="5"/>
        <v>51763.15</v>
      </c>
    </row>
    <row r="21" spans="1:19">
      <c r="A21" s="1662"/>
      <c r="B21" s="47" t="s">
        <v>1153</v>
      </c>
      <c r="C21" s="3409"/>
      <c r="D21" s="45">
        <f t="shared" si="6"/>
        <v>0</v>
      </c>
      <c r="E21" s="53">
        <f t="shared" si="1"/>
        <v>0</v>
      </c>
      <c r="F21" s="2787"/>
      <c r="G21" s="2788"/>
      <c r="H21" s="667">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0</v>
      </c>
    </row>
    <row r="22" spans="1:19">
      <c r="A22" s="1662"/>
      <c r="B22" s="47" t="s">
        <v>1153</v>
      </c>
      <c r="C22" s="3409"/>
      <c r="D22" s="45">
        <f t="shared" si="6"/>
        <v>0</v>
      </c>
      <c r="E22" s="53">
        <f t="shared" si="1"/>
        <v>0</v>
      </c>
      <c r="F22" s="2789"/>
      <c r="G22" s="2790"/>
      <c r="H22" s="667">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9"/>
      <c r="D23" s="45">
        <f>ROUND($D$3*E23/$E$3,2)</f>
        <v>0</v>
      </c>
      <c r="E23" s="53">
        <f>SUM(F23:G23)</f>
        <v>0</v>
      </c>
      <c r="F23" s="2789"/>
      <c r="G23" s="2790"/>
      <c r="H23" s="667">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10"/>
      <c r="D24" s="45">
        <f>ROUND($D$3*E24/$E$3,2)</f>
        <v>0</v>
      </c>
      <c r="E24" s="53">
        <f>SUM(F24:G24)</f>
        <v>0</v>
      </c>
      <c r="F24" s="2789"/>
      <c r="G24" s="2790"/>
      <c r="H24" s="667">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10"/>
      <c r="D25" s="45">
        <f t="shared" si="6"/>
        <v>0</v>
      </c>
      <c r="E25" s="53">
        <f t="shared" si="1"/>
        <v>0</v>
      </c>
      <c r="F25" s="2789"/>
      <c r="G25" s="2790"/>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9"/>
      <c r="G26" s="2790"/>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22117.260000000002</v>
      </c>
      <c r="E27" s="1133">
        <f>IF(SUM(E19:E26)='数据-基础表'!BA5,SUM(E19:E26),IF(F27="地上面积有误","面积有误","地下面积有误"))</f>
        <v>103664.12</v>
      </c>
      <c r="F27" s="1132">
        <f>IF(SUM(F19:F26)=E8,SUM(F19:F26),"地上面积有误")</f>
        <v>51900.97</v>
      </c>
      <c r="G27" s="1134">
        <f>SUM(G19:G26)</f>
        <v>51763.15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22117.260000000002</v>
      </c>
      <c r="S27" s="1018">
        <f>IF(SUM(S19:S26)=$E$3,SUM(S19:S26),SUM(S19:S26)&amp;"误差"&amp;ROUND(SUM(S19:S26)-E3,2))</f>
        <v>103664.12</v>
      </c>
    </row>
    <row r="28" spans="1:19">
      <c r="A28" s="1662"/>
      <c r="B28" s="47" t="s">
        <v>1155</v>
      </c>
      <c r="C28" s="1030"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2"/>
      <c r="B29" s="47" t="s">
        <v>1155</v>
      </c>
      <c r="C29" s="1666"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2"/>
      <c r="B30" s="47"/>
      <c r="C30" s="1667" t="s">
        <v>1154</v>
      </c>
      <c r="D30" s="1132">
        <f>SUM(D28:D29)</f>
        <v>0</v>
      </c>
      <c r="E30" s="1132">
        <f>SUM(E28:E29)</f>
        <v>0</v>
      </c>
      <c r="F30" s="1132">
        <f>SUM(F28:F29)</f>
        <v>0</v>
      </c>
      <c r="G30" s="1134">
        <f>SUM(G28:G29)</f>
        <v>0</v>
      </c>
      <c r="H30" s="2651"/>
      <c r="I30" s="2651"/>
      <c r="J30" s="2651"/>
      <c r="K30" s="2651"/>
      <c r="L30" s="2651"/>
      <c r="M30" s="2651"/>
      <c r="N30" s="2651"/>
      <c r="O30" s="2651"/>
      <c r="P30" s="2651"/>
    </row>
    <row r="31" spans="1:19" ht="15.75" thickBot="1">
      <c r="A31" s="1668"/>
      <c r="B31" s="1669"/>
      <c r="C31" s="827" t="s">
        <v>1158</v>
      </c>
      <c r="D31" s="672">
        <f>D27+D30</f>
        <v>22117.260000000002</v>
      </c>
      <c r="E31" s="672">
        <f>E27+E30</f>
        <v>103664.12</v>
      </c>
      <c r="F31" s="673">
        <f>F27+F30</f>
        <v>51900.97</v>
      </c>
      <c r="G31" s="674">
        <f>G27+G30</f>
        <v>51763.15</v>
      </c>
      <c r="H31" s="2651"/>
      <c r="I31" s="2651"/>
      <c r="J31" s="2651"/>
      <c r="K31" s="2651"/>
      <c r="L31" s="2651"/>
      <c r="M31" s="2651"/>
      <c r="N31" s="2651"/>
      <c r="O31" s="2651"/>
      <c r="P31" s="2651"/>
    </row>
    <row r="32" spans="1:19">
      <c r="A32" s="1635"/>
      <c r="B32" s="1635" t="s">
        <v>1159</v>
      </c>
      <c r="C32" s="1635"/>
      <c r="D32" s="1635"/>
      <c r="E32" s="1045">
        <f>SUMIF(C19:C26,"*住宅*",E19:E26)</f>
        <v>0</v>
      </c>
      <c r="F32" s="1635"/>
      <c r="G32" s="1635"/>
      <c r="H32" s="2651"/>
      <c r="I32" s="2651"/>
      <c r="J32" s="2651"/>
      <c r="K32" s="2651"/>
      <c r="L32" s="2651"/>
      <c r="M32" s="2651"/>
      <c r="N32" s="2651"/>
      <c r="O32" s="2651"/>
      <c r="P32" s="2651"/>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L36" sqref="L36"/>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11.25" style="1674" customWidth="1"/>
    <col min="22" max="22" width="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5"/>
      <c r="C1" s="1183"/>
      <c r="D1" s="1672"/>
      <c r="E1" s="1183"/>
      <c r="F1" s="1183"/>
      <c r="G1" s="1183"/>
      <c r="H1" s="1183"/>
      <c r="I1" s="1183"/>
      <c r="J1" s="1183"/>
      <c r="K1" s="156"/>
      <c r="L1" s="156"/>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63"/>
      <c r="AO1" s="2663"/>
      <c r="AP1" s="2663"/>
      <c r="AQ1" s="2663"/>
      <c r="AR1" s="2663"/>
    </row>
    <row r="2" spans="1:67" s="1551" customFormat="1" ht="15.75" thickBot="1">
      <c r="A2" s="1675" t="s">
        <v>1161</v>
      </c>
      <c r="B2" s="1037">
        <f>项目基本情况!D3</f>
        <v>45401</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65"/>
      <c r="AO2" s="2665"/>
      <c r="AP2" s="2665"/>
      <c r="AQ2" s="2665"/>
      <c r="AR2" s="2665"/>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65"/>
      <c r="AO3" s="2665"/>
      <c r="AP3" s="2665"/>
      <c r="AQ3" s="2665"/>
      <c r="AR3" s="2665"/>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50"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65"/>
      <c r="AO4" s="2665"/>
      <c r="AP4" s="2665"/>
      <c r="AQ4" s="2665"/>
      <c r="AR4" s="2665"/>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3424</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研发楼</v>
      </c>
      <c r="B6" s="1705" t="str">
        <f>IF(A6=0,"","经营性")</f>
        <v>经营性</v>
      </c>
      <c r="C6" s="1706" t="s">
        <v>3401</v>
      </c>
      <c r="D6" s="850">
        <f>SUMIF(项目基本情况!C$12:I$12,C6,项目基本情况!C$14:I$14)</f>
        <v>50</v>
      </c>
      <c r="E6" s="849">
        <f>IF(B6="","",SUMIF(项目基本情况!C$12:I$12,C6,项目基本情况!C$13:I$13))</f>
        <v>60900</v>
      </c>
      <c r="F6" s="64">
        <f>SUMIF(项目基本情况!C$12:I$12,C6,项目基本情况!C$15:I$15)</f>
        <v>42.46</v>
      </c>
      <c r="G6" s="65">
        <f>IF(ISERROR(ROUND(POWER(1+H6,D6-F6)*(POWER(1+H6,F6)-1)/(POWER(1+H6,D6)-1),3)),0,ROUND(POWER(1+H6,D6-F6)*(POWER(1+H6,F6)-1)/(POWER(1+H6,D6)-1),3))</f>
        <v>0.95099999999999996</v>
      </c>
      <c r="H6" s="728">
        <v>4.4999999999999998E-2</v>
      </c>
      <c r="I6" s="728">
        <v>5.5E-2</v>
      </c>
      <c r="J6" s="66">
        <v>7.0000000000000007E-2</v>
      </c>
      <c r="K6" s="1022">
        <f>SUMIF('数据-汇总表'!C$19:C$33,A6,'数据-汇总表'!E$19:E$33)</f>
        <v>51900.97</v>
      </c>
      <c r="L6" s="729">
        <v>6800</v>
      </c>
      <c r="M6" s="67">
        <f t="shared" ref="M6:M14" si="0">ROUND(K6*L6/10000,0)</f>
        <v>35293</v>
      </c>
      <c r="N6" s="727">
        <f>取值过程!H16</f>
        <v>0.97</v>
      </c>
      <c r="O6" s="67" t="str">
        <f>IF($N$5="成新度","——",ROUND(M6*N6,0))</f>
        <v>——</v>
      </c>
      <c r="P6" s="68" t="str">
        <f>IF($N$5="成新度","——",M6-O6)</f>
        <v>——</v>
      </c>
      <c r="Q6" s="730">
        <v>0.25</v>
      </c>
      <c r="R6" s="69">
        <f ca="1">SUMIF('数据-汇总表'!C$19:C$33,A6,'数据-汇总表'!R$19:R$27)</f>
        <v>11073.33</v>
      </c>
      <c r="S6" s="51">
        <f>IF('数据-汇总表'!$I$17="按面积比例",SUMIF('数据-汇总表'!C$19:C$33,A6,'数据-汇总表'!K$19:K$33),SUMIF('数据-汇总表'!C$19:C$33,A6,'数据-汇总表'!N$19:N$33))</f>
        <v>0</v>
      </c>
      <c r="T6" s="1164">
        <f>ROUND($L$14*S6/10000,0)</f>
        <v>0</v>
      </c>
      <c r="U6" s="3420">
        <v>3.6</v>
      </c>
      <c r="V6" s="70">
        <v>2.5000000000000001E-2</v>
      </c>
      <c r="W6" s="70">
        <v>0.1</v>
      </c>
      <c r="X6" s="1032"/>
      <c r="Y6" s="71">
        <f>N6</f>
        <v>0.97</v>
      </c>
      <c r="Z6" s="72"/>
      <c r="AA6" s="66"/>
      <c r="AB6" s="66"/>
      <c r="AC6" s="1032"/>
      <c r="AD6" s="73"/>
      <c r="AE6" s="1033">
        <f ca="1">IF(AN6="",0,SUMIF(INDIRECT("'"&amp;AN6&amp;"'"&amp;"!E:E"),$AE$5,INDIRECT("'"&amp;AN6&amp;"'"&amp;"!F:F")))</f>
        <v>42.46</v>
      </c>
      <c r="AF6" s="1340"/>
      <c r="AG6" s="135">
        <f>IF(AF6="",0,AE6-AF6)</f>
        <v>0</v>
      </c>
      <c r="AH6" s="74"/>
      <c r="AI6" s="76">
        <v>365</v>
      </c>
      <c r="AJ6" s="77"/>
      <c r="AK6" s="78">
        <v>3.0000000000000001E-3</v>
      </c>
      <c r="AL6" s="78">
        <v>1E-3</v>
      </c>
      <c r="AM6" s="78">
        <f>AK6</f>
        <v>3.0000000000000001E-3</v>
      </c>
      <c r="AN6" s="1707" t="s">
        <v>3425</v>
      </c>
      <c r="AO6" s="52">
        <f ca="1">SUMIF(INDIRECT("'"&amp;AN6&amp;"'"&amp;"!A:A"),"总价",INDIRECT("'"&amp;AN6&amp;"'"&amp;"!B:B"))</f>
        <v>115479</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地下</v>
      </c>
      <c r="B7" s="1705" t="str">
        <f t="shared" ref="B7:B13" si="1">IF(A7=0,"","经营性")</f>
        <v>经营性</v>
      </c>
      <c r="C7" s="1706" t="s">
        <v>3401</v>
      </c>
      <c r="D7" s="850">
        <f>SUMIF(项目基本情况!C$12:I$12,C7,项目基本情况!C$14:I$14)</f>
        <v>50</v>
      </c>
      <c r="E7" s="849">
        <f>IF(B7="","",SUMIF(项目基本情况!C$12:I$12,C7,项目基本情况!C$13:I$13))</f>
        <v>60900</v>
      </c>
      <c r="F7" s="64">
        <f>SUMIF(项目基本情况!C$12:I$12,C7,项目基本情况!C$15:I$15)</f>
        <v>42.46</v>
      </c>
      <c r="G7" s="65">
        <f t="shared" ref="G7:G11" si="2">IF(ISERROR(ROUND(POWER(1+H7,D7-F7)*(POWER(1+H7,F7)-1)/(POWER(1+H7,D7)-1),3)),0,ROUND(POWER(1+H7,D7-F7)*(POWER(1+H7,F7)-1)/(POWER(1+H7,D7)-1),3))</f>
        <v>0.95099999999999996</v>
      </c>
      <c r="H7" s="728">
        <v>4.4999999999999998E-2</v>
      </c>
      <c r="I7" s="728">
        <v>5.5E-2</v>
      </c>
      <c r="J7" s="66">
        <v>7.0000000000000007E-2</v>
      </c>
      <c r="K7" s="1022">
        <f>SUMIF('数据-汇总表'!C$19:C$33,A7,'数据-汇总表'!E$19:E$33)</f>
        <v>51763.15</v>
      </c>
      <c r="L7" s="729">
        <f>L6</f>
        <v>6800</v>
      </c>
      <c r="M7" s="67">
        <f t="shared" si="0"/>
        <v>35199</v>
      </c>
      <c r="N7" s="727">
        <f>N6</f>
        <v>0.97</v>
      </c>
      <c r="O7" s="67" t="str">
        <f t="shared" ref="O7:O14" si="3">IF($N$5="成新度","——",ROUND(M7*N7,0))</f>
        <v>——</v>
      </c>
      <c r="P7" s="68" t="str">
        <f t="shared" ref="P7:P14" si="4">IF($N$5="成新度","——",M7-O7)</f>
        <v>——</v>
      </c>
      <c r="Q7" s="730">
        <v>0.12</v>
      </c>
      <c r="R7" s="69">
        <f ca="1">SUMIF('数据-汇总表'!C$19:C$33,A7,'数据-汇总表'!R$19:R$27)</f>
        <v>11043.93</v>
      </c>
      <c r="S7" s="51">
        <f>IF('数据-汇总表'!$I$17="按面积比例",SUMIF('数据-汇总表'!C$19:C$33,A7,'数据-汇总表'!K$19:K$33),SUMIF('数据-汇总表'!C$19:C$33,A7,'数据-汇总表'!N$19:N$33))</f>
        <v>0</v>
      </c>
      <c r="T7" s="1164">
        <f t="shared" ref="T7:T13" si="5">ROUND($L$14*S7/10000,0)</f>
        <v>0</v>
      </c>
      <c r="U7" s="3420">
        <v>1.4</v>
      </c>
      <c r="V7" s="70">
        <v>2.5000000000000001E-2</v>
      </c>
      <c r="W7" s="70">
        <f>W6</f>
        <v>0.1</v>
      </c>
      <c r="X7" s="1032"/>
      <c r="Y7" s="71">
        <f>Y6</f>
        <v>0.97</v>
      </c>
      <c r="Z7" s="72"/>
      <c r="AA7" s="66"/>
      <c r="AB7" s="66"/>
      <c r="AC7" s="1032"/>
      <c r="AD7" s="73"/>
      <c r="AE7" s="1033">
        <f t="shared" ref="AE7:AE13" ca="1" si="6">IF(AN7="",0,SUMIF(INDIRECT("'"&amp;AN7&amp;"'"&amp;"!E:E"),$AE$5,INDIRECT("'"&amp;AN7&amp;"'"&amp;"!F:F")))</f>
        <v>42.46</v>
      </c>
      <c r="AF7" s="1340"/>
      <c r="AG7" s="135">
        <f t="shared" ref="AG7:AG13" si="7">IF(AF7="",0,AE7-AF7)</f>
        <v>0</v>
      </c>
      <c r="AH7" s="74"/>
      <c r="AI7" s="76">
        <v>365</v>
      </c>
      <c r="AJ7" s="77"/>
      <c r="AK7" s="78">
        <f>AK6</f>
        <v>3.0000000000000001E-3</v>
      </c>
      <c r="AL7" s="78">
        <f t="shared" ref="AL7" si="8">AL6</f>
        <v>1E-3</v>
      </c>
      <c r="AM7" s="78">
        <f>AK7</f>
        <v>3.0000000000000001E-3</v>
      </c>
      <c r="AN7" s="1707" t="s">
        <v>3878</v>
      </c>
      <c r="AO7" s="52">
        <f t="shared" ref="AO7:AO13" ca="1" si="9">SUMIF(INDIRECT("'"&amp;AN7&amp;"'"&amp;"!A:A"),"总价",INDIRECT("'"&amp;AN7&amp;"'"&amp;"!B:B"))</f>
        <v>42464</v>
      </c>
      <c r="AP7" s="1708">
        <f t="shared" ref="AP7:AP13" si="10">IF(C7="住宅",K7*L7,0)</f>
        <v>0</v>
      </c>
      <c r="AQ7" s="52">
        <f t="shared" ref="AQ7:AQ13" si="11">ROUND($L$14*$N$14*S7/10000,0)</f>
        <v>0</v>
      </c>
      <c r="AR7" s="52">
        <f t="shared" ref="AR7:AR13" si="12">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f>'数据-汇总表'!C21</f>
        <v>0</v>
      </c>
      <c r="B8" s="1705" t="str">
        <f t="shared" si="1"/>
        <v/>
      </c>
      <c r="C8" s="1706"/>
      <c r="D8" s="850">
        <f>SUMIF(项目基本情况!C$12:I$12,C8,项目基本情况!C$14:I$14)</f>
        <v>0</v>
      </c>
      <c r="E8" s="849" t="str">
        <f>IF(B8="","",SUMIF(项目基本情况!C$12:I$12,C8,项目基本情况!C$13:I$13))</f>
        <v/>
      </c>
      <c r="F8" s="64">
        <f>SUMIF(项目基本情况!C$12:I$12,C8,项目基本情况!C$15:I$15)</f>
        <v>0</v>
      </c>
      <c r="G8" s="65">
        <f t="shared" si="2"/>
        <v>0</v>
      </c>
      <c r="H8" s="728"/>
      <c r="I8" s="728"/>
      <c r="J8" s="66"/>
      <c r="K8" s="1022">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4">
        <f t="shared" si="5"/>
        <v>0</v>
      </c>
      <c r="U8" s="3421"/>
      <c r="V8" s="70"/>
      <c r="W8" s="70"/>
      <c r="X8" s="1032"/>
      <c r="Y8" s="71"/>
      <c r="Z8" s="72"/>
      <c r="AA8" s="66"/>
      <c r="AB8" s="66"/>
      <c r="AC8" s="1032"/>
      <c r="AD8" s="73"/>
      <c r="AE8" s="1033">
        <f t="shared" ca="1" si="6"/>
        <v>0</v>
      </c>
      <c r="AF8" s="1340"/>
      <c r="AG8" s="135">
        <f t="shared" si="7"/>
        <v>0</v>
      </c>
      <c r="AH8" s="731"/>
      <c r="AI8" s="76"/>
      <c r="AJ8" s="77"/>
      <c r="AK8" s="78"/>
      <c r="AL8" s="78"/>
      <c r="AM8" s="78"/>
      <c r="AN8" s="1707"/>
      <c r="AO8" s="52" t="e">
        <f t="shared" ca="1" si="9"/>
        <v>#REF!</v>
      </c>
      <c r="AP8" s="1708">
        <f t="shared" si="10"/>
        <v>0</v>
      </c>
      <c r="AQ8" s="52">
        <f t="shared" si="11"/>
        <v>0</v>
      </c>
      <c r="AR8" s="52">
        <f t="shared" si="12"/>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8"/>
      <c r="I9" s="728"/>
      <c r="J9" s="66"/>
      <c r="K9" s="1022">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20"/>
      <c r="V9" s="70"/>
      <c r="W9" s="70"/>
      <c r="X9" s="1032"/>
      <c r="Y9" s="71"/>
      <c r="Z9" s="72"/>
      <c r="AA9" s="66"/>
      <c r="AB9" s="66"/>
      <c r="AC9" s="1032"/>
      <c r="AD9" s="73"/>
      <c r="AE9" s="1033">
        <f t="shared" ca="1" si="6"/>
        <v>0</v>
      </c>
      <c r="AF9" s="1340"/>
      <c r="AG9" s="135">
        <f t="shared" si="7"/>
        <v>0</v>
      </c>
      <c r="AH9" s="74"/>
      <c r="AI9" s="76"/>
      <c r="AJ9" s="77"/>
      <c r="AK9" s="78"/>
      <c r="AL9" s="78"/>
      <c r="AM9" s="78"/>
      <c r="AN9" s="1707"/>
      <c r="AO9" s="52" t="e">
        <f t="shared" ca="1" si="9"/>
        <v>#REF!</v>
      </c>
      <c r="AP9" s="1708">
        <f t="shared" si="10"/>
        <v>0</v>
      </c>
      <c r="AQ9" s="52">
        <f t="shared" si="11"/>
        <v>0</v>
      </c>
      <c r="AR9" s="52">
        <f t="shared" si="12"/>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728"/>
      <c r="I10" s="728"/>
      <c r="J10" s="66"/>
      <c r="K10" s="1022">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20"/>
      <c r="V10" s="70"/>
      <c r="W10" s="70"/>
      <c r="X10" s="1032"/>
      <c r="Y10" s="71"/>
      <c r="Z10" s="72"/>
      <c r="AA10" s="66"/>
      <c r="AB10" s="66"/>
      <c r="AC10" s="1032"/>
      <c r="AD10" s="73"/>
      <c r="AE10" s="1033">
        <f t="shared" ca="1" si="6"/>
        <v>0</v>
      </c>
      <c r="AF10" s="1340"/>
      <c r="AG10" s="135">
        <f t="shared" si="7"/>
        <v>0</v>
      </c>
      <c r="AH10" s="74"/>
      <c r="AI10" s="76"/>
      <c r="AJ10" s="77"/>
      <c r="AK10" s="78"/>
      <c r="AL10" s="79"/>
      <c r="AM10" s="80"/>
      <c r="AN10" s="1707"/>
      <c r="AO10" s="52" t="e">
        <f t="shared" ca="1" si="9"/>
        <v>#REF!</v>
      </c>
      <c r="AP10" s="1708">
        <f t="shared" si="10"/>
        <v>0</v>
      </c>
      <c r="AQ10" s="52">
        <f t="shared" si="11"/>
        <v>0</v>
      </c>
      <c r="AR10" s="52">
        <f t="shared" si="12"/>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20"/>
      <c r="V11" s="66"/>
      <c r="W11" s="66"/>
      <c r="X11" s="1032"/>
      <c r="Y11" s="71"/>
      <c r="Z11" s="84"/>
      <c r="AA11" s="66"/>
      <c r="AB11" s="66"/>
      <c r="AC11" s="1032"/>
      <c r="AD11" s="73"/>
      <c r="AE11" s="1033">
        <f t="shared" ca="1" si="6"/>
        <v>0</v>
      </c>
      <c r="AF11" s="1340"/>
      <c r="AG11" s="135">
        <f t="shared" si="7"/>
        <v>0</v>
      </c>
      <c r="AH11" s="74"/>
      <c r="AI11" s="76"/>
      <c r="AJ11" s="77"/>
      <c r="AK11" s="85"/>
      <c r="AL11" s="86"/>
      <c r="AM11" s="87"/>
      <c r="AN11" s="1707"/>
      <c r="AO11" s="52" t="e">
        <f t="shared" ca="1" si="9"/>
        <v>#REF!</v>
      </c>
      <c r="AP11" s="1708">
        <f t="shared" si="10"/>
        <v>0</v>
      </c>
      <c r="AQ11" s="52">
        <f t="shared" si="11"/>
        <v>0</v>
      </c>
      <c r="AR11" s="52">
        <f t="shared" si="12"/>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20"/>
      <c r="V12" s="66"/>
      <c r="W12" s="66"/>
      <c r="X12" s="1032"/>
      <c r="Y12" s="71"/>
      <c r="Z12" s="84"/>
      <c r="AA12" s="66"/>
      <c r="AB12" s="66"/>
      <c r="AC12" s="1032"/>
      <c r="AD12" s="73"/>
      <c r="AE12" s="1033">
        <f t="shared" ca="1" si="6"/>
        <v>0</v>
      </c>
      <c r="AF12" s="1340"/>
      <c r="AG12" s="135">
        <f t="shared" si="7"/>
        <v>0</v>
      </c>
      <c r="AH12" s="74"/>
      <c r="AI12" s="76"/>
      <c r="AJ12" s="77"/>
      <c r="AK12" s="85"/>
      <c r="AL12" s="86"/>
      <c r="AM12" s="87"/>
      <c r="AN12" s="1707"/>
      <c r="AO12" s="52" t="e">
        <f t="shared" ca="1" si="9"/>
        <v>#REF!</v>
      </c>
      <c r="AP12" s="1708">
        <f t="shared" si="10"/>
        <v>0</v>
      </c>
      <c r="AQ12" s="52">
        <f t="shared" si="11"/>
        <v>0</v>
      </c>
      <c r="AR12" s="52">
        <f t="shared" si="12"/>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22"/>
      <c r="V13" s="70"/>
      <c r="W13" s="70"/>
      <c r="X13" s="1032"/>
      <c r="Y13" s="71"/>
      <c r="Z13" s="72"/>
      <c r="AA13" s="66"/>
      <c r="AB13" s="66"/>
      <c r="AC13" s="1032"/>
      <c r="AD13" s="73"/>
      <c r="AE13" s="1033">
        <f t="shared" ca="1" si="6"/>
        <v>0</v>
      </c>
      <c r="AF13" s="1340"/>
      <c r="AG13" s="135">
        <f t="shared" si="7"/>
        <v>0</v>
      </c>
      <c r="AH13" s="74"/>
      <c r="AI13" s="76"/>
      <c r="AJ13" s="77"/>
      <c r="AK13" s="78"/>
      <c r="AL13" s="79"/>
      <c r="AM13" s="80"/>
      <c r="AN13" s="1707"/>
      <c r="AO13" s="52" t="e">
        <f t="shared" ca="1" si="9"/>
        <v>#REF!</v>
      </c>
      <c r="AP13" s="1708">
        <f t="shared" si="10"/>
        <v>0</v>
      </c>
      <c r="AQ13" s="52">
        <f t="shared" si="11"/>
        <v>0</v>
      </c>
      <c r="AR13" s="52">
        <f t="shared" si="12"/>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f>L10</f>
        <v>0</v>
      </c>
      <c r="M14" s="67">
        <f t="shared" si="0"/>
        <v>0</v>
      </c>
      <c r="N14" s="83">
        <f>N10</f>
        <v>0</v>
      </c>
      <c r="O14" s="67" t="str">
        <f t="shared" si="3"/>
        <v>——</v>
      </c>
      <c r="P14" s="68" t="str">
        <f t="shared" si="4"/>
        <v>——</v>
      </c>
      <c r="Q14" s="1025"/>
      <c r="R14" s="69"/>
      <c r="S14" s="51"/>
      <c r="T14" s="1164"/>
      <c r="U14" s="667"/>
      <c r="V14" s="1027"/>
      <c r="W14" s="1027"/>
      <c r="X14" s="1028"/>
      <c r="Y14" s="1029"/>
      <c r="Z14" s="1030"/>
      <c r="AA14" s="1031"/>
      <c r="AB14" s="1031"/>
      <c r="AC14" s="1032"/>
      <c r="AD14" s="1028"/>
      <c r="AE14" s="1033"/>
      <c r="AF14" s="52"/>
      <c r="AG14" s="135"/>
      <c r="AH14" s="1033"/>
      <c r="AI14" s="1349"/>
      <c r="AJ14" s="700"/>
      <c r="AK14" s="1034"/>
      <c r="AL14" s="1035"/>
      <c r="AM14" s="1036"/>
      <c r="AN14" s="2663"/>
      <c r="AO14" s="2665"/>
      <c r="AP14" s="2665"/>
      <c r="AQ14" s="2665"/>
      <c r="AR14" s="2665"/>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7"/>
      <c r="V15" s="1027"/>
      <c r="W15" s="1027"/>
      <c r="X15" s="1028"/>
      <c r="Y15" s="1029"/>
      <c r="Z15" s="1030"/>
      <c r="AA15" s="1031"/>
      <c r="AB15" s="1031"/>
      <c r="AC15" s="1032"/>
      <c r="AD15" s="1028"/>
      <c r="AE15" s="1033"/>
      <c r="AF15" s="52"/>
      <c r="AG15" s="135"/>
      <c r="AH15" s="1033"/>
      <c r="AI15" s="1349"/>
      <c r="AJ15" s="700"/>
      <c r="AK15" s="1034"/>
      <c r="AL15" s="1035"/>
      <c r="AM15" s="1036"/>
      <c r="AN15" s="2663"/>
      <c r="AO15" s="2665"/>
      <c r="AP15" s="2665"/>
      <c r="AQ15" s="2665"/>
      <c r="AR15" s="2665"/>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0.95099999999999996</v>
      </c>
      <c r="H16" s="90">
        <f>ROUND(SUMPRODUCT(H6:H13,K6:K13)/SUMPRODUCT((H6:H13&gt;0)*(K6:K13)),3)</f>
        <v>4.4999999999999998E-2</v>
      </c>
      <c r="I16" s="91"/>
      <c r="J16" s="91"/>
      <c r="K16" s="92">
        <f>SUM(K6:K15)</f>
        <v>103664.12</v>
      </c>
      <c r="L16" s="93">
        <f>ROUND(M16*10000/SUM(K6:K14),0)</f>
        <v>6800</v>
      </c>
      <c r="M16" s="93">
        <f>SUM(M6:M14)</f>
        <v>70492</v>
      </c>
      <c r="N16" s="94">
        <f>ROUND(SUMPRODUCT(M6:M14,N6:N14)/M16,3)</f>
        <v>0.97</v>
      </c>
      <c r="O16" s="93">
        <f>SUM(O6:O14)</f>
        <v>0</v>
      </c>
      <c r="P16" s="93">
        <f>SUM(P6:P14)</f>
        <v>0</v>
      </c>
      <c r="Q16" s="95">
        <f>ROUND(SUMPRODUCT(Q6:Q13,K6:K13)/SUMPRODUCT((Q6:Q13&gt;0)*(K6:K13)),2)</f>
        <v>0.19</v>
      </c>
      <c r="R16" s="1026">
        <f ca="1">SUM(R6:R13)</f>
        <v>22117.260000000002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4" t="s">
        <v>1211</v>
      </c>
      <c r="B19" s="103">
        <v>0</v>
      </c>
      <c r="C19" s="2791" t="s">
        <v>2305</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5" t="s">
        <v>1212</v>
      </c>
      <c r="B20" s="104">
        <v>3</v>
      </c>
      <c r="C20" s="2792" t="s">
        <v>2303</v>
      </c>
      <c r="D20" s="2668"/>
      <c r="E20" s="2665"/>
      <c r="F20" s="2665"/>
      <c r="G20" s="2665"/>
      <c r="H20" s="2665"/>
      <c r="I20" s="2665"/>
      <c r="J20" s="2665"/>
      <c r="K20" s="2664"/>
      <c r="L20" s="2664"/>
      <c r="M20" s="2663"/>
      <c r="N20" s="2663"/>
      <c r="O20" s="2663"/>
      <c r="P20" s="2663"/>
      <c r="Q20" s="3479">
        <f>SUMPRODUCT(Q7:Q9,K7:K9)/SUM(K7:K9)</f>
        <v>0.11999999999999998</v>
      </c>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16" t="s">
        <v>1213</v>
      </c>
      <c r="B21" s="104">
        <f>B20</f>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5"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16"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17"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49"/>
      <c r="B25" s="1679"/>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5" t="s">
        <v>1217</v>
      </c>
      <c r="B26" s="1718"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0" customFormat="1" ht="27.75">
      <c r="A27" s="1719" t="s">
        <v>1220</v>
      </c>
      <c r="B27" s="107">
        <v>200</v>
      </c>
      <c r="C27" s="2793" t="s">
        <v>2307</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160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0">
        <f>ROUND(B28*K16/10000,0)</f>
        <v>1659</v>
      </c>
      <c r="C29" s="2794" t="s">
        <v>2294</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3480">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8">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9">
        <v>0.05</v>
      </c>
      <c r="C33" s="2795" t="s">
        <v>2295</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2">
        <v>0</v>
      </c>
      <c r="C34" s="2795" t="s">
        <v>2296</v>
      </c>
      <c r="D34" s="2676" t="s">
        <v>2304</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95" t="s">
        <v>2297</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3">
        <v>0.02</v>
      </c>
      <c r="C36" s="2795" t="s">
        <v>2298</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3" t="s">
        <v>1230</v>
      </c>
      <c r="B37" s="114">
        <v>0.03</v>
      </c>
      <c r="C37" s="2795" t="s">
        <v>2299</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1" t="s">
        <v>1231</v>
      </c>
      <c r="B38" s="112">
        <v>0.02</v>
      </c>
      <c r="C38" s="2795" t="s">
        <v>2299</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4"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2314</v>
      </c>
      <c r="B40" s="1070">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19" t="s">
        <v>1233</v>
      </c>
      <c r="B41" s="115">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5" t="s">
        <v>1234</v>
      </c>
      <c r="B42" s="116">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5" t="s">
        <v>1235</v>
      </c>
      <c r="B43" s="117">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26" t="s">
        <v>1236</v>
      </c>
      <c r="B44" s="118">
        <v>7.0000000000000007E-2</v>
      </c>
      <c r="C44" s="2795" t="s">
        <v>2308</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26" t="s">
        <v>1237</v>
      </c>
      <c r="B45" s="3481">
        <v>0.03</v>
      </c>
      <c r="C45" s="2794" t="s">
        <v>2300</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26" t="s">
        <v>1238</v>
      </c>
      <c r="B46" s="3481">
        <v>0.02</v>
      </c>
      <c r="C46" s="2794" t="s">
        <v>2301</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27" t="s">
        <v>1239</v>
      </c>
      <c r="B47" s="3482"/>
      <c r="C47" s="2797" t="s">
        <v>2309</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28" t="s">
        <v>1240</v>
      </c>
      <c r="B48" s="3483">
        <v>0.03</v>
      </c>
      <c r="C48" s="2794" t="s">
        <v>2300</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4" t="s">
        <v>1241</v>
      </c>
      <c r="B49" s="3481">
        <v>5.0000000000000001E-4</v>
      </c>
      <c r="C49" s="2794" t="s">
        <v>2302</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29" t="s">
        <v>1242</v>
      </c>
      <c r="B50" s="119">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2" t="s">
        <v>1243</v>
      </c>
      <c r="B51" s="120">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29" t="s">
        <v>1244</v>
      </c>
      <c r="B52" s="121">
        <f>SUMIF(A54:A63,B53,B54:B63)</f>
        <v>12</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1" t="s">
        <v>1245</v>
      </c>
      <c r="B53" s="1730" t="s">
        <v>110</v>
      </c>
      <c r="C53" s="2653" t="s">
        <v>1246</v>
      </c>
      <c r="D53" s="2796" t="s">
        <v>2306</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1" t="s">
        <v>1247</v>
      </c>
      <c r="B54" s="75">
        <v>30</v>
      </c>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1" t="s">
        <v>1248</v>
      </c>
      <c r="B55" s="75">
        <v>24</v>
      </c>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1" t="s">
        <v>1249</v>
      </c>
      <c r="B56" s="75">
        <v>18</v>
      </c>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1" t="s">
        <v>1250</v>
      </c>
      <c r="B57" s="75">
        <v>12</v>
      </c>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1" t="s">
        <v>1251</v>
      </c>
      <c r="B58" s="75">
        <v>3</v>
      </c>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1"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1"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1"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1"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2" t="s">
        <v>1256</v>
      </c>
      <c r="B63" s="122"/>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5"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5"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5"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5"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5"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5" customFormat="1">
      <c r="A69" s="1733"/>
      <c r="D69" s="1734"/>
      <c r="K69" s="724"/>
      <c r="L69" s="724"/>
    </row>
    <row r="70" spans="1:44" s="785" customFormat="1">
      <c r="A70" s="1733"/>
      <c r="D70" s="1734"/>
      <c r="K70" s="724"/>
      <c r="L70" s="724"/>
    </row>
    <row r="71" spans="1:44" s="785" customFormat="1">
      <c r="A71" s="1733"/>
      <c r="D71" s="1734"/>
      <c r="K71" s="724"/>
      <c r="L71" s="724"/>
    </row>
    <row r="72" spans="1:44" s="785" customFormat="1">
      <c r="A72" s="1733"/>
      <c r="D72" s="1734"/>
      <c r="K72" s="724"/>
      <c r="L72" s="724"/>
    </row>
    <row r="73" spans="1:44" s="785" customFormat="1">
      <c r="A73" s="1733"/>
      <c r="D73" s="1734"/>
      <c r="K73" s="724"/>
      <c r="L73" s="724"/>
    </row>
    <row r="74" spans="1:44" s="785" customFormat="1">
      <c r="A74" s="1733"/>
      <c r="D74" s="1734"/>
      <c r="K74" s="724"/>
      <c r="L74" s="724"/>
    </row>
    <row r="75" spans="1:44" s="785" customFormat="1">
      <c r="A75" s="1733"/>
      <c r="D75" s="1734"/>
      <c r="K75" s="724"/>
      <c r="L75" s="724"/>
    </row>
    <row r="76" spans="1:44" s="785" customFormat="1">
      <c r="A76" s="1733"/>
      <c r="D76" s="1734"/>
      <c r="K76" s="724"/>
      <c r="L76" s="724"/>
    </row>
    <row r="77" spans="1:44" s="785" customFormat="1">
      <c r="A77" s="1733"/>
      <c r="D77" s="1734"/>
      <c r="K77" s="724"/>
      <c r="L77" s="724"/>
    </row>
    <row r="78" spans="1:44" s="785" customFormat="1">
      <c r="A78" s="1733"/>
      <c r="D78" s="1734"/>
      <c r="K78" s="724"/>
      <c r="L78" s="724"/>
    </row>
    <row r="79" spans="1:44" s="785" customFormat="1">
      <c r="A79" s="1733"/>
      <c r="D79" s="1734"/>
      <c r="K79" s="724"/>
      <c r="L79" s="724"/>
    </row>
    <row r="80" spans="1:44" s="785" customFormat="1">
      <c r="A80" s="1733"/>
      <c r="D80" s="1734"/>
      <c r="K80" s="724"/>
      <c r="L80" s="724"/>
    </row>
    <row r="81" spans="1:12" s="785" customFormat="1">
      <c r="A81" s="1733"/>
      <c r="D81" s="1734"/>
      <c r="K81" s="724"/>
      <c r="L81" s="724"/>
    </row>
    <row r="82" spans="1:12" s="785" customFormat="1">
      <c r="A82" s="1733"/>
      <c r="D82" s="1734"/>
      <c r="K82" s="724"/>
      <c r="L82" s="724"/>
    </row>
    <row r="83" spans="1:12" s="785" customFormat="1">
      <c r="A83" s="1733"/>
      <c r="D83" s="1734"/>
      <c r="K83" s="724"/>
      <c r="L83" s="724"/>
    </row>
    <row r="84" spans="1:12" s="785" customFormat="1">
      <c r="A84" s="1733"/>
      <c r="D84" s="1734"/>
      <c r="K84" s="724"/>
      <c r="L84" s="724"/>
    </row>
    <row r="85" spans="1:12" s="785" customFormat="1">
      <c r="A85" s="1733"/>
      <c r="D85" s="1734"/>
      <c r="K85" s="724"/>
      <c r="L85" s="724"/>
    </row>
    <row r="86" spans="1:12" s="785" customFormat="1">
      <c r="A86" s="1733"/>
      <c r="D86" s="1734"/>
      <c r="K86" s="724"/>
      <c r="L86" s="724"/>
    </row>
    <row r="87" spans="1:12" s="785" customFormat="1">
      <c r="A87" s="1733"/>
      <c r="D87" s="1734"/>
      <c r="K87" s="724"/>
      <c r="L87" s="724"/>
    </row>
    <row r="88" spans="1:12" s="785" customFormat="1">
      <c r="A88" s="1733"/>
      <c r="D88" s="1734"/>
      <c r="K88" s="724"/>
      <c r="L88" s="724"/>
    </row>
    <row r="89" spans="1:12" s="785" customFormat="1">
      <c r="A89" s="1733"/>
      <c r="D89" s="1734"/>
      <c r="K89" s="724"/>
      <c r="L89" s="724"/>
    </row>
    <row r="90" spans="1:12" s="785" customFormat="1">
      <c r="A90" s="1733"/>
      <c r="D90" s="1734"/>
      <c r="K90" s="724"/>
      <c r="L90" s="724"/>
    </row>
    <row r="91" spans="1:12" s="785" customFormat="1">
      <c r="A91" s="1733"/>
      <c r="D91" s="1734"/>
      <c r="K91" s="724"/>
      <c r="L91" s="724"/>
    </row>
    <row r="92" spans="1:12" s="785" customFormat="1">
      <c r="A92" s="1733"/>
      <c r="D92" s="1734"/>
      <c r="K92" s="724"/>
      <c r="L92" s="724"/>
    </row>
    <row r="93" spans="1:12" s="785" customFormat="1">
      <c r="A93" s="1733"/>
      <c r="D93" s="1734"/>
      <c r="K93" s="724"/>
      <c r="L93" s="724"/>
    </row>
    <row r="94" spans="1:12" s="785" customFormat="1">
      <c r="A94" s="1733"/>
      <c r="D94" s="1734"/>
      <c r="K94" s="724"/>
      <c r="L94" s="724"/>
    </row>
    <row r="95" spans="1:12" s="785" customFormat="1">
      <c r="A95" s="1733"/>
      <c r="D95" s="1734"/>
      <c r="K95" s="724"/>
      <c r="L95" s="724"/>
    </row>
    <row r="96" spans="1:12" s="785" customFormat="1">
      <c r="A96" s="1733"/>
      <c r="D96" s="1734"/>
      <c r="K96" s="724"/>
      <c r="L96" s="724"/>
    </row>
    <row r="97" spans="1:12" s="785" customFormat="1">
      <c r="A97" s="1733"/>
      <c r="D97" s="1734"/>
      <c r="K97" s="724"/>
      <c r="L97" s="724"/>
    </row>
    <row r="98" spans="1:12" s="785" customFormat="1">
      <c r="A98" s="1733"/>
      <c r="D98" s="1734"/>
      <c r="K98" s="724"/>
      <c r="L98" s="724"/>
    </row>
    <row r="99" spans="1:12" s="785" customFormat="1">
      <c r="A99" s="1733"/>
      <c r="D99" s="1734"/>
      <c r="K99" s="724"/>
      <c r="L99" s="724"/>
    </row>
    <row r="100" spans="1:12" s="785" customFormat="1">
      <c r="A100" s="1733"/>
      <c r="D100" s="1734"/>
      <c r="K100" s="724"/>
      <c r="L100" s="724"/>
    </row>
    <row r="101" spans="1:12" s="785" customFormat="1">
      <c r="A101" s="1733"/>
      <c r="D101" s="1734"/>
      <c r="K101" s="724"/>
      <c r="L101" s="724"/>
    </row>
    <row r="102" spans="1:12" s="785" customFormat="1">
      <c r="A102" s="1733"/>
      <c r="D102" s="1734"/>
      <c r="K102" s="724"/>
      <c r="L102" s="724"/>
    </row>
    <row r="103" spans="1:12" s="785" customFormat="1">
      <c r="A103" s="1733"/>
      <c r="D103" s="1734"/>
      <c r="K103" s="724"/>
      <c r="L103" s="724"/>
    </row>
    <row r="104" spans="1:12" s="785" customFormat="1">
      <c r="A104" s="1733"/>
      <c r="D104" s="1734"/>
      <c r="K104" s="724"/>
      <c r="L104" s="724"/>
    </row>
    <row r="105" spans="1:12" s="785" customFormat="1">
      <c r="A105" s="1733"/>
      <c r="D105" s="1734"/>
      <c r="K105" s="724"/>
      <c r="L105" s="724"/>
    </row>
    <row r="106" spans="1:12" s="785" customFormat="1">
      <c r="A106" s="1733"/>
      <c r="D106" s="1734"/>
      <c r="K106" s="724"/>
      <c r="L106" s="724"/>
    </row>
    <row r="107" spans="1:12" s="785" customFormat="1">
      <c r="A107" s="1733"/>
      <c r="D107" s="1734"/>
      <c r="K107" s="724"/>
      <c r="L107" s="724"/>
    </row>
    <row r="108" spans="1:12" s="785" customFormat="1">
      <c r="A108" s="1733"/>
      <c r="D108" s="1734"/>
      <c r="K108" s="724"/>
      <c r="L108" s="724"/>
    </row>
    <row r="109" spans="1:12" s="785" customFormat="1">
      <c r="A109" s="1733"/>
      <c r="D109" s="1734"/>
      <c r="K109" s="724"/>
      <c r="L109" s="724"/>
    </row>
    <row r="110" spans="1:12" s="785" customFormat="1">
      <c r="A110" s="1733"/>
      <c r="D110" s="1734"/>
      <c r="K110" s="724"/>
      <c r="L110" s="724"/>
    </row>
    <row r="111" spans="1:12" s="785" customFormat="1">
      <c r="A111" s="1733"/>
      <c r="D111" s="1734"/>
      <c r="K111" s="724"/>
      <c r="L111" s="724"/>
    </row>
    <row r="112" spans="1:12" s="785" customFormat="1">
      <c r="A112" s="1733"/>
      <c r="D112" s="1734"/>
      <c r="K112" s="724"/>
      <c r="L112" s="724"/>
    </row>
    <row r="113" spans="1:12" s="785" customFormat="1">
      <c r="A113" s="1733"/>
      <c r="D113" s="1734"/>
      <c r="K113" s="724"/>
      <c r="L113" s="724"/>
    </row>
    <row r="114" spans="1:12" s="785" customFormat="1">
      <c r="A114" s="1733"/>
      <c r="D114" s="1734"/>
      <c r="K114" s="724"/>
      <c r="L114" s="724"/>
    </row>
    <row r="115" spans="1:12" s="785" customFormat="1">
      <c r="A115" s="1733"/>
      <c r="D115" s="1734"/>
      <c r="K115" s="724"/>
      <c r="L115" s="724"/>
    </row>
    <row r="116" spans="1:12" s="785" customFormat="1">
      <c r="A116" s="1733"/>
      <c r="D116" s="1734"/>
      <c r="K116" s="724"/>
      <c r="L116" s="724"/>
    </row>
    <row r="117" spans="1:12" s="785" customFormat="1">
      <c r="A117" s="1733"/>
      <c r="D117" s="1734"/>
      <c r="K117" s="724"/>
      <c r="L117" s="724"/>
    </row>
    <row r="118" spans="1:12" s="785" customFormat="1">
      <c r="A118" s="1733"/>
      <c r="D118" s="1734"/>
      <c r="K118" s="724"/>
      <c r="L118" s="724"/>
    </row>
    <row r="119" spans="1:12" s="785" customFormat="1">
      <c r="A119" s="1733"/>
      <c r="D119" s="1734"/>
      <c r="K119" s="724"/>
      <c r="L119" s="724"/>
    </row>
    <row r="120" spans="1:12" s="785" customFormat="1">
      <c r="A120" s="1733"/>
      <c r="D120" s="1734"/>
      <c r="K120" s="724"/>
      <c r="L120" s="724"/>
    </row>
    <row r="121" spans="1:12" s="785" customFormat="1">
      <c r="A121" s="1733"/>
      <c r="D121" s="1734"/>
      <c r="K121" s="724"/>
      <c r="L121" s="724"/>
    </row>
    <row r="122" spans="1:12" s="785" customFormat="1">
      <c r="A122" s="1733"/>
      <c r="D122" s="1734"/>
      <c r="K122" s="724"/>
      <c r="L122" s="724"/>
    </row>
    <row r="123" spans="1:12" s="785" customFormat="1">
      <c r="A123" s="1733"/>
      <c r="D123" s="1734"/>
      <c r="K123" s="724"/>
      <c r="L123" s="724"/>
    </row>
    <row r="124" spans="1:12" s="785" customFormat="1">
      <c r="A124" s="1733"/>
      <c r="D124" s="1734"/>
      <c r="K124" s="724"/>
      <c r="L124" s="724"/>
    </row>
    <row r="125" spans="1:12" s="785" customFormat="1">
      <c r="A125" s="1733"/>
      <c r="D125" s="1734"/>
      <c r="K125" s="724"/>
      <c r="L125" s="724"/>
    </row>
    <row r="126" spans="1:12" s="785" customFormat="1">
      <c r="A126" s="1733"/>
      <c r="D126" s="1734"/>
      <c r="K126" s="724"/>
      <c r="L126" s="724"/>
    </row>
    <row r="127" spans="1:12" s="785" customFormat="1">
      <c r="A127" s="1733"/>
      <c r="D127" s="1734"/>
      <c r="K127" s="724"/>
      <c r="L127" s="724"/>
    </row>
    <row r="128" spans="1:12" s="785" customFormat="1">
      <c r="A128" s="1733"/>
      <c r="D128" s="1734"/>
      <c r="K128" s="724"/>
      <c r="L128" s="724"/>
    </row>
    <row r="129" spans="1:12" s="785" customFormat="1">
      <c r="A129" s="1733"/>
      <c r="D129" s="1734"/>
      <c r="K129" s="724"/>
      <c r="L129" s="724"/>
    </row>
    <row r="130" spans="1:12" s="785" customFormat="1">
      <c r="A130" s="1733"/>
      <c r="D130" s="1734"/>
      <c r="K130" s="724"/>
      <c r="L130" s="724"/>
    </row>
    <row r="131" spans="1:12" s="785" customFormat="1">
      <c r="A131" s="1733"/>
      <c r="D131" s="1734"/>
      <c r="K131" s="724"/>
      <c r="L131" s="724"/>
    </row>
    <row r="132" spans="1:12" s="785" customFormat="1">
      <c r="A132" s="1733"/>
      <c r="D132" s="1734"/>
      <c r="K132" s="724"/>
      <c r="L132" s="724"/>
    </row>
    <row r="133" spans="1:12" s="785" customFormat="1">
      <c r="A133" s="1733"/>
      <c r="D133" s="1734"/>
      <c r="K133" s="724"/>
      <c r="L133" s="724"/>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8" customWidth="1"/>
    <col min="2" max="2" width="24.5" style="1564" customWidth="1"/>
    <col min="3" max="3" width="24.5" style="2502" customWidth="1"/>
    <col min="4" max="4" width="2.625" style="2502" customWidth="1"/>
    <col min="5" max="5" width="5.875" style="2502" customWidth="1"/>
    <col min="6" max="6" width="27" style="1564"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1"/>
    <col min="30" max="16384" width="9" style="1678"/>
  </cols>
  <sheetData>
    <row r="1" spans="1:29" s="2449" customFormat="1" ht="18.75" thickBot="1">
      <c r="A1" s="3646" t="s">
        <v>2286</v>
      </c>
      <c r="B1" s="3647"/>
      <c r="C1" s="3647"/>
      <c r="D1" s="3647"/>
      <c r="E1" s="3647"/>
      <c r="F1" s="3647"/>
      <c r="G1" s="3647"/>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2281</v>
      </c>
      <c r="D2" s="2453"/>
      <c r="E2" s="2450"/>
      <c r="F2" s="2454"/>
      <c r="G2" s="2452" t="s">
        <v>2282</v>
      </c>
      <c r="H2" s="791"/>
      <c r="I2" s="791"/>
      <c r="J2" s="791"/>
      <c r="K2" s="791"/>
      <c r="L2" s="791"/>
      <c r="M2" s="791"/>
      <c r="N2" s="791"/>
      <c r="O2" s="791"/>
      <c r="P2" s="791"/>
      <c r="Q2" s="791"/>
      <c r="R2" s="791"/>
    </row>
    <row r="3" spans="1:29" ht="48">
      <c r="A3" s="2433" t="s">
        <v>2283</v>
      </c>
      <c r="B3" s="2455" t="s">
        <v>2252</v>
      </c>
      <c r="C3" s="2456" t="s">
        <v>2284</v>
      </c>
      <c r="D3" s="2457"/>
      <c r="E3" s="2434" t="s">
        <v>2283</v>
      </c>
      <c r="F3" s="2458" t="s">
        <v>2253</v>
      </c>
      <c r="G3" s="2459" t="s">
        <v>2285</v>
      </c>
      <c r="H3" s="791"/>
      <c r="I3" s="791"/>
      <c r="J3" s="791"/>
      <c r="K3" s="791"/>
      <c r="L3" s="791"/>
      <c r="M3" s="791"/>
      <c r="N3" s="791"/>
      <c r="O3" s="791"/>
      <c r="P3" s="791"/>
      <c r="Q3" s="791"/>
      <c r="R3" s="791"/>
    </row>
    <row r="4" spans="1:29" ht="36.75">
      <c r="A4" s="2434"/>
      <c r="B4" s="320" t="s">
        <v>2254</v>
      </c>
      <c r="C4" s="2460" t="s">
        <v>2255</v>
      </c>
      <c r="D4" s="2457"/>
      <c r="E4" s="2461"/>
      <c r="F4" s="1365" t="s">
        <v>2256</v>
      </c>
      <c r="G4" s="2462" t="s">
        <v>2257</v>
      </c>
      <c r="H4" s="791"/>
      <c r="I4" s="791"/>
      <c r="J4" s="791"/>
      <c r="K4" s="791"/>
      <c r="L4" s="791"/>
      <c r="M4" s="791"/>
      <c r="N4" s="791"/>
      <c r="O4" s="791"/>
      <c r="P4" s="791"/>
      <c r="Q4" s="791"/>
      <c r="R4" s="791"/>
    </row>
    <row r="5" spans="1:29" ht="36.75">
      <c r="A5" s="2434"/>
      <c r="B5" s="320" t="s">
        <v>2258</v>
      </c>
      <c r="C5" s="2460" t="s">
        <v>2259</v>
      </c>
      <c r="D5" s="2457"/>
      <c r="E5" s="2461"/>
      <c r="F5" s="320" t="s">
        <v>2260</v>
      </c>
      <c r="G5" s="2462" t="s">
        <v>2261</v>
      </c>
      <c r="H5" s="791"/>
      <c r="I5" s="791"/>
      <c r="J5" s="791"/>
      <c r="K5" s="791"/>
      <c r="L5" s="791"/>
      <c r="M5" s="791"/>
      <c r="N5" s="791"/>
      <c r="O5" s="791"/>
      <c r="P5" s="791"/>
      <c r="Q5" s="791"/>
      <c r="R5" s="791"/>
    </row>
    <row r="6" spans="1:29" ht="36">
      <c r="A6" s="2434"/>
      <c r="B6" s="320" t="s">
        <v>2262</v>
      </c>
      <c r="C6" s="2462" t="s">
        <v>2257</v>
      </c>
      <c r="D6" s="2457"/>
      <c r="E6" s="2461"/>
      <c r="F6" s="320" t="s">
        <v>2263</v>
      </c>
      <c r="G6" s="2462" t="s">
        <v>2264</v>
      </c>
      <c r="H6" s="791"/>
      <c r="I6" s="791"/>
      <c r="J6" s="791"/>
      <c r="K6" s="791"/>
      <c r="L6" s="791"/>
      <c r="M6" s="791"/>
      <c r="N6" s="791"/>
      <c r="O6" s="791"/>
      <c r="P6" s="791"/>
      <c r="Q6" s="791"/>
      <c r="R6" s="791"/>
    </row>
    <row r="7" spans="1:29" ht="24.75" thickBot="1">
      <c r="A7" s="2434"/>
      <c r="B7" s="320" t="s">
        <v>2260</v>
      </c>
      <c r="C7" s="2462" t="s">
        <v>2261</v>
      </c>
      <c r="D7" s="2463"/>
      <c r="E7" s="2464"/>
      <c r="F7" s="2465" t="s">
        <v>2265</v>
      </c>
      <c r="G7" s="2466" t="s">
        <v>2266</v>
      </c>
      <c r="H7" s="791"/>
      <c r="I7" s="791"/>
      <c r="J7" s="791"/>
      <c r="K7" s="791"/>
      <c r="L7" s="791"/>
      <c r="M7" s="791"/>
      <c r="N7" s="791"/>
      <c r="O7" s="791"/>
      <c r="P7" s="791"/>
      <c r="Q7" s="791"/>
      <c r="R7" s="791"/>
    </row>
    <row r="8" spans="1:29">
      <c r="A8" s="2434"/>
      <c r="B8" s="320" t="s">
        <v>2263</v>
      </c>
      <c r="C8" s="2462" t="s">
        <v>2264</v>
      </c>
      <c r="D8" s="2463"/>
      <c r="E8" s="2463"/>
      <c r="F8" s="2467"/>
      <c r="G8" s="2467"/>
      <c r="H8" s="791"/>
      <c r="I8" s="791"/>
      <c r="J8" s="791"/>
      <c r="K8" s="791"/>
      <c r="L8" s="791"/>
      <c r="M8" s="791"/>
      <c r="N8" s="791"/>
      <c r="O8" s="791"/>
      <c r="P8" s="791"/>
      <c r="Q8" s="791"/>
      <c r="R8" s="791"/>
    </row>
    <row r="9" spans="1:29" ht="24">
      <c r="A9" s="2434"/>
      <c r="B9" s="320" t="s">
        <v>2267</v>
      </c>
      <c r="C9" s="2460" t="s">
        <v>2268</v>
      </c>
      <c r="D9" s="2457"/>
      <c r="E9" s="2463"/>
      <c r="F9" s="2467"/>
      <c r="G9" s="2467"/>
      <c r="H9" s="791"/>
      <c r="I9" s="791"/>
      <c r="J9" s="791"/>
      <c r="K9" s="791"/>
      <c r="L9" s="791"/>
      <c r="M9" s="791"/>
      <c r="N9" s="791"/>
      <c r="O9" s="791"/>
      <c r="P9" s="791"/>
      <c r="Q9" s="791"/>
      <c r="R9" s="791"/>
    </row>
    <row r="10" spans="1:29" s="2473" customFormat="1" ht="15" thickBot="1">
      <c r="A10" s="2435"/>
      <c r="B10" s="2468" t="s">
        <v>2269</v>
      </c>
      <c r="C10" s="2469"/>
      <c r="D10" s="2457"/>
      <c r="E10" s="2457"/>
      <c r="F10" s="2467"/>
      <c r="G10" s="2467"/>
      <c r="H10" s="2470"/>
      <c r="I10" s="2471"/>
      <c r="J10" s="2472"/>
      <c r="K10" s="2470"/>
      <c r="L10" s="2471"/>
      <c r="M10" s="2472"/>
      <c r="N10" s="2470"/>
      <c r="O10" s="2471"/>
      <c r="P10" s="2472"/>
      <c r="Q10" s="2470"/>
      <c r="R10" s="2471"/>
      <c r="S10" s="791"/>
      <c r="T10" s="791"/>
      <c r="U10" s="791"/>
      <c r="V10" s="791"/>
      <c r="W10" s="791"/>
      <c r="X10" s="791"/>
      <c r="Y10" s="791"/>
      <c r="Z10" s="791"/>
      <c r="AA10" s="791"/>
      <c r="AB10" s="791"/>
      <c r="AC10" s="791"/>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1"/>
      <c r="T11" s="791"/>
      <c r="U11" s="791"/>
      <c r="V11" s="791"/>
      <c r="W11" s="791"/>
      <c r="X11" s="791"/>
      <c r="Y11" s="791"/>
      <c r="Z11" s="791"/>
      <c r="AA11" s="791"/>
      <c r="AB11" s="791"/>
      <c r="AC11" s="791"/>
    </row>
    <row r="12" spans="1:29" s="2449" customFormat="1" ht="18">
      <c r="A12" s="2474"/>
      <c r="B12" s="2463"/>
      <c r="C12" s="2457"/>
      <c r="D12" s="2476"/>
      <c r="E12" s="2457"/>
      <c r="F12" s="2463"/>
      <c r="G12" s="2475"/>
      <c r="H12" s="2477"/>
      <c r="I12" s="2478"/>
      <c r="J12" s="2477"/>
      <c r="K12" s="2477"/>
      <c r="L12" s="2479"/>
      <c r="M12" s="2477"/>
      <c r="N12" s="2480"/>
      <c r="O12" s="2481"/>
      <c r="P12" s="2480"/>
      <c r="Q12" s="2480"/>
      <c r="R12" s="2447"/>
      <c r="S12" s="2448"/>
      <c r="T12" s="2448"/>
      <c r="U12" s="2448"/>
      <c r="V12" s="2448"/>
      <c r="W12" s="2448"/>
      <c r="X12" s="2448"/>
      <c r="Y12" s="2448"/>
      <c r="Z12" s="2448"/>
      <c r="AA12" s="2448"/>
      <c r="AB12" s="2448"/>
      <c r="AC12" s="2448"/>
    </row>
    <row r="13" spans="1:29" ht="15.75" thickBot="1">
      <c r="A13" s="2482" t="s">
        <v>2287</v>
      </c>
      <c r="B13" s="2476"/>
      <c r="C13" s="2476"/>
      <c r="D13" s="2474"/>
      <c r="E13" s="2476"/>
      <c r="F13" s="2476"/>
      <c r="G13" s="2476"/>
    </row>
    <row r="14" spans="1:29" ht="15" thickBot="1">
      <c r="A14" s="2486"/>
      <c r="B14" s="2486"/>
      <c r="C14" s="2487" t="s">
        <v>2270</v>
      </c>
      <c r="D14" s="2457"/>
      <c r="E14" s="2488"/>
      <c r="F14" s="2488"/>
      <c r="G14" s="2452" t="s">
        <v>2271</v>
      </c>
    </row>
    <row r="15" spans="1:29" ht="51">
      <c r="A15" s="2436" t="s">
        <v>2272</v>
      </c>
      <c r="B15" s="2489" t="s">
        <v>2252</v>
      </c>
      <c r="C15" s="2490" t="str">
        <f>C3</f>
        <v>估价对象周边居住用地比例、居住小区规模和社区发展完善程度，综合评价居住社区成熟度一般</v>
      </c>
      <c r="D15" s="2457"/>
      <c r="E15" s="2437" t="s">
        <v>2273</v>
      </c>
      <c r="F15" s="2489" t="s">
        <v>2274</v>
      </c>
      <c r="G15" s="2491" t="str">
        <f>G3</f>
        <v>估价对象位于XX开发区，园区建设成熟度XX，产业集聚程度XX</v>
      </c>
    </row>
    <row r="16" spans="1:29" ht="38.25">
      <c r="A16" s="2438"/>
      <c r="B16" s="2492" t="s">
        <v>2254</v>
      </c>
      <c r="C16" s="2493" t="str">
        <f>C4</f>
        <v>估价对象位于XX商圈，周边商业氛围成熟，人流量大，商业繁华度好</v>
      </c>
      <c r="D16" s="2457"/>
      <c r="E16" s="2439"/>
      <c r="F16" s="2494" t="s">
        <v>2256</v>
      </c>
      <c r="G16" s="2495" t="str">
        <f>G4</f>
        <v>估价对象周边道路状况、公共交通通达情况、停车便捷程度，综合评价交通便捷度较好</v>
      </c>
    </row>
    <row r="17" spans="1:18" ht="38.25">
      <c r="A17" s="2438"/>
      <c r="B17" s="2492" t="s">
        <v>2258</v>
      </c>
      <c r="C17" s="2493" t="str">
        <f>C5</f>
        <v>估价对象位于XX商圈，周边办公楼项目较多，入驻率高，办公集聚程度较好</v>
      </c>
      <c r="D17" s="2463"/>
      <c r="E17" s="2439"/>
      <c r="F17" s="2494" t="s">
        <v>2275</v>
      </c>
      <c r="G17" s="2496"/>
    </row>
    <row r="18" spans="1:18" ht="38.25">
      <c r="A18" s="2438"/>
      <c r="B18" s="2494" t="s">
        <v>2262</v>
      </c>
      <c r="C18" s="2495" t="str">
        <f>C6</f>
        <v>估价对象周边道路状况、公共交通通达情况、停车便捷程度，综合评价交通便捷度较好</v>
      </c>
      <c r="D18" s="2463"/>
      <c r="E18" s="2439"/>
      <c r="F18" s="2494" t="s">
        <v>2265</v>
      </c>
      <c r="G18" s="2495" t="str">
        <f>G7</f>
        <v>该园区内是否有污染型企业，绿化情况，卫生条件，整体环境状况判断</v>
      </c>
    </row>
    <row r="19" spans="1:18" ht="25.5">
      <c r="A19" s="2438"/>
      <c r="B19" s="2494" t="s">
        <v>2276</v>
      </c>
      <c r="C19" s="2496"/>
      <c r="D19" s="2457"/>
      <c r="E19" s="2439"/>
      <c r="F19" s="320" t="s">
        <v>2260</v>
      </c>
      <c r="G19" s="2495" t="str">
        <f>G5</f>
        <v>估价对象所在区域公共配套设施齐备情况</v>
      </c>
    </row>
    <row r="20" spans="1:18" ht="25.5">
      <c r="A20" s="2438"/>
      <c r="B20" s="2494" t="s">
        <v>2277</v>
      </c>
      <c r="C20" s="2493" t="str">
        <f>C9</f>
        <v>区域自然环境：；人文环境；综合评价环境状况一般</v>
      </c>
      <c r="D20" s="2463"/>
      <c r="E20" s="2439"/>
      <c r="F20" s="320" t="s">
        <v>2263</v>
      </c>
      <c r="G20" s="2495" t="str">
        <f>G6</f>
        <v>估价对象所在区域基础设施水平</v>
      </c>
    </row>
    <row r="21" spans="1:18" ht="25.5">
      <c r="A21" s="2438"/>
      <c r="B21" s="320" t="s">
        <v>2260</v>
      </c>
      <c r="C21" s="2495" t="str">
        <f>C7</f>
        <v>估价对象所在区域公共配套设施齐备情况</v>
      </c>
      <c r="D21" s="2457"/>
      <c r="E21" s="2439"/>
      <c r="F21" s="2494" t="s">
        <v>2278</v>
      </c>
      <c r="G21" s="2497"/>
    </row>
    <row r="22" spans="1:18" ht="13.5" customHeight="1">
      <c r="A22" s="2438"/>
      <c r="B22" s="320" t="s">
        <v>2263</v>
      </c>
      <c r="C22" s="2495" t="str">
        <f>C8</f>
        <v>估价对象所在区域基础设施水平</v>
      </c>
      <c r="D22" s="2457"/>
      <c r="E22" s="2439"/>
      <c r="F22" s="2494" t="s">
        <v>2269</v>
      </c>
      <c r="G22" s="2496"/>
    </row>
    <row r="23" spans="1:18" s="791" customFormat="1" ht="15" thickBot="1">
      <c r="A23" s="2438"/>
      <c r="B23" s="2494" t="s">
        <v>2278</v>
      </c>
      <c r="C23" s="2497"/>
      <c r="D23" s="1733"/>
      <c r="E23" s="2440"/>
      <c r="F23" s="2498" t="s">
        <v>2279</v>
      </c>
      <c r="G23" s="2499"/>
      <c r="H23" s="2483"/>
      <c r="I23" s="2484"/>
      <c r="J23" s="2483"/>
      <c r="K23" s="2483"/>
      <c r="L23" s="2484"/>
      <c r="M23" s="2483"/>
      <c r="N23" s="2483"/>
      <c r="O23" s="2484"/>
      <c r="P23" s="2483"/>
      <c r="Q23" s="2483"/>
      <c r="R23" s="2485"/>
    </row>
    <row r="24" spans="1:18" s="791" customFormat="1" ht="15" thickBot="1">
      <c r="A24" s="2441"/>
      <c r="B24" s="2498" t="s">
        <v>2280</v>
      </c>
      <c r="C24" s="2500">
        <f>C10</f>
        <v>0</v>
      </c>
      <c r="D24" s="1733"/>
      <c r="E24" s="2431"/>
      <c r="F24" s="2431"/>
      <c r="G24" s="2501"/>
      <c r="H24" s="2483"/>
      <c r="I24" s="2484"/>
      <c r="J24" s="2483"/>
      <c r="K24" s="2483"/>
      <c r="L24" s="2484"/>
      <c r="M24" s="2483"/>
      <c r="N24" s="2483"/>
      <c r="O24" s="2484"/>
      <c r="P24" s="2483"/>
      <c r="Q24" s="2483"/>
      <c r="R24" s="2485"/>
    </row>
    <row r="25" spans="1:18" s="791" customFormat="1">
      <c r="B25" s="2483"/>
      <c r="C25" s="2483"/>
      <c r="D25" s="2483"/>
      <c r="H25" s="2483"/>
      <c r="I25" s="2484"/>
      <c r="J25" s="2483"/>
      <c r="K25" s="2483"/>
      <c r="L25" s="2484"/>
      <c r="M25" s="2483"/>
      <c r="N25" s="2483"/>
      <c r="O25" s="2484"/>
      <c r="P25" s="2483"/>
      <c r="Q25" s="2483"/>
      <c r="R25" s="2485"/>
    </row>
    <row r="26" spans="1:18" s="791" customFormat="1">
      <c r="B26" s="2483"/>
      <c r="C26" s="2483"/>
      <c r="D26" s="2483"/>
      <c r="H26" s="2483"/>
      <c r="I26" s="2484"/>
      <c r="J26" s="2483"/>
      <c r="K26" s="2483"/>
      <c r="L26" s="2484"/>
      <c r="M26" s="2483"/>
      <c r="N26" s="2483"/>
      <c r="O26" s="2484"/>
      <c r="P26" s="2483"/>
      <c r="Q26" s="2483"/>
      <c r="R26" s="2485"/>
    </row>
    <row r="27" spans="1:18" s="791" customFormat="1">
      <c r="B27" s="2483"/>
      <c r="C27" s="2483"/>
      <c r="D27" s="2483"/>
      <c r="H27" s="2483"/>
      <c r="I27" s="2484"/>
      <c r="J27" s="2483"/>
      <c r="K27" s="2483"/>
      <c r="L27" s="2484"/>
      <c r="M27" s="2483"/>
      <c r="N27" s="2483"/>
      <c r="O27" s="2484"/>
      <c r="P27" s="2483"/>
      <c r="Q27" s="2483"/>
      <c r="R27" s="2485"/>
    </row>
    <row r="28" spans="1:18" s="791" customFormat="1">
      <c r="B28" s="2483"/>
      <c r="C28" s="2483"/>
      <c r="D28" s="2483"/>
      <c r="H28" s="2483"/>
      <c r="I28" s="2484"/>
      <c r="J28" s="2483"/>
      <c r="K28" s="2483"/>
      <c r="L28" s="2484"/>
      <c r="M28" s="2483"/>
      <c r="N28" s="2483"/>
      <c r="O28" s="2484"/>
      <c r="P28" s="2483"/>
      <c r="Q28" s="2483"/>
      <c r="R28" s="2485"/>
    </row>
    <row r="29" spans="1:18" s="791" customFormat="1">
      <c r="B29" s="2483"/>
      <c r="C29" s="2483"/>
      <c r="D29" s="2483"/>
      <c r="H29" s="2483"/>
      <c r="I29" s="2484"/>
      <c r="J29" s="2483"/>
      <c r="K29" s="2483"/>
      <c r="L29" s="2484"/>
      <c r="M29" s="2483"/>
      <c r="N29" s="2483"/>
      <c r="O29" s="2484"/>
      <c r="P29" s="2483"/>
      <c r="Q29" s="2483"/>
      <c r="R29" s="2485"/>
    </row>
    <row r="30" spans="1:18" s="791" customFormat="1">
      <c r="B30" s="2483"/>
      <c r="C30" s="2483"/>
      <c r="D30" s="2483"/>
      <c r="H30" s="2483"/>
      <c r="I30" s="2484"/>
      <c r="J30" s="2483"/>
      <c r="K30" s="2483"/>
      <c r="L30" s="2484"/>
      <c r="M30" s="2483"/>
      <c r="N30" s="2483"/>
      <c r="O30" s="2484"/>
      <c r="P30" s="2483"/>
      <c r="Q30" s="2483"/>
      <c r="R30" s="2485"/>
    </row>
    <row r="31" spans="1:18" s="791" customFormat="1">
      <c r="B31" s="2483"/>
      <c r="C31" s="2483"/>
      <c r="D31" s="2483"/>
      <c r="H31" s="2483"/>
      <c r="I31" s="2484"/>
      <c r="J31" s="2483"/>
      <c r="K31" s="2483"/>
      <c r="L31" s="2484"/>
      <c r="M31" s="2483"/>
      <c r="N31" s="2483"/>
      <c r="O31" s="2484"/>
      <c r="P31" s="2483"/>
      <c r="Q31" s="2483"/>
      <c r="R31" s="2485"/>
    </row>
    <row r="32" spans="1:18" s="791" customFormat="1">
      <c r="B32" s="2483"/>
      <c r="C32" s="2483"/>
      <c r="D32" s="2483"/>
      <c r="H32" s="2483"/>
      <c r="I32" s="2484"/>
      <c r="J32" s="2483"/>
      <c r="K32" s="2483"/>
      <c r="L32" s="2484"/>
      <c r="M32" s="2483"/>
      <c r="N32" s="2483"/>
      <c r="O32" s="2484"/>
      <c r="P32" s="2483"/>
      <c r="Q32" s="2483"/>
      <c r="R32" s="2485"/>
    </row>
    <row r="33" spans="2:18" s="791" customFormat="1">
      <c r="B33" s="2483"/>
      <c r="C33" s="2483"/>
      <c r="D33" s="2483"/>
      <c r="H33" s="2483"/>
      <c r="I33" s="2484"/>
      <c r="J33" s="2483"/>
      <c r="K33" s="2483"/>
      <c r="L33" s="2484"/>
      <c r="M33" s="2483"/>
      <c r="N33" s="2483"/>
      <c r="O33" s="2484"/>
      <c r="P33" s="2483"/>
      <c r="Q33" s="2483"/>
      <c r="R33" s="2485"/>
    </row>
    <row r="34" spans="2:18" s="791" customFormat="1">
      <c r="B34" s="2483"/>
      <c r="C34" s="2483"/>
      <c r="D34" s="2483"/>
      <c r="H34" s="2483"/>
      <c r="I34" s="2484"/>
      <c r="J34" s="2483"/>
      <c r="K34" s="2483"/>
      <c r="L34" s="2484"/>
      <c r="M34" s="2483"/>
      <c r="N34" s="2483"/>
      <c r="O34" s="2484"/>
      <c r="P34" s="2483"/>
      <c r="Q34" s="2483"/>
      <c r="R34" s="2485"/>
    </row>
    <row r="35" spans="2:18" s="791" customFormat="1">
      <c r="B35" s="2483"/>
      <c r="C35" s="2483"/>
      <c r="D35" s="2483"/>
      <c r="H35" s="2483"/>
      <c r="I35" s="2484"/>
      <c r="J35" s="2483"/>
      <c r="K35" s="2483"/>
      <c r="L35" s="2484"/>
      <c r="M35" s="2483"/>
      <c r="N35" s="2483"/>
      <c r="O35" s="2484"/>
      <c r="P35" s="2483"/>
      <c r="Q35" s="2483"/>
      <c r="R35" s="2485"/>
    </row>
    <row r="36" spans="2:18" s="791" customFormat="1">
      <c r="B36" s="2483"/>
      <c r="C36" s="2483"/>
      <c r="D36" s="2483"/>
      <c r="H36" s="2483"/>
      <c r="I36" s="2484"/>
      <c r="J36" s="2483"/>
      <c r="K36" s="2483"/>
      <c r="L36" s="2484"/>
      <c r="M36" s="2483"/>
      <c r="N36" s="2483"/>
      <c r="O36" s="2484"/>
      <c r="P36" s="2483"/>
      <c r="Q36" s="2483"/>
      <c r="R36" s="2485"/>
    </row>
    <row r="37" spans="2:18" s="791" customFormat="1">
      <c r="B37" s="2483"/>
      <c r="C37" s="2483"/>
      <c r="D37" s="2483"/>
      <c r="H37" s="2483"/>
      <c r="I37" s="2484"/>
      <c r="J37" s="2483"/>
      <c r="K37" s="2483"/>
      <c r="L37" s="2484"/>
      <c r="M37" s="2483"/>
      <c r="N37" s="2483"/>
      <c r="O37" s="2484"/>
      <c r="P37" s="2483"/>
      <c r="Q37" s="2483"/>
      <c r="R37" s="2485"/>
    </row>
    <row r="38" spans="2:18" s="791" customFormat="1">
      <c r="B38" s="2483"/>
      <c r="C38" s="2483"/>
      <c r="D38" s="2483"/>
      <c r="E38" s="2483"/>
      <c r="F38" s="2483"/>
      <c r="G38" s="2484"/>
      <c r="H38" s="2483"/>
      <c r="I38" s="2484"/>
      <c r="J38" s="2483"/>
      <c r="K38" s="2483"/>
      <c r="L38" s="2484"/>
      <c r="M38" s="2483"/>
      <c r="N38" s="2483"/>
      <c r="O38" s="2484"/>
      <c r="P38" s="2483"/>
      <c r="Q38" s="2483"/>
      <c r="R38" s="2485"/>
    </row>
    <row r="39" spans="2:18" s="791" customFormat="1">
      <c r="B39" s="2483"/>
      <c r="C39" s="2483"/>
      <c r="D39" s="2483"/>
      <c r="E39" s="2483"/>
      <c r="F39" s="2483"/>
      <c r="G39" s="2484"/>
      <c r="H39" s="2483"/>
      <c r="I39" s="2484"/>
      <c r="J39" s="2483"/>
      <c r="K39" s="2483"/>
      <c r="L39" s="2484"/>
      <c r="M39" s="2483"/>
      <c r="N39" s="2483"/>
      <c r="O39" s="2484"/>
      <c r="P39" s="2483"/>
      <c r="Q39" s="2483"/>
      <c r="R39" s="2485"/>
    </row>
    <row r="40" spans="2:18" s="791" customFormat="1">
      <c r="B40" s="2483"/>
      <c r="C40" s="2483"/>
      <c r="D40" s="2483"/>
      <c r="E40" s="2483"/>
      <c r="F40" s="2483"/>
      <c r="G40" s="2484"/>
      <c r="H40" s="2483"/>
      <c r="I40" s="2484"/>
      <c r="J40" s="2483"/>
      <c r="K40" s="2483"/>
      <c r="L40" s="2484"/>
      <c r="M40" s="2483"/>
      <c r="N40" s="2483"/>
      <c r="O40" s="2484"/>
      <c r="P40" s="2483"/>
      <c r="Q40" s="2483"/>
      <c r="R40" s="2485"/>
    </row>
    <row r="41" spans="2:18" s="791" customFormat="1">
      <c r="B41" s="2483"/>
      <c r="C41" s="2483"/>
      <c r="D41" s="2483"/>
      <c r="E41" s="2483"/>
      <c r="F41" s="2483"/>
      <c r="G41" s="2484"/>
      <c r="H41" s="2483"/>
      <c r="I41" s="2484"/>
      <c r="J41" s="2483"/>
      <c r="K41" s="2483"/>
      <c r="L41" s="2484"/>
      <c r="M41" s="2483"/>
      <c r="N41" s="2483"/>
      <c r="O41" s="2484"/>
      <c r="P41" s="2483"/>
      <c r="Q41" s="2483"/>
      <c r="R41" s="2485"/>
    </row>
    <row r="42" spans="2:18" s="791" customFormat="1">
      <c r="B42" s="2483"/>
      <c r="C42" s="2483"/>
      <c r="D42" s="2483"/>
      <c r="E42" s="2483"/>
      <c r="F42" s="2483"/>
      <c r="G42" s="2484"/>
      <c r="H42" s="2483"/>
      <c r="I42" s="2484"/>
      <c r="J42" s="2483"/>
      <c r="K42" s="2483"/>
      <c r="L42" s="2484"/>
      <c r="M42" s="2483"/>
      <c r="N42" s="2483"/>
      <c r="O42" s="2484"/>
      <c r="P42" s="2483"/>
      <c r="Q42" s="2483"/>
      <c r="R42" s="2485"/>
    </row>
    <row r="43" spans="2:18" s="791" customFormat="1">
      <c r="B43" s="2483"/>
      <c r="C43" s="2483"/>
      <c r="D43" s="2483"/>
      <c r="E43" s="2483"/>
      <c r="F43" s="2483"/>
      <c r="G43" s="2484"/>
      <c r="H43" s="2483"/>
      <c r="I43" s="2484"/>
      <c r="J43" s="2483"/>
      <c r="K43" s="2483"/>
      <c r="L43" s="2484"/>
      <c r="M43" s="2483"/>
      <c r="N43" s="2483"/>
      <c r="O43" s="2484"/>
      <c r="P43" s="2483"/>
      <c r="Q43" s="2483"/>
      <c r="R43" s="2485"/>
    </row>
    <row r="44" spans="2:18" s="791" customFormat="1">
      <c r="B44" s="2483"/>
      <c r="C44" s="2483"/>
      <c r="D44" s="2483"/>
      <c r="E44" s="2483"/>
      <c r="F44" s="2483"/>
      <c r="G44" s="2484"/>
      <c r="H44" s="2483"/>
      <c r="I44" s="2484"/>
      <c r="J44" s="2483"/>
      <c r="K44" s="2483"/>
      <c r="L44" s="2484"/>
      <c r="M44" s="2483"/>
      <c r="N44" s="2483"/>
      <c r="O44" s="2484"/>
      <c r="P44" s="2483"/>
      <c r="Q44" s="2483"/>
      <c r="R44" s="2485"/>
    </row>
    <row r="45" spans="2:18" s="791" customFormat="1">
      <c r="B45" s="2483"/>
      <c r="C45" s="2483"/>
      <c r="D45" s="2483"/>
      <c r="E45" s="2483"/>
      <c r="F45" s="2483"/>
      <c r="G45" s="2484"/>
      <c r="H45" s="2483"/>
      <c r="I45" s="2484"/>
      <c r="J45" s="2483"/>
      <c r="K45" s="2483"/>
      <c r="L45" s="2484"/>
      <c r="M45" s="2483"/>
      <c r="N45" s="2483"/>
      <c r="O45" s="2484"/>
      <c r="P45" s="2483"/>
      <c r="Q45" s="2483"/>
      <c r="R45" s="2485"/>
    </row>
    <row r="46" spans="2:18" s="791" customFormat="1">
      <c r="B46" s="2483"/>
      <c r="C46" s="2483"/>
      <c r="D46" s="2483"/>
      <c r="E46" s="2483"/>
      <c r="F46" s="2483"/>
      <c r="G46" s="2484"/>
      <c r="H46" s="2483"/>
      <c r="I46" s="2484"/>
      <c r="J46" s="2483"/>
      <c r="K46" s="2483"/>
      <c r="L46" s="2484"/>
      <c r="M46" s="2483"/>
      <c r="N46" s="2483"/>
      <c r="O46" s="2484"/>
      <c r="P46" s="2483"/>
      <c r="Q46" s="2483"/>
      <c r="R46" s="2485"/>
    </row>
    <row r="47" spans="2:18" s="791" customFormat="1">
      <c r="B47" s="2483"/>
      <c r="C47" s="2483"/>
      <c r="D47" s="2483"/>
      <c r="E47" s="2483"/>
      <c r="F47" s="2483"/>
      <c r="G47" s="2484"/>
      <c r="H47" s="2483"/>
      <c r="I47" s="2484"/>
      <c r="J47" s="2483"/>
      <c r="K47" s="2483"/>
      <c r="L47" s="2484"/>
      <c r="M47" s="2483"/>
      <c r="N47" s="2483"/>
      <c r="O47" s="2484"/>
      <c r="P47" s="2483"/>
      <c r="Q47" s="2483"/>
      <c r="R47" s="2485"/>
    </row>
    <row r="48" spans="2:18" s="791" customFormat="1">
      <c r="B48" s="2483"/>
      <c r="C48" s="2483"/>
      <c r="D48" s="2483"/>
      <c r="E48" s="2483"/>
      <c r="F48" s="2483"/>
      <c r="G48" s="2484"/>
      <c r="H48" s="2483"/>
      <c r="I48" s="2484"/>
      <c r="J48" s="2483"/>
      <c r="K48" s="2483"/>
      <c r="L48" s="2484"/>
      <c r="M48" s="2483"/>
      <c r="N48" s="2483"/>
      <c r="O48" s="2484"/>
      <c r="P48" s="2483"/>
      <c r="Q48" s="2483"/>
      <c r="R48" s="2485"/>
    </row>
    <row r="49" spans="2:18" s="791" customFormat="1">
      <c r="B49" s="2483"/>
      <c r="C49" s="2483"/>
      <c r="D49" s="2483"/>
      <c r="E49" s="2483"/>
      <c r="F49" s="2483"/>
      <c r="G49" s="2484"/>
      <c r="H49" s="2483"/>
      <c r="I49" s="2484"/>
      <c r="J49" s="2483"/>
      <c r="K49" s="2483"/>
      <c r="L49" s="2484"/>
      <c r="M49" s="2483"/>
      <c r="N49" s="2483"/>
      <c r="O49" s="2484"/>
      <c r="P49" s="2483"/>
      <c r="Q49" s="2483"/>
      <c r="R49" s="2485"/>
    </row>
    <row r="50" spans="2:18" s="791" customFormat="1">
      <c r="B50" s="2483"/>
      <c r="C50" s="2483"/>
      <c r="D50" s="2483"/>
      <c r="E50" s="2483"/>
      <c r="F50" s="2483"/>
      <c r="G50" s="2484"/>
      <c r="H50" s="2483"/>
      <c r="I50" s="2484"/>
      <c r="J50" s="2483"/>
      <c r="K50" s="2483"/>
      <c r="L50" s="2484"/>
      <c r="M50" s="2483"/>
      <c r="N50" s="2483"/>
      <c r="O50" s="2484"/>
      <c r="P50" s="2483"/>
      <c r="Q50" s="2483"/>
      <c r="R50" s="2485"/>
    </row>
    <row r="51" spans="2:18" s="791" customFormat="1">
      <c r="B51" s="2483"/>
      <c r="C51" s="2483"/>
      <c r="D51" s="2483"/>
      <c r="E51" s="2483"/>
      <c r="F51" s="2483"/>
      <c r="G51" s="2484"/>
      <c r="H51" s="2483"/>
      <c r="I51" s="2484"/>
      <c r="J51" s="2483"/>
      <c r="K51" s="2483"/>
      <c r="L51" s="2484"/>
      <c r="M51" s="2483"/>
      <c r="N51" s="2483"/>
      <c r="O51" s="2484"/>
      <c r="P51" s="2483"/>
      <c r="Q51" s="2483"/>
      <c r="R51" s="2485"/>
    </row>
    <row r="52" spans="2:18" s="791" customFormat="1">
      <c r="B52" s="2483"/>
      <c r="C52" s="2483"/>
      <c r="D52" s="2483"/>
      <c r="E52" s="2483"/>
      <c r="F52" s="2483"/>
      <c r="G52" s="2484"/>
      <c r="H52" s="2483"/>
      <c r="I52" s="2484"/>
      <c r="J52" s="2483"/>
      <c r="K52" s="2483"/>
      <c r="L52" s="2484"/>
      <c r="M52" s="2483"/>
      <c r="N52" s="2483"/>
      <c r="O52" s="2484"/>
      <c r="P52" s="2483"/>
      <c r="Q52" s="2483"/>
      <c r="R52" s="2485"/>
    </row>
    <row r="53" spans="2:18" s="791" customFormat="1">
      <c r="B53" s="2483"/>
      <c r="C53" s="2483"/>
      <c r="D53" s="2483"/>
      <c r="E53" s="2483"/>
      <c r="F53" s="2483"/>
      <c r="G53" s="2484"/>
      <c r="H53" s="2483"/>
      <c r="I53" s="2484"/>
      <c r="J53" s="2483"/>
      <c r="K53" s="2483"/>
      <c r="L53" s="2484"/>
      <c r="M53" s="2483"/>
      <c r="N53" s="2483"/>
      <c r="O53" s="2484"/>
      <c r="P53" s="2483"/>
      <c r="Q53" s="2483"/>
      <c r="R53" s="2485"/>
    </row>
    <row r="54" spans="2:18" s="791" customFormat="1">
      <c r="B54" s="2483"/>
      <c r="C54" s="2483"/>
      <c r="D54" s="2483"/>
      <c r="E54" s="2483"/>
      <c r="F54" s="2483"/>
      <c r="G54" s="2484"/>
      <c r="H54" s="2483"/>
      <c r="I54" s="2484"/>
      <c r="J54" s="2483"/>
      <c r="K54" s="2483"/>
      <c r="L54" s="2484"/>
      <c r="M54" s="2483"/>
      <c r="N54" s="2483"/>
      <c r="O54" s="2484"/>
      <c r="P54" s="2483"/>
      <c r="Q54" s="2483"/>
      <c r="R54" s="2485"/>
    </row>
    <row r="55" spans="2:18" s="791" customFormat="1">
      <c r="B55" s="2483"/>
      <c r="C55" s="2483"/>
      <c r="D55" s="2483"/>
      <c r="E55" s="2483"/>
      <c r="F55" s="2483"/>
      <c r="G55" s="2484"/>
      <c r="H55" s="2483"/>
      <c r="I55" s="2484"/>
      <c r="J55" s="2483"/>
      <c r="K55" s="2483"/>
      <c r="L55" s="2484"/>
      <c r="M55" s="2483"/>
      <c r="N55" s="2483"/>
      <c r="O55" s="2484"/>
      <c r="P55" s="2483"/>
      <c r="Q55" s="2483"/>
      <c r="R55" s="2485"/>
    </row>
    <row r="56" spans="2:18" s="791" customFormat="1">
      <c r="B56" s="2483"/>
      <c r="C56" s="2483"/>
      <c r="D56" s="2483"/>
      <c r="E56" s="2483"/>
      <c r="F56" s="2483"/>
      <c r="G56" s="2484"/>
      <c r="H56" s="2483"/>
      <c r="I56" s="2484"/>
      <c r="J56" s="2483"/>
      <c r="K56" s="2483"/>
      <c r="L56" s="2484"/>
      <c r="M56" s="2483"/>
      <c r="N56" s="2483"/>
      <c r="O56" s="2484"/>
      <c r="P56" s="2483"/>
      <c r="Q56" s="2483"/>
      <c r="R56" s="2485"/>
    </row>
    <row r="57" spans="2:18" s="791" customFormat="1">
      <c r="B57" s="2483"/>
      <c r="C57" s="2483"/>
      <c r="D57" s="2483"/>
      <c r="E57" s="2483"/>
      <c r="F57" s="2483"/>
      <c r="G57" s="2484"/>
      <c r="H57" s="2483"/>
      <c r="I57" s="2484"/>
      <c r="J57" s="2483"/>
      <c r="K57" s="2483"/>
      <c r="L57" s="2484"/>
      <c r="M57" s="2483"/>
      <c r="N57" s="2483"/>
      <c r="O57" s="2484"/>
      <c r="P57" s="2483"/>
      <c r="Q57" s="2483"/>
      <c r="R57" s="2485"/>
    </row>
    <row r="58" spans="2:18" s="791" customFormat="1">
      <c r="B58" s="2483"/>
      <c r="C58" s="2483"/>
      <c r="D58" s="2483"/>
      <c r="E58" s="2483"/>
      <c r="F58" s="2483"/>
      <c r="G58" s="2484"/>
      <c r="H58" s="2483"/>
      <c r="I58" s="2484"/>
      <c r="J58" s="2483"/>
      <c r="K58" s="2483"/>
      <c r="L58" s="2484"/>
      <c r="M58" s="2483"/>
      <c r="N58" s="2483"/>
      <c r="O58" s="2484"/>
      <c r="P58" s="2483"/>
      <c r="Q58" s="2483"/>
      <c r="R58" s="2485"/>
    </row>
    <row r="59" spans="2:18" s="791" customFormat="1">
      <c r="B59" s="2483"/>
      <c r="C59" s="2483"/>
      <c r="D59" s="2483"/>
      <c r="E59" s="2483"/>
      <c r="F59" s="2483"/>
      <c r="G59" s="2484"/>
      <c r="H59" s="2483"/>
      <c r="I59" s="2484"/>
      <c r="J59" s="2483"/>
      <c r="K59" s="2483"/>
      <c r="L59" s="2484"/>
      <c r="M59" s="2483"/>
      <c r="N59" s="2483"/>
      <c r="O59" s="2484"/>
      <c r="P59" s="2483"/>
      <c r="Q59" s="2483"/>
      <c r="R59" s="2485"/>
    </row>
    <row r="60" spans="2:18" s="791" customFormat="1">
      <c r="B60" s="2483"/>
      <c r="C60" s="2483"/>
      <c r="D60" s="2483"/>
      <c r="E60" s="2483"/>
      <c r="F60" s="2483"/>
      <c r="G60" s="2484"/>
      <c r="H60" s="2483"/>
      <c r="I60" s="2484"/>
      <c r="J60" s="2483"/>
      <c r="K60" s="2483"/>
      <c r="L60" s="2484"/>
      <c r="M60" s="2483"/>
      <c r="N60" s="2483"/>
      <c r="O60" s="2484"/>
      <c r="P60" s="2483"/>
      <c r="Q60" s="2483"/>
      <c r="R60" s="2485"/>
    </row>
    <row r="61" spans="2:18" s="791" customFormat="1">
      <c r="B61" s="2483"/>
      <c r="C61" s="2483"/>
      <c r="D61" s="2483"/>
      <c r="E61" s="2483"/>
      <c r="F61" s="2483"/>
      <c r="G61" s="2484"/>
      <c r="H61" s="2483"/>
      <c r="I61" s="2484"/>
      <c r="J61" s="2483"/>
      <c r="K61" s="2483"/>
      <c r="L61" s="2484"/>
      <c r="M61" s="2483"/>
      <c r="N61" s="2483"/>
      <c r="O61" s="2484"/>
      <c r="P61" s="2483"/>
      <c r="Q61" s="2483"/>
      <c r="R61" s="2485"/>
    </row>
    <row r="62" spans="2:18" s="791" customFormat="1">
      <c r="B62" s="2483"/>
      <c r="C62" s="2483"/>
      <c r="D62" s="2483"/>
      <c r="E62" s="2483"/>
      <c r="F62" s="2483"/>
      <c r="G62" s="2484"/>
      <c r="H62" s="2483"/>
      <c r="I62" s="2484"/>
      <c r="J62" s="2483"/>
      <c r="K62" s="2483"/>
      <c r="L62" s="2484"/>
      <c r="M62" s="2483"/>
      <c r="N62" s="2483"/>
      <c r="O62" s="2484"/>
      <c r="P62" s="2483"/>
      <c r="Q62" s="2483"/>
      <c r="R62" s="2485"/>
    </row>
    <row r="63" spans="2:18" s="791" customFormat="1">
      <c r="B63" s="2483"/>
      <c r="C63" s="2483"/>
      <c r="D63" s="2483"/>
      <c r="E63" s="2483"/>
      <c r="F63" s="2483"/>
      <c r="G63" s="2484"/>
      <c r="H63" s="2483"/>
      <c r="I63" s="2484"/>
      <c r="J63" s="2483"/>
      <c r="K63" s="2483"/>
      <c r="L63" s="2484"/>
      <c r="M63" s="2483"/>
      <c r="N63" s="2483"/>
      <c r="O63" s="2484"/>
      <c r="P63" s="2483"/>
      <c r="Q63" s="2483"/>
      <c r="R63" s="2485"/>
    </row>
    <row r="64" spans="2:18" s="791" customFormat="1">
      <c r="B64" s="2483"/>
      <c r="C64" s="2483"/>
      <c r="D64" s="2483"/>
      <c r="E64" s="2483"/>
      <c r="F64" s="2483"/>
      <c r="G64" s="2484"/>
      <c r="H64" s="2483"/>
      <c r="I64" s="2484"/>
      <c r="J64" s="2483"/>
      <c r="K64" s="2483"/>
      <c r="L64" s="2484"/>
      <c r="M64" s="2483"/>
      <c r="N64" s="2483"/>
      <c r="O64" s="2484"/>
      <c r="P64" s="2483"/>
      <c r="Q64" s="2483"/>
      <c r="R64" s="2485"/>
    </row>
    <row r="65" spans="2:18" s="791" customFormat="1">
      <c r="B65" s="2483"/>
      <c r="C65" s="2483"/>
      <c r="D65" s="2483"/>
      <c r="E65" s="2483"/>
      <c r="F65" s="2483"/>
      <c r="G65" s="2484"/>
      <c r="H65" s="2483"/>
      <c r="I65" s="2484"/>
      <c r="J65" s="2483"/>
      <c r="K65" s="2483"/>
      <c r="L65" s="2484"/>
      <c r="M65" s="2483"/>
      <c r="N65" s="2483"/>
      <c r="O65" s="2484"/>
      <c r="P65" s="2483"/>
      <c r="Q65" s="2483"/>
      <c r="R65" s="2485"/>
    </row>
    <row r="66" spans="2:18" s="791" customFormat="1">
      <c r="B66" s="2483"/>
      <c r="C66" s="2483"/>
      <c r="D66" s="2483"/>
      <c r="E66" s="2483"/>
      <c r="F66" s="2483"/>
      <c r="G66" s="2484"/>
      <c r="H66" s="2483"/>
      <c r="I66" s="2484"/>
      <c r="J66" s="2483"/>
      <c r="K66" s="2483"/>
      <c r="L66" s="2484"/>
      <c r="M66" s="2483"/>
      <c r="N66" s="2483"/>
      <c r="O66" s="2484"/>
      <c r="P66" s="2483"/>
      <c r="Q66" s="2483"/>
      <c r="R66" s="2485"/>
    </row>
    <row r="67" spans="2:18" s="791" customFormat="1">
      <c r="B67" s="2483"/>
      <c r="C67" s="2483"/>
      <c r="D67" s="2483"/>
      <c r="E67" s="2483"/>
      <c r="F67" s="2483"/>
      <c r="G67" s="2484"/>
      <c r="H67" s="2483"/>
      <c r="I67" s="2484"/>
      <c r="J67" s="2483"/>
      <c r="K67" s="2483"/>
      <c r="L67" s="2484"/>
      <c r="M67" s="2483"/>
      <c r="N67" s="2483"/>
      <c r="O67" s="2484"/>
      <c r="P67" s="2483"/>
      <c r="Q67" s="2483"/>
      <c r="R67" s="2485"/>
    </row>
    <row r="68" spans="2:18" s="791" customFormat="1">
      <c r="B68" s="2483"/>
      <c r="C68" s="2483"/>
      <c r="D68" s="2483"/>
      <c r="E68" s="2483"/>
      <c r="F68" s="2483"/>
      <c r="G68" s="2484"/>
      <c r="H68" s="2483"/>
      <c r="I68" s="2484"/>
      <c r="J68" s="2483"/>
      <c r="K68" s="2483"/>
      <c r="L68" s="2484"/>
      <c r="M68" s="2483"/>
      <c r="N68" s="2483"/>
      <c r="O68" s="2484"/>
      <c r="P68" s="2483"/>
      <c r="Q68" s="2483"/>
      <c r="R68" s="2485"/>
    </row>
    <row r="69" spans="2:18" s="791" customFormat="1">
      <c r="B69" s="2483"/>
      <c r="C69" s="2483"/>
      <c r="D69" s="2483"/>
      <c r="E69" s="2483"/>
      <c r="F69" s="2483"/>
      <c r="G69" s="2484"/>
      <c r="H69" s="2483"/>
      <c r="I69" s="2484"/>
      <c r="J69" s="2483"/>
      <c r="K69" s="2483"/>
      <c r="L69" s="2484"/>
      <c r="M69" s="2483"/>
      <c r="N69" s="2483"/>
      <c r="O69" s="2484"/>
      <c r="P69" s="2483"/>
      <c r="Q69" s="2483"/>
      <c r="R69" s="2485"/>
    </row>
    <row r="70" spans="2:18" s="791" customFormat="1">
      <c r="B70" s="2483"/>
      <c r="C70" s="2483"/>
      <c r="D70" s="2483"/>
      <c r="E70" s="2483"/>
      <c r="F70" s="2483"/>
      <c r="G70" s="2484"/>
      <c r="H70" s="2483"/>
      <c r="I70" s="2484"/>
      <c r="J70" s="2483"/>
      <c r="K70" s="2483"/>
      <c r="L70" s="2484"/>
      <c r="M70" s="2483"/>
      <c r="N70" s="2483"/>
      <c r="O70" s="2484"/>
      <c r="P70" s="2483"/>
      <c r="Q70" s="2483"/>
      <c r="R70" s="2485"/>
    </row>
    <row r="71" spans="2:18" s="791" customFormat="1">
      <c r="B71" s="2483"/>
      <c r="C71" s="2483"/>
      <c r="D71" s="2483"/>
      <c r="E71" s="2483"/>
      <c r="F71" s="2483"/>
      <c r="G71" s="2484"/>
      <c r="H71" s="2483"/>
      <c r="I71" s="2484"/>
      <c r="J71" s="2483"/>
      <c r="K71" s="2483"/>
      <c r="L71" s="2484"/>
      <c r="M71" s="2483"/>
      <c r="N71" s="2483"/>
      <c r="O71" s="2484"/>
      <c r="P71" s="2483"/>
      <c r="Q71" s="2483"/>
      <c r="R71" s="2485"/>
    </row>
    <row r="72" spans="2:18" s="791" customFormat="1">
      <c r="B72" s="2483"/>
      <c r="C72" s="2483"/>
      <c r="D72" s="2483"/>
      <c r="E72" s="2483"/>
      <c r="F72" s="2483"/>
      <c r="G72" s="2484"/>
      <c r="H72" s="2483"/>
      <c r="I72" s="2484"/>
      <c r="J72" s="2483"/>
      <c r="K72" s="2483"/>
      <c r="L72" s="2484"/>
      <c r="M72" s="2483"/>
      <c r="N72" s="2483"/>
      <c r="O72" s="2484"/>
      <c r="P72" s="2483"/>
      <c r="Q72" s="2483"/>
      <c r="R72" s="2485"/>
    </row>
    <row r="73" spans="2:18" s="791" customFormat="1">
      <c r="B73" s="2483"/>
      <c r="C73" s="2483"/>
      <c r="D73" s="2483"/>
      <c r="E73" s="2483"/>
      <c r="F73" s="2483"/>
      <c r="G73" s="2484"/>
      <c r="H73" s="2483"/>
      <c r="I73" s="2484"/>
      <c r="J73" s="2483"/>
      <c r="K73" s="2483"/>
      <c r="L73" s="2484"/>
      <c r="M73" s="2483"/>
      <c r="N73" s="2483"/>
      <c r="O73" s="2484"/>
      <c r="P73" s="2483"/>
      <c r="Q73" s="2483"/>
      <c r="R73" s="2485"/>
    </row>
    <row r="74" spans="2:18" s="791" customFormat="1">
      <c r="B74" s="2483"/>
      <c r="C74" s="2483"/>
      <c r="D74" s="2483"/>
      <c r="E74" s="2483"/>
      <c r="F74" s="2483"/>
      <c r="G74" s="2484"/>
      <c r="H74" s="2483"/>
      <c r="I74" s="2484"/>
      <c r="J74" s="2483"/>
      <c r="K74" s="2483"/>
      <c r="L74" s="2484"/>
      <c r="M74" s="2483"/>
      <c r="N74" s="2483"/>
      <c r="O74" s="2484"/>
      <c r="P74" s="2483"/>
      <c r="Q74" s="2483"/>
      <c r="R74" s="2485"/>
    </row>
    <row r="75" spans="2:18" s="791" customFormat="1">
      <c r="B75" s="2483"/>
      <c r="C75" s="2483"/>
      <c r="D75" s="2483"/>
      <c r="E75" s="2483"/>
      <c r="F75" s="2483"/>
      <c r="G75" s="2484"/>
      <c r="H75" s="2483"/>
      <c r="I75" s="2484"/>
      <c r="J75" s="2483"/>
      <c r="K75" s="2483"/>
      <c r="L75" s="2484"/>
      <c r="M75" s="2483"/>
      <c r="N75" s="2483"/>
      <c r="O75" s="2484"/>
      <c r="P75" s="2483"/>
      <c r="Q75" s="2483"/>
      <c r="R75" s="2485"/>
    </row>
    <row r="76" spans="2:18" s="791" customFormat="1">
      <c r="B76" s="2483"/>
      <c r="C76" s="2483"/>
      <c r="D76" s="2483"/>
      <c r="E76" s="2483"/>
      <c r="F76" s="2483"/>
      <c r="G76" s="2484"/>
      <c r="H76" s="2483"/>
      <c r="I76" s="2484"/>
      <c r="J76" s="2483"/>
      <c r="K76" s="2483"/>
      <c r="L76" s="2484"/>
      <c r="M76" s="2483"/>
      <c r="N76" s="2483"/>
      <c r="O76" s="2484"/>
      <c r="P76" s="2483"/>
      <c r="Q76" s="2483"/>
      <c r="R76" s="2485"/>
    </row>
    <row r="77" spans="2:18" s="791" customFormat="1">
      <c r="B77" s="2483"/>
      <c r="C77" s="2483"/>
      <c r="D77" s="2483"/>
      <c r="E77" s="2483"/>
      <c r="F77" s="2483"/>
      <c r="G77" s="2484"/>
      <c r="H77" s="2483"/>
      <c r="I77" s="2484"/>
      <c r="J77" s="2483"/>
      <c r="K77" s="2483"/>
      <c r="L77" s="2484"/>
      <c r="M77" s="2483"/>
      <c r="N77" s="2483"/>
      <c r="O77" s="2484"/>
      <c r="P77" s="2483"/>
      <c r="Q77" s="2483"/>
      <c r="R77" s="2485"/>
    </row>
    <row r="78" spans="2:18" s="791" customFormat="1">
      <c r="B78" s="2483"/>
      <c r="C78" s="2483"/>
      <c r="D78" s="2483"/>
      <c r="E78" s="2483"/>
      <c r="F78" s="2483"/>
      <c r="G78" s="2484"/>
      <c r="H78" s="2483"/>
      <c r="I78" s="2484"/>
      <c r="J78" s="2483"/>
      <c r="K78" s="2483"/>
      <c r="L78" s="2484"/>
      <c r="M78" s="2483"/>
      <c r="N78" s="2483"/>
      <c r="O78" s="2484"/>
      <c r="P78" s="2483"/>
      <c r="Q78" s="2483"/>
      <c r="R78" s="2485"/>
    </row>
    <row r="79" spans="2:18" s="791" customFormat="1">
      <c r="B79" s="2483"/>
      <c r="C79" s="2483"/>
      <c r="D79" s="2483"/>
      <c r="E79" s="2483"/>
      <c r="F79" s="2483"/>
      <c r="G79" s="2484"/>
      <c r="H79" s="2483"/>
      <c r="I79" s="2484"/>
      <c r="J79" s="2483"/>
      <c r="K79" s="2483"/>
      <c r="L79" s="2484"/>
      <c r="M79" s="2483"/>
      <c r="N79" s="2483"/>
      <c r="O79" s="2484"/>
      <c r="P79" s="2483"/>
      <c r="Q79" s="2483"/>
      <c r="R79" s="2485"/>
    </row>
    <row r="80" spans="2:18" s="791" customFormat="1">
      <c r="B80" s="2483"/>
      <c r="C80" s="2483"/>
      <c r="D80" s="2483"/>
      <c r="E80" s="2483"/>
      <c r="F80" s="2483"/>
      <c r="G80" s="2484"/>
      <c r="H80" s="2483"/>
      <c r="I80" s="2484"/>
      <c r="J80" s="2483"/>
      <c r="K80" s="2483"/>
      <c r="L80" s="2484"/>
      <c r="M80" s="2483"/>
      <c r="N80" s="2483"/>
      <c r="O80" s="2484"/>
      <c r="P80" s="2483"/>
      <c r="Q80" s="2483"/>
      <c r="R80" s="2485"/>
    </row>
    <row r="81" spans="2:18" s="791" customFormat="1">
      <c r="B81" s="2483"/>
      <c r="C81" s="2483"/>
      <c r="D81" s="2483"/>
      <c r="E81" s="2483"/>
      <c r="F81" s="2483"/>
      <c r="G81" s="2484"/>
      <c r="H81" s="2483"/>
      <c r="I81" s="2484"/>
      <c r="J81" s="2483"/>
      <c r="K81" s="2483"/>
      <c r="L81" s="2484"/>
      <c r="M81" s="2483"/>
      <c r="N81" s="2483"/>
      <c r="O81" s="2484"/>
      <c r="P81" s="2483"/>
      <c r="Q81" s="2483"/>
      <c r="R81" s="2485"/>
    </row>
    <row r="82" spans="2:18" s="791" customFormat="1">
      <c r="B82" s="2483"/>
      <c r="C82" s="2483"/>
      <c r="D82" s="2483"/>
      <c r="E82" s="2483"/>
      <c r="F82" s="2483"/>
      <c r="G82" s="2484"/>
      <c r="H82" s="2483"/>
      <c r="I82" s="2484"/>
      <c r="J82" s="2483"/>
      <c r="K82" s="2483"/>
      <c r="L82" s="2484"/>
      <c r="M82" s="2483"/>
      <c r="N82" s="2483"/>
      <c r="O82" s="2484"/>
      <c r="P82" s="2483"/>
      <c r="Q82" s="2483"/>
      <c r="R82" s="2485"/>
    </row>
    <row r="83" spans="2:18" s="791" customFormat="1">
      <c r="B83" s="2483"/>
      <c r="C83" s="2483"/>
      <c r="D83" s="2483"/>
      <c r="E83" s="2483"/>
      <c r="F83" s="2483"/>
      <c r="G83" s="2484"/>
      <c r="H83" s="2483"/>
      <c r="I83" s="2484"/>
      <c r="J83" s="2483"/>
      <c r="K83" s="2483"/>
      <c r="L83" s="2484"/>
      <c r="M83" s="2483"/>
      <c r="N83" s="2483"/>
      <c r="O83" s="2484"/>
      <c r="P83" s="2483"/>
      <c r="Q83" s="2483"/>
      <c r="R83" s="2485"/>
    </row>
    <row r="84" spans="2:18" s="791" customFormat="1">
      <c r="B84" s="2483"/>
      <c r="C84" s="2483"/>
      <c r="D84" s="2483"/>
      <c r="E84" s="2483"/>
      <c r="F84" s="2483"/>
      <c r="G84" s="2484"/>
      <c r="H84" s="2483"/>
      <c r="I84" s="2484"/>
      <c r="J84" s="2483"/>
      <c r="K84" s="2483"/>
      <c r="L84" s="2484"/>
      <c r="M84" s="2483"/>
      <c r="N84" s="2483"/>
      <c r="O84" s="2484"/>
      <c r="P84" s="2483"/>
      <c r="Q84" s="2483"/>
      <c r="R84" s="2485"/>
    </row>
    <row r="85" spans="2:18" s="791" customFormat="1">
      <c r="B85" s="2483"/>
      <c r="C85" s="2483"/>
      <c r="D85" s="2483"/>
      <c r="E85" s="2483"/>
      <c r="F85" s="2483"/>
      <c r="G85" s="2484"/>
      <c r="H85" s="2483"/>
      <c r="I85" s="2484"/>
      <c r="J85" s="2483"/>
      <c r="K85" s="2483"/>
      <c r="L85" s="2484"/>
      <c r="M85" s="2483"/>
      <c r="N85" s="2483"/>
      <c r="O85" s="2484"/>
      <c r="P85" s="2483"/>
      <c r="Q85" s="2483"/>
      <c r="R85" s="2485"/>
    </row>
    <row r="86" spans="2:18" s="791" customFormat="1">
      <c r="B86" s="2483"/>
      <c r="C86" s="2483"/>
      <c r="D86" s="2483"/>
      <c r="E86" s="2483"/>
      <c r="F86" s="2483"/>
      <c r="G86" s="2484"/>
      <c r="H86" s="2483"/>
      <c r="I86" s="2484"/>
      <c r="J86" s="2483"/>
      <c r="K86" s="2483"/>
      <c r="L86" s="2484"/>
      <c r="M86" s="2483"/>
      <c r="N86" s="2483"/>
      <c r="O86" s="2484"/>
      <c r="P86" s="2483"/>
      <c r="Q86" s="2483"/>
      <c r="R86" s="2485"/>
    </row>
    <row r="87" spans="2:18" s="791" customFormat="1">
      <c r="B87" s="2483"/>
      <c r="C87" s="2483"/>
      <c r="D87" s="2483"/>
      <c r="E87" s="2483"/>
      <c r="F87" s="2483"/>
      <c r="G87" s="2484"/>
      <c r="H87" s="2483"/>
      <c r="I87" s="2484"/>
      <c r="J87" s="2483"/>
      <c r="K87" s="2483"/>
      <c r="L87" s="2484"/>
      <c r="M87" s="2483"/>
      <c r="N87" s="2483"/>
      <c r="O87" s="2484"/>
      <c r="P87" s="2483"/>
      <c r="Q87" s="2483"/>
      <c r="R87" s="2485"/>
    </row>
    <row r="88" spans="2:18" s="791" customFormat="1">
      <c r="B88" s="2483"/>
      <c r="C88" s="2483"/>
      <c r="D88" s="2483"/>
      <c r="E88" s="2483"/>
      <c r="F88" s="2483"/>
      <c r="G88" s="2484"/>
      <c r="H88" s="2483"/>
      <c r="I88" s="2484"/>
      <c r="J88" s="2483"/>
      <c r="K88" s="2483"/>
      <c r="L88" s="2484"/>
      <c r="M88" s="2483"/>
      <c r="N88" s="2483"/>
      <c r="O88" s="2484"/>
      <c r="P88" s="2483"/>
      <c r="Q88" s="2483"/>
      <c r="R88" s="2485"/>
    </row>
    <row r="89" spans="2:18" s="791" customFormat="1">
      <c r="B89" s="2483"/>
      <c r="C89" s="2483"/>
      <c r="D89" s="2483"/>
      <c r="E89" s="2483"/>
      <c r="F89" s="2483"/>
      <c r="G89" s="2484"/>
      <c r="H89" s="2483"/>
      <c r="I89" s="2484"/>
      <c r="J89" s="2483"/>
      <c r="K89" s="2483"/>
      <c r="L89" s="2484"/>
      <c r="M89" s="2483"/>
      <c r="N89" s="2483"/>
      <c r="O89" s="2484"/>
      <c r="P89" s="2483"/>
      <c r="Q89" s="2483"/>
      <c r="R89" s="2485"/>
    </row>
    <row r="90" spans="2:18" s="791" customFormat="1">
      <c r="B90" s="2483"/>
      <c r="C90" s="2483"/>
      <c r="D90" s="2483"/>
      <c r="E90" s="2483"/>
      <c r="F90" s="2483"/>
      <c r="G90" s="2484"/>
      <c r="H90" s="2483"/>
      <c r="I90" s="2484"/>
      <c r="J90" s="2483"/>
      <c r="K90" s="2483"/>
      <c r="L90" s="2484"/>
      <c r="M90" s="2483"/>
      <c r="N90" s="2483"/>
      <c r="O90" s="2484"/>
      <c r="P90" s="2483"/>
      <c r="Q90" s="2483"/>
      <c r="R90" s="2485"/>
    </row>
    <row r="91" spans="2:18" s="791" customFormat="1">
      <c r="B91" s="2483"/>
      <c r="C91" s="2483"/>
      <c r="D91" s="2483"/>
      <c r="E91" s="2483"/>
      <c r="F91" s="2483"/>
      <c r="G91" s="2484"/>
      <c r="H91" s="2483"/>
      <c r="I91" s="2484"/>
      <c r="J91" s="2483"/>
      <c r="K91" s="2483"/>
      <c r="L91" s="2484"/>
      <c r="M91" s="2483"/>
      <c r="N91" s="2483"/>
      <c r="O91" s="2484"/>
      <c r="P91" s="2483"/>
      <c r="Q91" s="2483"/>
      <c r="R91" s="2485"/>
    </row>
    <row r="92" spans="2:18" s="791" customFormat="1">
      <c r="B92" s="2483"/>
      <c r="C92" s="2483"/>
      <c r="D92" s="2483"/>
      <c r="E92" s="2483"/>
      <c r="F92" s="2483"/>
      <c r="G92" s="2484"/>
      <c r="H92" s="2483"/>
      <c r="I92" s="2484"/>
      <c r="J92" s="2483"/>
      <c r="K92" s="2483"/>
      <c r="L92" s="2484"/>
      <c r="M92" s="2483"/>
      <c r="N92" s="2483"/>
      <c r="O92" s="2484"/>
      <c r="P92" s="2483"/>
      <c r="Q92" s="2483"/>
      <c r="R92" s="2485"/>
    </row>
    <row r="93" spans="2:18" s="791" customFormat="1">
      <c r="B93" s="2483"/>
      <c r="C93" s="2483"/>
      <c r="D93" s="2483"/>
      <c r="E93" s="2483"/>
      <c r="F93" s="2483"/>
      <c r="G93" s="2484"/>
      <c r="H93" s="2483"/>
      <c r="I93" s="2484"/>
      <c r="J93" s="2483"/>
      <c r="K93" s="2483"/>
      <c r="L93" s="2484"/>
      <c r="M93" s="2483"/>
      <c r="N93" s="2483"/>
      <c r="O93" s="2484"/>
      <c r="P93" s="2483"/>
      <c r="Q93" s="2483"/>
      <c r="R93" s="2485"/>
    </row>
    <row r="94" spans="2:18" s="791" customFormat="1">
      <c r="B94" s="2483"/>
      <c r="C94" s="2483"/>
      <c r="D94" s="2483"/>
      <c r="E94" s="2483"/>
      <c r="F94" s="2483"/>
      <c r="G94" s="2484"/>
      <c r="H94" s="2483"/>
      <c r="I94" s="2484"/>
      <c r="J94" s="2483"/>
      <c r="K94" s="2483"/>
      <c r="L94" s="2484"/>
      <c r="M94" s="2483"/>
      <c r="N94" s="2483"/>
      <c r="O94" s="2484"/>
      <c r="P94" s="2483"/>
      <c r="Q94" s="2483"/>
      <c r="R94" s="2485"/>
    </row>
    <row r="95" spans="2:18" s="791" customFormat="1">
      <c r="B95" s="2483"/>
      <c r="C95" s="2483"/>
      <c r="D95" s="2483"/>
      <c r="E95" s="2483"/>
      <c r="F95" s="2483"/>
      <c r="G95" s="2484"/>
      <c r="H95" s="2483"/>
      <c r="I95" s="2484"/>
      <c r="J95" s="2483"/>
      <c r="K95" s="2483"/>
      <c r="L95" s="2484"/>
      <c r="M95" s="2483"/>
      <c r="N95" s="2483"/>
      <c r="O95" s="2484"/>
      <c r="P95" s="2483"/>
      <c r="Q95" s="2483"/>
      <c r="R95" s="2485"/>
    </row>
    <row r="96" spans="2:18" s="791" customFormat="1">
      <c r="B96" s="2483"/>
      <c r="C96" s="2483"/>
      <c r="D96" s="2483"/>
      <c r="E96" s="2483"/>
      <c r="F96" s="2483"/>
      <c r="G96" s="2484"/>
      <c r="H96" s="2483"/>
      <c r="I96" s="2484"/>
      <c r="J96" s="2483"/>
      <c r="K96" s="2483"/>
      <c r="L96" s="2484"/>
      <c r="M96" s="2483"/>
      <c r="N96" s="2483"/>
      <c r="O96" s="2484"/>
      <c r="P96" s="2483"/>
      <c r="Q96" s="2483"/>
      <c r="R96" s="2485"/>
    </row>
    <row r="97" spans="2:18" s="791" customFormat="1">
      <c r="B97" s="2483"/>
      <c r="C97" s="2483"/>
      <c r="D97" s="2483"/>
      <c r="E97" s="2483"/>
      <c r="F97" s="2483"/>
      <c r="G97" s="2484"/>
      <c r="H97" s="2483"/>
      <c r="I97" s="2484"/>
      <c r="J97" s="2483"/>
      <c r="K97" s="2483"/>
      <c r="L97" s="2484"/>
      <c r="M97" s="2483"/>
      <c r="N97" s="2483"/>
      <c r="O97" s="2484"/>
      <c r="P97" s="2483"/>
      <c r="Q97" s="2483"/>
      <c r="R97" s="2485"/>
    </row>
    <row r="98" spans="2:18" s="791" customFormat="1">
      <c r="B98" s="2483"/>
      <c r="C98" s="2483"/>
      <c r="D98" s="2483"/>
      <c r="E98" s="2483"/>
      <c r="F98" s="2483"/>
      <c r="G98" s="2484"/>
      <c r="H98" s="2483"/>
      <c r="I98" s="2484"/>
      <c r="J98" s="2483"/>
      <c r="K98" s="2483"/>
      <c r="L98" s="2484"/>
      <c r="M98" s="2483"/>
      <c r="N98" s="2483"/>
      <c r="O98" s="2484"/>
      <c r="P98" s="2483"/>
      <c r="Q98" s="2483"/>
      <c r="R98" s="2485"/>
    </row>
    <row r="99" spans="2:18" s="791" customFormat="1">
      <c r="B99" s="2483"/>
      <c r="C99" s="2483"/>
      <c r="D99" s="2483"/>
      <c r="E99" s="2483"/>
      <c r="F99" s="2483"/>
      <c r="G99" s="2484"/>
      <c r="H99" s="2483"/>
      <c r="I99" s="2484"/>
      <c r="J99" s="2483"/>
      <c r="K99" s="2483"/>
      <c r="L99" s="2484"/>
      <c r="M99" s="2483"/>
      <c r="N99" s="2483"/>
      <c r="O99" s="2484"/>
      <c r="P99" s="2483"/>
      <c r="Q99" s="2483"/>
      <c r="R99" s="2485"/>
    </row>
    <row r="100" spans="2:18" s="791" customFormat="1">
      <c r="B100" s="2483"/>
      <c r="C100" s="2483"/>
      <c r="D100" s="2483"/>
      <c r="E100" s="2483"/>
      <c r="F100" s="2483"/>
      <c r="G100" s="2484"/>
      <c r="H100" s="2483"/>
      <c r="I100" s="2484"/>
      <c r="J100" s="2483"/>
      <c r="K100" s="2483"/>
      <c r="L100" s="2484"/>
      <c r="M100" s="2483"/>
      <c r="N100" s="2483"/>
      <c r="O100" s="2484"/>
      <c r="P100" s="2483"/>
      <c r="Q100" s="2483"/>
      <c r="R100" s="2485"/>
    </row>
    <row r="101" spans="2:18" s="791" customFormat="1">
      <c r="B101" s="2483"/>
      <c r="C101" s="2483"/>
      <c r="D101" s="2483"/>
      <c r="E101" s="2483"/>
      <c r="F101" s="2483"/>
      <c r="G101" s="2484"/>
      <c r="H101" s="2483"/>
      <c r="I101" s="2484"/>
      <c r="J101" s="2483"/>
      <c r="K101" s="2483"/>
      <c r="L101" s="2484"/>
      <c r="M101" s="2483"/>
      <c r="N101" s="2483"/>
      <c r="O101" s="2484"/>
      <c r="P101" s="2483"/>
      <c r="Q101" s="2483"/>
      <c r="R101" s="2485"/>
    </row>
    <row r="102" spans="2:18" s="791" customFormat="1">
      <c r="B102" s="2483"/>
      <c r="C102" s="2483"/>
      <c r="D102" s="2483"/>
      <c r="E102" s="2483"/>
      <c r="F102" s="2483"/>
      <c r="G102" s="2484"/>
      <c r="H102" s="2483"/>
      <c r="I102" s="2484"/>
      <c r="J102" s="2483"/>
      <c r="K102" s="2483"/>
      <c r="L102" s="2484"/>
      <c r="M102" s="2483"/>
      <c r="N102" s="2483"/>
      <c r="O102" s="2484"/>
      <c r="P102" s="2483"/>
      <c r="Q102" s="2483"/>
      <c r="R102" s="2485"/>
    </row>
    <row r="103" spans="2:18" s="791" customFormat="1">
      <c r="B103" s="2483"/>
      <c r="C103" s="2483"/>
      <c r="D103" s="2483"/>
      <c r="E103" s="2483"/>
      <c r="F103" s="2483"/>
      <c r="G103" s="2484"/>
      <c r="H103" s="2483"/>
      <c r="I103" s="2484"/>
      <c r="J103" s="2483"/>
      <c r="K103" s="2483"/>
      <c r="L103" s="2484"/>
      <c r="M103" s="2483"/>
      <c r="N103" s="2483"/>
      <c r="O103" s="2484"/>
      <c r="P103" s="2483"/>
      <c r="Q103" s="2483"/>
      <c r="R103" s="2485"/>
    </row>
    <row r="104" spans="2:18" s="791" customFormat="1">
      <c r="B104" s="2483"/>
      <c r="C104" s="2483"/>
      <c r="D104" s="2483"/>
      <c r="E104" s="2483"/>
      <c r="F104" s="2483"/>
      <c r="G104" s="2484"/>
      <c r="H104" s="2483"/>
      <c r="I104" s="2484"/>
      <c r="J104" s="2483"/>
      <c r="K104" s="2483"/>
      <c r="L104" s="2484"/>
      <c r="M104" s="2483"/>
      <c r="N104" s="2483"/>
      <c r="O104" s="2484"/>
      <c r="P104" s="2483"/>
      <c r="Q104" s="2483"/>
      <c r="R104" s="2485"/>
    </row>
    <row r="105" spans="2:18" s="791" customFormat="1">
      <c r="B105" s="2483"/>
      <c r="C105" s="2483"/>
      <c r="D105" s="2483"/>
      <c r="E105" s="2483"/>
      <c r="F105" s="2483"/>
      <c r="G105" s="2484"/>
      <c r="H105" s="2483"/>
      <c r="I105" s="2484"/>
      <c r="J105" s="2483"/>
      <c r="K105" s="2483"/>
      <c r="L105" s="2484"/>
      <c r="M105" s="2483"/>
      <c r="N105" s="2483"/>
      <c r="O105" s="2484"/>
      <c r="P105" s="2483"/>
      <c r="Q105" s="2483"/>
      <c r="R105" s="2485"/>
    </row>
    <row r="106" spans="2:18" s="791" customFormat="1">
      <c r="B106" s="2483"/>
      <c r="C106" s="2483"/>
      <c r="D106" s="2483"/>
      <c r="E106" s="2483"/>
      <c r="F106" s="2483"/>
      <c r="G106" s="2484"/>
      <c r="H106" s="2483"/>
      <c r="I106" s="2484"/>
      <c r="J106" s="2483"/>
      <c r="K106" s="2483"/>
      <c r="L106" s="2484"/>
      <c r="M106" s="2483"/>
      <c r="N106" s="2483"/>
      <c r="O106" s="2484"/>
      <c r="P106" s="2483"/>
      <c r="Q106" s="2483"/>
      <c r="R106" s="2485"/>
    </row>
    <row r="107" spans="2:18" s="791" customFormat="1">
      <c r="B107" s="2483"/>
      <c r="C107" s="2483"/>
      <c r="D107" s="2483"/>
      <c r="E107" s="2483"/>
      <c r="F107" s="2483"/>
      <c r="G107" s="2484"/>
      <c r="H107" s="2483"/>
      <c r="I107" s="2484"/>
      <c r="J107" s="2483"/>
      <c r="K107" s="2483"/>
      <c r="L107" s="2484"/>
      <c r="M107" s="2483"/>
      <c r="N107" s="2483"/>
      <c r="O107" s="2484"/>
      <c r="P107" s="2483"/>
      <c r="Q107" s="2483"/>
      <c r="R107" s="2485"/>
    </row>
    <row r="108" spans="2:18" s="791" customFormat="1">
      <c r="B108" s="2483"/>
      <c r="C108" s="2483"/>
      <c r="D108" s="2483"/>
      <c r="E108" s="2483"/>
      <c r="F108" s="2483"/>
      <c r="G108" s="2484"/>
      <c r="H108" s="2483"/>
      <c r="I108" s="2484"/>
      <c r="J108" s="2483"/>
      <c r="K108" s="2483"/>
      <c r="L108" s="2484"/>
      <c r="M108" s="2483"/>
      <c r="N108" s="2483"/>
      <c r="O108" s="2484"/>
      <c r="P108" s="2483"/>
      <c r="Q108" s="2483"/>
      <c r="R108" s="2485"/>
    </row>
    <row r="109" spans="2:18" s="791" customFormat="1">
      <c r="B109" s="2483"/>
      <c r="C109" s="2483"/>
      <c r="D109" s="2483"/>
      <c r="E109" s="2483"/>
      <c r="F109" s="2483"/>
      <c r="G109" s="2484"/>
      <c r="H109" s="2483"/>
      <c r="I109" s="2484"/>
      <c r="J109" s="2483"/>
      <c r="K109" s="2483"/>
      <c r="L109" s="2484"/>
      <c r="M109" s="2483"/>
      <c r="N109" s="2483"/>
      <c r="O109" s="2484"/>
      <c r="P109" s="2483"/>
      <c r="Q109" s="2483"/>
      <c r="R109" s="2485"/>
    </row>
    <row r="110" spans="2:18" s="791" customFormat="1">
      <c r="B110" s="2483"/>
      <c r="C110" s="2483"/>
      <c r="D110" s="2483"/>
      <c r="E110" s="2483"/>
      <c r="F110" s="2483"/>
      <c r="G110" s="2484"/>
      <c r="H110" s="2483"/>
      <c r="I110" s="2484"/>
      <c r="J110" s="2483"/>
      <c r="K110" s="2483"/>
      <c r="L110" s="2484"/>
      <c r="M110" s="2483"/>
      <c r="N110" s="2483"/>
      <c r="O110" s="2484"/>
      <c r="P110" s="2483"/>
      <c r="Q110" s="2483"/>
      <c r="R110" s="2485"/>
    </row>
    <row r="111" spans="2:18" s="791" customFormat="1">
      <c r="B111" s="2483"/>
      <c r="C111" s="2483"/>
      <c r="D111" s="2483"/>
      <c r="E111" s="2483"/>
      <c r="F111" s="2483"/>
      <c r="G111" s="2484"/>
      <c r="H111" s="2483"/>
      <c r="I111" s="2484"/>
      <c r="J111" s="2483"/>
      <c r="K111" s="2483"/>
      <c r="L111" s="2484"/>
      <c r="M111" s="2483"/>
      <c r="N111" s="2483"/>
      <c r="O111" s="2484"/>
      <c r="P111" s="2483"/>
      <c r="Q111" s="2483"/>
      <c r="R111" s="2485"/>
    </row>
    <row r="112" spans="2:18" s="791" customFormat="1">
      <c r="B112" s="2483"/>
      <c r="C112" s="2483"/>
      <c r="D112" s="2483"/>
      <c r="E112" s="2483"/>
      <c r="F112" s="2483"/>
      <c r="G112" s="2484"/>
      <c r="H112" s="2483"/>
      <c r="I112" s="2484"/>
      <c r="J112" s="2483"/>
      <c r="K112" s="2483"/>
      <c r="L112" s="2484"/>
      <c r="M112" s="2483"/>
      <c r="N112" s="2483"/>
      <c r="O112" s="2484"/>
      <c r="P112" s="2483"/>
      <c r="Q112" s="2483"/>
      <c r="R112" s="2485"/>
    </row>
    <row r="113" spans="2:18" s="791" customFormat="1">
      <c r="B113" s="2483"/>
      <c r="C113" s="2483"/>
      <c r="D113" s="2483"/>
      <c r="E113" s="2483"/>
      <c r="F113" s="2483"/>
      <c r="G113" s="2484"/>
      <c r="H113" s="2483"/>
      <c r="I113" s="2484"/>
      <c r="J113" s="2483"/>
      <c r="K113" s="2483"/>
      <c r="L113" s="2484"/>
      <c r="M113" s="2483"/>
      <c r="N113" s="2483"/>
      <c r="O113" s="2484"/>
      <c r="P113" s="2483"/>
      <c r="Q113" s="2483"/>
      <c r="R113" s="2485"/>
    </row>
    <row r="114" spans="2:18" s="791" customFormat="1">
      <c r="B114" s="2483"/>
      <c r="C114" s="2483"/>
      <c r="D114" s="2483"/>
      <c r="E114" s="2483"/>
      <c r="F114" s="2483"/>
      <c r="G114" s="2484"/>
      <c r="H114" s="2483"/>
      <c r="I114" s="2484"/>
      <c r="J114" s="2483"/>
      <c r="K114" s="2483"/>
      <c r="L114" s="2484"/>
      <c r="M114" s="2483"/>
      <c r="N114" s="2483"/>
      <c r="O114" s="2484"/>
      <c r="P114" s="2483"/>
      <c r="Q114" s="2483"/>
      <c r="R114" s="2485"/>
    </row>
    <row r="115" spans="2:18" s="791" customFormat="1">
      <c r="B115" s="2483"/>
      <c r="C115" s="2483"/>
      <c r="D115" s="2483"/>
      <c r="E115" s="2483"/>
      <c r="F115" s="2483"/>
      <c r="G115" s="2484"/>
      <c r="H115" s="2483"/>
      <c r="I115" s="2484"/>
      <c r="J115" s="2483"/>
      <c r="K115" s="2483"/>
      <c r="L115" s="2484"/>
      <c r="M115" s="2483"/>
      <c r="N115" s="2483"/>
      <c r="O115" s="2484"/>
      <c r="P115" s="2483"/>
      <c r="Q115" s="2483"/>
      <c r="R115" s="2485"/>
    </row>
    <row r="116" spans="2:18" s="791" customFormat="1">
      <c r="B116" s="2483"/>
      <c r="C116" s="2483"/>
      <c r="D116" s="2483"/>
      <c r="E116" s="2483"/>
      <c r="F116" s="2483"/>
      <c r="G116" s="2484"/>
      <c r="H116" s="2483"/>
      <c r="I116" s="2484"/>
      <c r="J116" s="2483"/>
      <c r="K116" s="2483"/>
      <c r="L116" s="2484"/>
      <c r="M116" s="2483"/>
      <c r="N116" s="2483"/>
      <c r="O116" s="2484"/>
      <c r="P116" s="2483"/>
      <c r="Q116" s="2483"/>
      <c r="R116" s="2485"/>
    </row>
    <row r="117" spans="2:18" s="791" customFormat="1">
      <c r="B117" s="2483"/>
      <c r="C117" s="2483"/>
      <c r="D117" s="2483"/>
      <c r="E117" s="2483"/>
      <c r="F117" s="2483"/>
      <c r="G117" s="2484"/>
      <c r="H117" s="2483"/>
      <c r="I117" s="2484"/>
      <c r="J117" s="2483"/>
      <c r="K117" s="2483"/>
      <c r="L117" s="2484"/>
      <c r="M117" s="2483"/>
      <c r="N117" s="2483"/>
      <c r="O117" s="2484"/>
      <c r="P117" s="2483"/>
      <c r="Q117" s="2483"/>
      <c r="R117" s="2485"/>
    </row>
    <row r="118" spans="2:18" s="791" customFormat="1">
      <c r="B118" s="2483"/>
      <c r="C118" s="2483"/>
      <c r="D118" s="2483"/>
      <c r="E118" s="2483"/>
      <c r="F118" s="2483"/>
      <c r="G118" s="2484"/>
      <c r="H118" s="2483"/>
      <c r="I118" s="2484"/>
      <c r="J118" s="2483"/>
      <c r="K118" s="2483"/>
      <c r="L118" s="2484"/>
      <c r="M118" s="2483"/>
      <c r="N118" s="2483"/>
      <c r="O118" s="2484"/>
      <c r="P118" s="2483"/>
      <c r="Q118" s="2483"/>
      <c r="R118" s="2485"/>
    </row>
    <row r="119" spans="2:18" s="791" customFormat="1">
      <c r="B119" s="2483"/>
      <c r="C119" s="2483"/>
      <c r="D119" s="2483"/>
      <c r="E119" s="2483"/>
      <c r="F119" s="2483"/>
      <c r="G119" s="2484"/>
      <c r="H119" s="2483"/>
      <c r="I119" s="2484"/>
      <c r="J119" s="2483"/>
      <c r="K119" s="2483"/>
      <c r="L119" s="2484"/>
      <c r="M119" s="2483"/>
      <c r="N119" s="2483"/>
      <c r="O119" s="2484"/>
      <c r="P119" s="2483"/>
      <c r="Q119" s="2483"/>
      <c r="R119" s="2485"/>
    </row>
    <row r="120" spans="2:18" s="791" customFormat="1">
      <c r="B120" s="2483"/>
      <c r="C120" s="2483"/>
      <c r="D120" s="2483"/>
      <c r="E120" s="2483"/>
      <c r="F120" s="2483"/>
      <c r="G120" s="2484"/>
      <c r="H120" s="2483"/>
      <c r="I120" s="2484"/>
      <c r="J120" s="2483"/>
      <c r="K120" s="2483"/>
      <c r="L120" s="2484"/>
      <c r="M120" s="2483"/>
      <c r="N120" s="2483"/>
      <c r="O120" s="2484"/>
      <c r="P120" s="2483"/>
      <c r="Q120" s="2483"/>
      <c r="R120" s="2485"/>
    </row>
    <row r="121" spans="2:18" s="791" customFormat="1">
      <c r="B121" s="2483"/>
      <c r="C121" s="2483"/>
      <c r="D121" s="2483"/>
      <c r="E121" s="2483"/>
      <c r="F121" s="2483"/>
      <c r="G121" s="2484"/>
      <c r="H121" s="2483"/>
      <c r="I121" s="2484"/>
      <c r="J121" s="2483"/>
      <c r="K121" s="2483"/>
      <c r="L121" s="2484"/>
      <c r="M121" s="2483"/>
      <c r="N121" s="2483"/>
      <c r="O121" s="2484"/>
      <c r="P121" s="2483"/>
      <c r="Q121" s="2483"/>
      <c r="R121" s="2485"/>
    </row>
    <row r="122" spans="2:18" s="791" customFormat="1">
      <c r="B122" s="2483"/>
      <c r="C122" s="2483"/>
      <c r="D122" s="2483"/>
      <c r="E122" s="2483"/>
      <c r="F122" s="2483"/>
      <c r="G122" s="2484"/>
      <c r="H122" s="2483"/>
      <c r="I122" s="2484"/>
      <c r="J122" s="2483"/>
      <c r="K122" s="2483"/>
      <c r="L122" s="2484"/>
      <c r="M122" s="2483"/>
      <c r="N122" s="2483"/>
      <c r="O122" s="2484"/>
      <c r="P122" s="2483"/>
      <c r="Q122" s="2483"/>
      <c r="R122" s="2485"/>
    </row>
    <row r="123" spans="2:18" s="791" customFormat="1">
      <c r="B123" s="2483"/>
      <c r="C123" s="2483"/>
      <c r="D123" s="2483"/>
      <c r="E123" s="2483"/>
      <c r="F123" s="2483"/>
      <c r="G123" s="2484"/>
      <c r="H123" s="2483"/>
      <c r="I123" s="2484"/>
      <c r="J123" s="2483"/>
      <c r="K123" s="2483"/>
      <c r="L123" s="2484"/>
      <c r="M123" s="2483"/>
      <c r="N123" s="2483"/>
      <c r="O123" s="2484"/>
      <c r="P123" s="2483"/>
      <c r="Q123" s="2483"/>
      <c r="R123" s="2485"/>
    </row>
    <row r="124" spans="2:18" s="791" customFormat="1">
      <c r="B124" s="2483"/>
      <c r="C124" s="2483"/>
      <c r="D124" s="2483"/>
      <c r="E124" s="2483"/>
      <c r="F124" s="2483"/>
      <c r="G124" s="2484"/>
      <c r="H124" s="2483"/>
      <c r="I124" s="2484"/>
      <c r="J124" s="2483"/>
      <c r="K124" s="2483"/>
      <c r="L124" s="2484"/>
      <c r="M124" s="2483"/>
      <c r="N124" s="2483"/>
      <c r="O124" s="2484"/>
      <c r="P124" s="2483"/>
      <c r="Q124" s="2483"/>
      <c r="R124" s="2485"/>
    </row>
    <row r="125" spans="2:18" s="791" customFormat="1">
      <c r="B125" s="2483"/>
      <c r="C125" s="2483"/>
      <c r="D125" s="2483"/>
      <c r="E125" s="2483"/>
      <c r="F125" s="2483"/>
      <c r="G125" s="2484"/>
      <c r="H125" s="2483"/>
      <c r="I125" s="2484"/>
      <c r="J125" s="2483"/>
      <c r="K125" s="2483"/>
      <c r="L125" s="2484"/>
      <c r="M125" s="2483"/>
      <c r="N125" s="2483"/>
      <c r="O125" s="2484"/>
      <c r="P125" s="2483"/>
      <c r="Q125" s="2483"/>
      <c r="R125" s="2485"/>
    </row>
    <row r="126" spans="2:18" s="791" customFormat="1">
      <c r="B126" s="2483"/>
      <c r="C126" s="2483"/>
      <c r="D126" s="2483"/>
      <c r="E126" s="2483"/>
      <c r="F126" s="2483"/>
      <c r="G126" s="2484"/>
      <c r="H126" s="2483"/>
      <c r="I126" s="2484"/>
      <c r="J126" s="2483"/>
      <c r="K126" s="2483"/>
      <c r="L126" s="2484"/>
      <c r="M126" s="2483"/>
      <c r="N126" s="2483"/>
      <c r="O126" s="2484"/>
      <c r="P126" s="2483"/>
      <c r="Q126" s="2483"/>
      <c r="R126" s="2485"/>
    </row>
    <row r="127" spans="2:18" s="791" customFormat="1">
      <c r="B127" s="2483"/>
      <c r="C127" s="2483"/>
      <c r="D127" s="2483"/>
      <c r="E127" s="2483"/>
      <c r="F127" s="2483"/>
      <c r="G127" s="2484"/>
      <c r="H127" s="2483"/>
      <c r="I127" s="2484"/>
      <c r="J127" s="2483"/>
      <c r="K127" s="2483"/>
      <c r="L127" s="2484"/>
      <c r="M127" s="2483"/>
      <c r="N127" s="2483"/>
      <c r="O127" s="2484"/>
      <c r="P127" s="2483"/>
      <c r="Q127" s="2483"/>
      <c r="R127" s="2485"/>
    </row>
    <row r="128" spans="2:18" s="791" customFormat="1">
      <c r="B128" s="2483"/>
      <c r="C128" s="2483"/>
      <c r="D128" s="2483"/>
      <c r="E128" s="2483"/>
      <c r="F128" s="2483"/>
      <c r="G128" s="2484"/>
      <c r="H128" s="2483"/>
      <c r="I128" s="2484"/>
      <c r="J128" s="2483"/>
      <c r="K128" s="2483"/>
      <c r="L128" s="2484"/>
      <c r="M128" s="2483"/>
      <c r="N128" s="2483"/>
      <c r="O128" s="2484"/>
      <c r="P128" s="2483"/>
      <c r="Q128" s="2483"/>
      <c r="R128" s="2485"/>
    </row>
    <row r="129" spans="2:18" s="791" customFormat="1">
      <c r="B129" s="2483"/>
      <c r="C129" s="2483"/>
      <c r="D129" s="2483"/>
      <c r="E129" s="2483"/>
      <c r="F129" s="2483"/>
      <c r="G129" s="2484"/>
      <c r="H129" s="2483"/>
      <c r="I129" s="2484"/>
      <c r="J129" s="2483"/>
      <c r="K129" s="2483"/>
      <c r="L129" s="2484"/>
      <c r="M129" s="2483"/>
      <c r="N129" s="2483"/>
      <c r="O129" s="2484"/>
      <c r="P129" s="2483"/>
      <c r="Q129" s="2483"/>
      <c r="R129" s="2485"/>
    </row>
    <row r="130" spans="2:18" s="791" customFormat="1">
      <c r="B130" s="2483"/>
      <c r="C130" s="2483"/>
      <c r="D130" s="2483"/>
      <c r="E130" s="2483"/>
      <c r="F130" s="2483"/>
      <c r="G130" s="2484"/>
      <c r="H130" s="2483"/>
      <c r="I130" s="2484"/>
      <c r="J130" s="2483"/>
      <c r="K130" s="2483"/>
      <c r="L130" s="2484"/>
      <c r="M130" s="2483"/>
      <c r="N130" s="2483"/>
      <c r="O130" s="2484"/>
      <c r="P130" s="2483"/>
      <c r="Q130" s="2483"/>
      <c r="R130" s="2485"/>
    </row>
    <row r="131" spans="2:18" s="791" customFormat="1">
      <c r="B131" s="2483"/>
      <c r="C131" s="2483"/>
      <c r="D131" s="2483"/>
      <c r="E131" s="2483"/>
      <c r="F131" s="2483"/>
      <c r="G131" s="2484"/>
      <c r="H131" s="2483"/>
      <c r="I131" s="2484"/>
      <c r="J131" s="2483"/>
      <c r="K131" s="2483"/>
      <c r="L131" s="2484"/>
      <c r="M131" s="2483"/>
      <c r="N131" s="2483"/>
      <c r="O131" s="2484"/>
      <c r="P131" s="2483"/>
      <c r="Q131" s="2483"/>
      <c r="R131" s="2485"/>
    </row>
    <row r="132" spans="2:18" s="791" customFormat="1">
      <c r="B132" s="2483"/>
      <c r="C132" s="2483"/>
      <c r="D132" s="2483"/>
      <c r="E132" s="2483"/>
      <c r="F132" s="2483"/>
      <c r="G132" s="2484"/>
      <c r="H132" s="2483"/>
      <c r="I132" s="2484"/>
      <c r="J132" s="2483"/>
      <c r="K132" s="2483"/>
      <c r="L132" s="2484"/>
      <c r="M132" s="2483"/>
      <c r="N132" s="2483"/>
      <c r="O132" s="2484"/>
      <c r="P132" s="2483"/>
      <c r="Q132" s="2483"/>
      <c r="R132" s="2485"/>
    </row>
    <row r="133" spans="2:18" s="791" customFormat="1">
      <c r="B133" s="2483"/>
      <c r="C133" s="2483"/>
      <c r="D133" s="2483"/>
      <c r="E133" s="2483"/>
      <c r="F133" s="2483"/>
      <c r="G133" s="2484"/>
      <c r="H133" s="2483"/>
      <c r="I133" s="2484"/>
      <c r="J133" s="2483"/>
      <c r="K133" s="2483"/>
      <c r="L133" s="2484"/>
      <c r="M133" s="2483"/>
      <c r="N133" s="2483"/>
      <c r="O133" s="2484"/>
      <c r="P133" s="2483"/>
      <c r="Q133" s="2483"/>
      <c r="R133" s="2485"/>
    </row>
    <row r="134" spans="2:18" s="791" customFormat="1">
      <c r="B134" s="2483"/>
      <c r="C134" s="2483"/>
      <c r="D134" s="2483"/>
      <c r="E134" s="2483"/>
      <c r="F134" s="2483"/>
      <c r="G134" s="2484"/>
      <c r="H134" s="2483"/>
      <c r="I134" s="2484"/>
      <c r="J134" s="2483"/>
      <c r="K134" s="2483"/>
      <c r="L134" s="2484"/>
      <c r="M134" s="2483"/>
      <c r="N134" s="2483"/>
      <c r="O134" s="2484"/>
      <c r="P134" s="2483"/>
      <c r="Q134" s="2483"/>
      <c r="R134" s="2485"/>
    </row>
    <row r="135" spans="2:18" s="791" customFormat="1">
      <c r="B135" s="2483"/>
      <c r="C135" s="2483"/>
      <c r="D135" s="2483"/>
      <c r="E135" s="2483"/>
      <c r="F135" s="2483"/>
      <c r="G135" s="2484"/>
      <c r="H135" s="2483"/>
      <c r="I135" s="2484"/>
      <c r="J135" s="2483"/>
      <c r="K135" s="2483"/>
      <c r="L135" s="2484"/>
      <c r="M135" s="2483"/>
      <c r="N135" s="2483"/>
      <c r="O135" s="2484"/>
      <c r="P135" s="2483"/>
      <c r="Q135" s="2483"/>
      <c r="R135" s="2485"/>
    </row>
    <row r="136" spans="2:18" s="791" customFormat="1">
      <c r="B136" s="2483"/>
      <c r="C136" s="2483"/>
      <c r="D136" s="2483"/>
      <c r="E136" s="2483"/>
      <c r="F136" s="2483"/>
      <c r="G136" s="2484"/>
      <c r="H136" s="2483"/>
      <c r="I136" s="2484"/>
      <c r="J136" s="2483"/>
      <c r="K136" s="2483"/>
      <c r="L136" s="2484"/>
      <c r="M136" s="2483"/>
      <c r="N136" s="2483"/>
      <c r="O136" s="2484"/>
      <c r="P136" s="2483"/>
      <c r="Q136" s="2483"/>
      <c r="R136" s="2485"/>
    </row>
    <row r="137" spans="2:18" s="791" customFormat="1">
      <c r="B137" s="2483"/>
      <c r="C137" s="2483"/>
      <c r="D137" s="2483"/>
      <c r="E137" s="2483"/>
      <c r="F137" s="2483"/>
      <c r="G137" s="2484"/>
      <c r="H137" s="2483"/>
      <c r="I137" s="2484"/>
      <c r="J137" s="2483"/>
      <c r="K137" s="2483"/>
      <c r="L137" s="2484"/>
      <c r="M137" s="2483"/>
      <c r="N137" s="2483"/>
      <c r="O137" s="2484"/>
      <c r="P137" s="2483"/>
      <c r="Q137" s="2483"/>
      <c r="R137" s="2485"/>
    </row>
    <row r="138" spans="2:18" s="791" customFormat="1">
      <c r="B138" s="2483"/>
      <c r="C138" s="2483"/>
      <c r="D138" s="2483"/>
      <c r="E138" s="2483"/>
      <c r="F138" s="2483"/>
      <c r="G138" s="2484"/>
      <c r="H138" s="2483"/>
      <c r="I138" s="2484"/>
      <c r="J138" s="2483"/>
      <c r="K138" s="2483"/>
      <c r="L138" s="2484"/>
      <c r="M138" s="2483"/>
      <c r="N138" s="2483"/>
      <c r="O138" s="2484"/>
      <c r="P138" s="2483"/>
      <c r="Q138" s="2483"/>
      <c r="R138" s="2485"/>
    </row>
    <row r="139" spans="2:18" s="791" customFormat="1">
      <c r="B139" s="2483"/>
      <c r="C139" s="2483"/>
      <c r="D139" s="2483"/>
      <c r="E139" s="2483"/>
      <c r="F139" s="2483"/>
      <c r="G139" s="2484"/>
      <c r="H139" s="2483"/>
      <c r="I139" s="2484"/>
      <c r="J139" s="2483"/>
      <c r="K139" s="2483"/>
      <c r="L139" s="2484"/>
      <c r="M139" s="2483"/>
      <c r="N139" s="2483"/>
      <c r="O139" s="2484"/>
      <c r="P139" s="2483"/>
      <c r="Q139" s="2483"/>
      <c r="R139" s="2485"/>
    </row>
    <row r="140" spans="2:18" s="791" customFormat="1">
      <c r="B140" s="2483"/>
      <c r="C140" s="2483"/>
      <c r="D140" s="2483"/>
      <c r="E140" s="2483"/>
      <c r="F140" s="2483"/>
      <c r="G140" s="2484"/>
      <c r="H140" s="2483"/>
      <c r="I140" s="2484"/>
      <c r="J140" s="2483"/>
      <c r="K140" s="2483"/>
      <c r="L140" s="2484"/>
      <c r="M140" s="2483"/>
      <c r="N140" s="2483"/>
      <c r="O140" s="2484"/>
      <c r="P140" s="2483"/>
      <c r="Q140" s="2483"/>
      <c r="R140" s="2485"/>
    </row>
    <row r="141" spans="2:18" s="791" customFormat="1">
      <c r="B141" s="2483"/>
      <c r="C141" s="2483"/>
      <c r="D141" s="2483"/>
      <c r="E141" s="2483"/>
      <c r="F141" s="2483"/>
      <c r="G141" s="2484"/>
      <c r="H141" s="2483"/>
      <c r="I141" s="2484"/>
      <c r="J141" s="2483"/>
      <c r="K141" s="2483"/>
      <c r="L141" s="2484"/>
      <c r="M141" s="2483"/>
      <c r="N141" s="2483"/>
      <c r="O141" s="2484"/>
      <c r="P141" s="2483"/>
      <c r="Q141" s="2483"/>
      <c r="R141" s="2485"/>
    </row>
    <row r="142" spans="2:18" s="791" customFormat="1">
      <c r="B142" s="2483"/>
      <c r="C142" s="2483"/>
      <c r="D142" s="2483"/>
      <c r="E142" s="2483"/>
      <c r="F142" s="2483"/>
      <c r="G142" s="2484"/>
      <c r="H142" s="2483"/>
      <c r="I142" s="2484"/>
      <c r="J142" s="2483"/>
      <c r="K142" s="2483"/>
      <c r="L142" s="2484"/>
      <c r="M142" s="2483"/>
      <c r="N142" s="2483"/>
      <c r="O142" s="2484"/>
      <c r="P142" s="2483"/>
      <c r="Q142" s="2483"/>
      <c r="R142" s="2485"/>
    </row>
    <row r="143" spans="2:18" s="791" customFormat="1">
      <c r="B143" s="2483"/>
      <c r="C143" s="2483"/>
      <c r="D143" s="2483"/>
      <c r="E143" s="2483"/>
      <c r="F143" s="2483"/>
      <c r="G143" s="2484"/>
      <c r="H143" s="2483"/>
      <c r="I143" s="2484"/>
      <c r="J143" s="2483"/>
      <c r="K143" s="2483"/>
      <c r="L143" s="2484"/>
      <c r="M143" s="2483"/>
      <c r="N143" s="2483"/>
      <c r="O143" s="2484"/>
      <c r="P143" s="2483"/>
      <c r="Q143" s="2483"/>
      <c r="R143" s="2485"/>
    </row>
    <row r="144" spans="2:18" s="791" customFormat="1">
      <c r="B144" s="2483"/>
      <c r="C144" s="2483"/>
      <c r="D144" s="2483"/>
      <c r="E144" s="2483"/>
      <c r="F144" s="2483"/>
      <c r="G144" s="2484"/>
      <c r="H144" s="2483"/>
      <c r="I144" s="2484"/>
      <c r="J144" s="2483"/>
      <c r="K144" s="2483"/>
      <c r="L144" s="2484"/>
      <c r="M144" s="2483"/>
      <c r="N144" s="2483"/>
      <c r="O144" s="2484"/>
      <c r="P144" s="2483"/>
      <c r="Q144" s="2483"/>
      <c r="R144" s="2485"/>
    </row>
    <row r="145" spans="2:18" s="791" customFormat="1">
      <c r="B145" s="2483"/>
      <c r="C145" s="2483"/>
      <c r="D145" s="2483"/>
      <c r="E145" s="2483"/>
      <c r="F145" s="2483"/>
      <c r="G145" s="2484"/>
      <c r="H145" s="2483"/>
      <c r="I145" s="2484"/>
      <c r="J145" s="2483"/>
      <c r="K145" s="2483"/>
      <c r="L145" s="2484"/>
      <c r="M145" s="2483"/>
      <c r="N145" s="2483"/>
      <c r="O145" s="2484"/>
      <c r="P145" s="2483"/>
      <c r="Q145" s="2483"/>
      <c r="R145" s="2485"/>
    </row>
    <row r="146" spans="2:18" s="791" customFormat="1">
      <c r="B146" s="2483"/>
      <c r="C146" s="2483"/>
      <c r="D146" s="2483"/>
      <c r="E146" s="2483"/>
      <c r="F146" s="2483"/>
      <c r="G146" s="2484"/>
      <c r="H146" s="2483"/>
      <c r="I146" s="2484"/>
      <c r="J146" s="2483"/>
      <c r="K146" s="2483"/>
      <c r="L146" s="2484"/>
      <c r="M146" s="2483"/>
      <c r="N146" s="2483"/>
      <c r="O146" s="2484"/>
      <c r="P146" s="2483"/>
      <c r="Q146" s="2483"/>
      <c r="R146" s="2485"/>
    </row>
    <row r="147" spans="2:18" s="791" customFormat="1">
      <c r="B147" s="2483"/>
      <c r="C147" s="2483"/>
      <c r="D147" s="2483"/>
      <c r="E147" s="2483"/>
      <c r="F147" s="2483"/>
      <c r="G147" s="2484"/>
      <c r="H147" s="2483"/>
      <c r="I147" s="2484"/>
      <c r="J147" s="2483"/>
      <c r="K147" s="2483"/>
      <c r="L147" s="2484"/>
      <c r="M147" s="2483"/>
      <c r="N147" s="2483"/>
      <c r="O147" s="2484"/>
      <c r="P147" s="2483"/>
      <c r="Q147" s="2483"/>
      <c r="R147" s="2485"/>
    </row>
    <row r="148" spans="2:18" s="791" customFormat="1">
      <c r="B148" s="2483"/>
      <c r="C148" s="2483"/>
      <c r="D148" s="2483"/>
      <c r="E148" s="2483"/>
      <c r="F148" s="2483"/>
      <c r="G148" s="2484"/>
      <c r="H148" s="2483"/>
      <c r="I148" s="2484"/>
      <c r="J148" s="2483"/>
      <c r="K148" s="2483"/>
      <c r="L148" s="2484"/>
      <c r="M148" s="2483"/>
      <c r="N148" s="2483"/>
      <c r="O148" s="2484"/>
      <c r="P148" s="2483"/>
      <c r="Q148" s="2483"/>
      <c r="R148" s="2485"/>
    </row>
    <row r="149" spans="2:18" s="791" customFormat="1">
      <c r="B149" s="2483"/>
      <c r="C149" s="2483"/>
      <c r="D149" s="2483"/>
      <c r="E149" s="2483"/>
      <c r="F149" s="2483"/>
      <c r="G149" s="2484"/>
      <c r="H149" s="2483"/>
      <c r="I149" s="2484"/>
      <c r="J149" s="2483"/>
      <c r="K149" s="2483"/>
      <c r="L149" s="2484"/>
      <c r="M149" s="2483"/>
      <c r="N149" s="2483"/>
      <c r="O149" s="2484"/>
      <c r="P149" s="2483"/>
      <c r="Q149" s="2483"/>
      <c r="R149" s="2485"/>
    </row>
    <row r="150" spans="2:18" s="791" customFormat="1">
      <c r="B150" s="2483"/>
      <c r="C150" s="2483"/>
      <c r="D150" s="2483"/>
      <c r="E150" s="2483"/>
      <c r="F150" s="2483"/>
      <c r="G150" s="2484"/>
      <c r="H150" s="2483"/>
      <c r="I150" s="2484"/>
      <c r="J150" s="2483"/>
      <c r="K150" s="2483"/>
      <c r="L150" s="2484"/>
      <c r="M150" s="2483"/>
      <c r="N150" s="2483"/>
      <c r="O150" s="2484"/>
      <c r="P150" s="2483"/>
      <c r="Q150" s="2483"/>
      <c r="R150" s="2485"/>
    </row>
    <row r="151" spans="2:18" s="791" customFormat="1">
      <c r="B151" s="2483"/>
      <c r="C151" s="2483"/>
      <c r="D151" s="2483"/>
      <c r="E151" s="2483"/>
      <c r="F151" s="2483"/>
      <c r="G151" s="2484"/>
      <c r="H151" s="2483"/>
      <c r="I151" s="2484"/>
      <c r="J151" s="2483"/>
      <c r="K151" s="2483"/>
      <c r="L151" s="2484"/>
      <c r="M151" s="2483"/>
      <c r="N151" s="2483"/>
      <c r="O151" s="2484"/>
      <c r="P151" s="2483"/>
      <c r="Q151" s="2483"/>
      <c r="R151" s="2485"/>
    </row>
    <row r="152" spans="2:18" s="791" customFormat="1">
      <c r="B152" s="2483"/>
      <c r="C152" s="2483"/>
      <c r="D152" s="2483"/>
      <c r="E152" s="2483"/>
      <c r="F152" s="2483"/>
      <c r="G152" s="2484"/>
      <c r="H152" s="2483"/>
      <c r="I152" s="2484"/>
      <c r="J152" s="2483"/>
      <c r="K152" s="2483"/>
      <c r="L152" s="2484"/>
      <c r="M152" s="2483"/>
      <c r="N152" s="2483"/>
      <c r="O152" s="2484"/>
      <c r="P152" s="2483"/>
      <c r="Q152" s="2483"/>
      <c r="R152" s="2485"/>
    </row>
    <row r="153" spans="2:18" s="791" customFormat="1">
      <c r="B153" s="2483"/>
      <c r="C153" s="2483"/>
      <c r="D153" s="2483"/>
      <c r="E153" s="2483"/>
      <c r="F153" s="2483"/>
      <c r="G153" s="2484"/>
      <c r="H153" s="2483"/>
      <c r="I153" s="2484"/>
      <c r="J153" s="2483"/>
      <c r="K153" s="2483"/>
      <c r="L153" s="2484"/>
      <c r="M153" s="2483"/>
      <c r="N153" s="2483"/>
      <c r="O153" s="2484"/>
      <c r="P153" s="2483"/>
      <c r="Q153" s="2483"/>
      <c r="R153" s="2485"/>
    </row>
    <row r="154" spans="2:18" s="791" customFormat="1">
      <c r="B154" s="2483"/>
      <c r="C154" s="2483"/>
      <c r="D154" s="2483"/>
      <c r="E154" s="2483"/>
      <c r="F154" s="2483"/>
      <c r="G154" s="2484"/>
      <c r="H154" s="2483"/>
      <c r="I154" s="2484"/>
      <c r="J154" s="2483"/>
      <c r="K154" s="2483"/>
      <c r="L154" s="2484"/>
      <c r="M154" s="2483"/>
      <c r="N154" s="2483"/>
      <c r="O154" s="2484"/>
      <c r="P154" s="2483"/>
      <c r="Q154" s="2483"/>
      <c r="R154" s="2485"/>
    </row>
    <row r="155" spans="2:18" s="791" customFormat="1">
      <c r="B155" s="2483"/>
      <c r="C155" s="2483"/>
      <c r="D155" s="2483"/>
      <c r="E155" s="2483"/>
      <c r="F155" s="2483"/>
      <c r="G155" s="2484"/>
      <c r="H155" s="2483"/>
      <c r="I155" s="2484"/>
      <c r="J155" s="2483"/>
      <c r="K155" s="2483"/>
      <c r="L155" s="2484"/>
      <c r="M155" s="2483"/>
      <c r="N155" s="2483"/>
      <c r="O155" s="2484"/>
      <c r="P155" s="2483"/>
      <c r="Q155" s="2483"/>
      <c r="R155" s="2485"/>
    </row>
    <row r="156" spans="2:18" s="791" customFormat="1">
      <c r="B156" s="2483"/>
      <c r="C156" s="2483"/>
      <c r="D156" s="2483"/>
      <c r="E156" s="2483"/>
      <c r="F156" s="2483"/>
      <c r="G156" s="2484"/>
      <c r="H156" s="2483"/>
      <c r="I156" s="2484"/>
      <c r="J156" s="2483"/>
      <c r="K156" s="2483"/>
      <c r="L156" s="2484"/>
      <c r="M156" s="2483"/>
      <c r="N156" s="2483"/>
      <c r="O156" s="2484"/>
      <c r="P156" s="2483"/>
      <c r="Q156" s="2483"/>
      <c r="R156" s="2485"/>
    </row>
    <row r="157" spans="2:18" s="791" customFormat="1">
      <c r="B157" s="2483"/>
      <c r="C157" s="2483"/>
      <c r="D157" s="2483"/>
      <c r="E157" s="2483"/>
      <c r="F157" s="2483"/>
      <c r="G157" s="2484"/>
      <c r="H157" s="2483"/>
      <c r="I157" s="2484"/>
      <c r="J157" s="2483"/>
      <c r="K157" s="2483"/>
      <c r="L157" s="2484"/>
      <c r="M157" s="2483"/>
      <c r="N157" s="2483"/>
      <c r="O157" s="2484"/>
      <c r="P157" s="2483"/>
      <c r="Q157" s="2483"/>
      <c r="R157" s="2485"/>
    </row>
    <row r="158" spans="2:18" s="791" customFormat="1">
      <c r="B158" s="2483"/>
      <c r="C158" s="2483"/>
      <c r="D158" s="2483"/>
      <c r="E158" s="2483"/>
      <c r="F158" s="2483"/>
      <c r="G158" s="2484"/>
      <c r="H158" s="2483"/>
      <c r="I158" s="2484"/>
      <c r="J158" s="2483"/>
      <c r="K158" s="2483"/>
      <c r="L158" s="2484"/>
      <c r="M158" s="2483"/>
      <c r="N158" s="2483"/>
      <c r="O158" s="2484"/>
      <c r="P158" s="2483"/>
      <c r="Q158" s="2483"/>
      <c r="R158" s="2485"/>
    </row>
    <row r="159" spans="2:18" s="791" customFormat="1">
      <c r="B159" s="2483"/>
      <c r="C159" s="2483"/>
      <c r="D159" s="2483"/>
      <c r="E159" s="2483"/>
      <c r="F159" s="2483"/>
      <c r="G159" s="2484"/>
      <c r="H159" s="2483"/>
      <c r="I159" s="2484"/>
      <c r="J159" s="2483"/>
      <c r="K159" s="2483"/>
      <c r="L159" s="2484"/>
      <c r="M159" s="2483"/>
      <c r="N159" s="2483"/>
      <c r="O159" s="2484"/>
      <c r="P159" s="2483"/>
      <c r="Q159" s="2483"/>
      <c r="R159" s="2485"/>
    </row>
    <row r="160" spans="2:18" s="791" customFormat="1">
      <c r="B160" s="2483"/>
      <c r="C160" s="2483"/>
      <c r="D160" s="2483"/>
      <c r="E160" s="2483"/>
      <c r="F160" s="2483"/>
      <c r="G160" s="2484"/>
      <c r="H160" s="2483"/>
      <c r="I160" s="2484"/>
      <c r="J160" s="2483"/>
      <c r="K160" s="2483"/>
      <c r="L160" s="2484"/>
      <c r="M160" s="2483"/>
      <c r="N160" s="2483"/>
      <c r="O160" s="2484"/>
      <c r="P160" s="2483"/>
      <c r="Q160" s="2483"/>
      <c r="R160" s="2485"/>
    </row>
    <row r="161" spans="2:18" s="791" customFormat="1">
      <c r="B161" s="2483"/>
      <c r="C161" s="2483"/>
      <c r="D161" s="2483"/>
      <c r="E161" s="2483"/>
      <c r="F161" s="2483"/>
      <c r="G161" s="2484"/>
      <c r="H161" s="2483"/>
      <c r="I161" s="2484"/>
      <c r="J161" s="2483"/>
      <c r="K161" s="2483"/>
      <c r="L161" s="2484"/>
      <c r="M161" s="2483"/>
      <c r="N161" s="2483"/>
      <c r="O161" s="2484"/>
      <c r="P161" s="2483"/>
      <c r="Q161" s="2483"/>
      <c r="R161" s="2485"/>
    </row>
    <row r="162" spans="2:18" s="791" customFormat="1">
      <c r="B162" s="2483"/>
      <c r="C162" s="2483"/>
      <c r="D162" s="2483"/>
      <c r="E162" s="2483"/>
      <c r="F162" s="2483"/>
      <c r="G162" s="2484"/>
      <c r="H162" s="2483"/>
      <c r="I162" s="2484"/>
      <c r="J162" s="2483"/>
      <c r="K162" s="2483"/>
      <c r="L162" s="2484"/>
      <c r="M162" s="2483"/>
      <c r="N162" s="2483"/>
      <c r="O162" s="2484"/>
      <c r="P162" s="2483"/>
      <c r="Q162" s="2483"/>
      <c r="R162" s="2485"/>
    </row>
    <row r="163" spans="2:18" s="791" customFormat="1">
      <c r="B163" s="2483"/>
      <c r="C163" s="2483"/>
      <c r="D163" s="2483"/>
      <c r="E163" s="2483"/>
      <c r="F163" s="2483"/>
      <c r="G163" s="2484"/>
      <c r="H163" s="2483"/>
      <c r="I163" s="2484"/>
      <c r="J163" s="2483"/>
      <c r="K163" s="2483"/>
      <c r="L163" s="2484"/>
      <c r="M163" s="2483"/>
      <c r="N163" s="2483"/>
      <c r="O163" s="2484"/>
      <c r="P163" s="2483"/>
      <c r="Q163" s="2483"/>
      <c r="R163" s="2485"/>
    </row>
    <row r="164" spans="2:18" s="791" customFormat="1">
      <c r="B164" s="2483"/>
      <c r="C164" s="2483"/>
      <c r="D164" s="2483"/>
      <c r="E164" s="2483"/>
      <c r="F164" s="2483"/>
      <c r="G164" s="2484"/>
      <c r="H164" s="2483"/>
      <c r="I164" s="2484"/>
      <c r="J164" s="2483"/>
      <c r="K164" s="2483"/>
      <c r="L164" s="2484"/>
      <c r="M164" s="2483"/>
      <c r="N164" s="2483"/>
      <c r="O164" s="2484"/>
      <c r="P164" s="2483"/>
      <c r="Q164" s="2483"/>
      <c r="R164" s="2485"/>
    </row>
    <row r="165" spans="2:18" s="791" customFormat="1">
      <c r="B165" s="2483"/>
      <c r="C165" s="2483"/>
      <c r="D165" s="2483"/>
      <c r="E165" s="2483"/>
      <c r="F165" s="2483"/>
      <c r="G165" s="2484"/>
      <c r="H165" s="2483"/>
      <c r="I165" s="2484"/>
      <c r="J165" s="2483"/>
      <c r="K165" s="2483"/>
      <c r="L165" s="2484"/>
      <c r="M165" s="2483"/>
      <c r="N165" s="2483"/>
      <c r="O165" s="2484"/>
      <c r="P165" s="2483"/>
      <c r="Q165" s="2483"/>
      <c r="R165" s="2485"/>
    </row>
    <row r="166" spans="2:18" s="791" customFormat="1">
      <c r="B166" s="2483"/>
      <c r="C166" s="2483"/>
      <c r="D166" s="2483"/>
      <c r="E166" s="2483"/>
      <c r="F166" s="2483"/>
      <c r="G166" s="2484"/>
      <c r="H166" s="2483"/>
      <c r="I166" s="2484"/>
      <c r="J166" s="2483"/>
      <c r="K166" s="2483"/>
      <c r="L166" s="2484"/>
      <c r="M166" s="2483"/>
      <c r="N166" s="2483"/>
      <c r="O166" s="2484"/>
      <c r="P166" s="2483"/>
      <c r="Q166" s="2483"/>
      <c r="R166" s="2485"/>
    </row>
    <row r="167" spans="2:18" s="791" customFormat="1">
      <c r="B167" s="2483"/>
      <c r="C167" s="2483"/>
      <c r="D167" s="2483"/>
      <c r="E167" s="2483"/>
      <c r="F167" s="2483"/>
      <c r="G167" s="2484"/>
      <c r="H167" s="2483"/>
      <c r="I167" s="2484"/>
      <c r="J167" s="2483"/>
      <c r="K167" s="2483"/>
      <c r="L167" s="2484"/>
      <c r="M167" s="2483"/>
      <c r="N167" s="2483"/>
      <c r="O167" s="2484"/>
      <c r="P167" s="2483"/>
      <c r="Q167" s="2483"/>
      <c r="R167" s="2485"/>
    </row>
    <row r="168" spans="2:18" s="791" customFormat="1">
      <c r="B168" s="2483"/>
      <c r="C168" s="2483"/>
      <c r="D168" s="2483"/>
      <c r="E168" s="2483"/>
      <c r="F168" s="2483"/>
      <c r="G168" s="2484"/>
      <c r="H168" s="2483"/>
      <c r="I168" s="2484"/>
      <c r="J168" s="2483"/>
      <c r="K168" s="2483"/>
      <c r="L168" s="2484"/>
      <c r="M168" s="2483"/>
      <c r="N168" s="2483"/>
      <c r="O168" s="2484"/>
      <c r="P168" s="2483"/>
      <c r="Q168" s="2483"/>
      <c r="R168" s="2485"/>
    </row>
    <row r="169" spans="2:18" s="791" customFormat="1">
      <c r="B169" s="2483"/>
      <c r="C169" s="2483"/>
      <c r="D169" s="2483"/>
      <c r="E169" s="2483"/>
      <c r="F169" s="2483"/>
      <c r="G169" s="2484"/>
      <c r="H169" s="2483"/>
      <c r="I169" s="2484"/>
      <c r="J169" s="2483"/>
      <c r="K169" s="2483"/>
      <c r="L169" s="2484"/>
      <c r="M169" s="2483"/>
      <c r="N169" s="2483"/>
      <c r="O169" s="2484"/>
      <c r="P169" s="2483"/>
      <c r="Q169" s="2483"/>
      <c r="R169" s="2485"/>
    </row>
    <row r="170" spans="2:18" s="791" customFormat="1">
      <c r="B170" s="2483"/>
      <c r="C170" s="2483"/>
      <c r="D170" s="2483"/>
      <c r="E170" s="2483"/>
      <c r="F170" s="2483"/>
      <c r="G170" s="2484"/>
      <c r="H170" s="2483"/>
      <c r="I170" s="2484"/>
      <c r="J170" s="2483"/>
      <c r="K170" s="2483"/>
      <c r="L170" s="2484"/>
      <c r="M170" s="2483"/>
      <c r="N170" s="2483"/>
      <c r="O170" s="2484"/>
      <c r="P170" s="2483"/>
      <c r="Q170" s="2483"/>
      <c r="R170" s="2485"/>
    </row>
    <row r="171" spans="2:18" s="791" customFormat="1">
      <c r="B171" s="2483"/>
      <c r="C171" s="2483"/>
      <c r="D171" s="2483"/>
      <c r="E171" s="2483"/>
      <c r="F171" s="2483"/>
      <c r="G171" s="2484"/>
      <c r="H171" s="2483"/>
      <c r="I171" s="2484"/>
      <c r="J171" s="2483"/>
      <c r="K171" s="2483"/>
      <c r="L171" s="2484"/>
      <c r="M171" s="2483"/>
      <c r="N171" s="2483"/>
      <c r="O171" s="2484"/>
      <c r="P171" s="2483"/>
      <c r="Q171" s="2483"/>
      <c r="R171" s="2485"/>
    </row>
    <row r="172" spans="2:18" s="791" customFormat="1">
      <c r="B172" s="2483"/>
      <c r="C172" s="2483"/>
      <c r="D172" s="2483"/>
      <c r="E172" s="2483"/>
      <c r="F172" s="2483"/>
      <c r="G172" s="2484"/>
      <c r="H172" s="2483"/>
      <c r="I172" s="2484"/>
      <c r="J172" s="2483"/>
      <c r="K172" s="2483"/>
      <c r="L172" s="2484"/>
      <c r="M172" s="2483"/>
      <c r="N172" s="2483"/>
      <c r="O172" s="2484"/>
      <c r="P172" s="2483"/>
      <c r="Q172" s="2483"/>
      <c r="R172" s="2485"/>
    </row>
    <row r="173" spans="2:18" s="791" customFormat="1">
      <c r="B173" s="2483"/>
      <c r="C173" s="2483"/>
      <c r="D173" s="2483"/>
      <c r="E173" s="2483"/>
      <c r="F173" s="2483"/>
      <c r="G173" s="2484"/>
      <c r="H173" s="2483"/>
      <c r="I173" s="2484"/>
      <c r="J173" s="2483"/>
      <c r="K173" s="2483"/>
      <c r="L173" s="2484"/>
      <c r="M173" s="2483"/>
      <c r="N173" s="2483"/>
      <c r="O173" s="2484"/>
      <c r="P173" s="2483"/>
      <c r="Q173" s="2483"/>
      <c r="R173" s="2485"/>
    </row>
    <row r="174" spans="2:18" s="791" customFormat="1">
      <c r="B174" s="2483"/>
      <c r="C174" s="2483"/>
      <c r="D174" s="2483"/>
      <c r="E174" s="2483"/>
      <c r="F174" s="2483"/>
      <c r="G174" s="2484"/>
      <c r="H174" s="2483"/>
      <c r="I174" s="2484"/>
      <c r="J174" s="2483"/>
      <c r="K174" s="2483"/>
      <c r="L174" s="2484"/>
      <c r="M174" s="2483"/>
      <c r="N174" s="2483"/>
      <c r="O174" s="2484"/>
      <c r="P174" s="2483"/>
      <c r="Q174" s="2483"/>
      <c r="R174" s="2485"/>
    </row>
    <row r="175" spans="2:18" s="791" customFormat="1">
      <c r="B175" s="2483"/>
      <c r="C175" s="2483"/>
      <c r="D175" s="2483"/>
      <c r="E175" s="2483"/>
      <c r="F175" s="2483"/>
      <c r="G175" s="2484"/>
      <c r="H175" s="2483"/>
      <c r="I175" s="2484"/>
      <c r="J175" s="2483"/>
      <c r="K175" s="2483"/>
      <c r="L175" s="2484"/>
      <c r="M175" s="2483"/>
      <c r="N175" s="2483"/>
      <c r="O175" s="2484"/>
      <c r="P175" s="2483"/>
      <c r="Q175" s="2483"/>
      <c r="R175" s="2485"/>
    </row>
    <row r="176" spans="2:18" s="791" customFormat="1">
      <c r="B176" s="2483"/>
      <c r="C176" s="2483"/>
      <c r="D176" s="2483"/>
      <c r="E176" s="2483"/>
      <c r="F176" s="2483"/>
      <c r="G176" s="2484"/>
      <c r="H176" s="2483"/>
      <c r="I176" s="2484"/>
      <c r="J176" s="2483"/>
      <c r="K176" s="2483"/>
      <c r="L176" s="2484"/>
      <c r="M176" s="2483"/>
      <c r="N176" s="2483"/>
      <c r="O176" s="2484"/>
      <c r="P176" s="2483"/>
      <c r="Q176" s="2483"/>
      <c r="R176" s="2485"/>
    </row>
    <row r="177" spans="1:18" s="791" customFormat="1">
      <c r="B177" s="2483"/>
      <c r="C177" s="2483"/>
      <c r="D177" s="2483"/>
      <c r="E177" s="2483"/>
      <c r="F177" s="2483"/>
      <c r="G177" s="2484"/>
      <c r="H177" s="2483"/>
      <c r="I177" s="2484"/>
      <c r="J177" s="2483"/>
      <c r="K177" s="2483"/>
      <c r="L177" s="2484"/>
      <c r="M177" s="2483"/>
      <c r="N177" s="2483"/>
      <c r="O177" s="2484"/>
      <c r="P177" s="2483"/>
      <c r="Q177" s="2483"/>
      <c r="R177" s="2485"/>
    </row>
    <row r="178" spans="1:18" s="791" customFormat="1">
      <c r="B178" s="2483"/>
      <c r="C178" s="2483"/>
      <c r="D178" s="2483"/>
      <c r="E178" s="2483"/>
      <c r="F178" s="2483"/>
      <c r="G178" s="2484"/>
      <c r="H178" s="2483"/>
      <c r="I178" s="2484"/>
      <c r="J178" s="2483"/>
      <c r="K178" s="2483"/>
      <c r="L178" s="2484"/>
      <c r="M178" s="2483"/>
      <c r="N178" s="2483"/>
      <c r="O178" s="2484"/>
      <c r="P178" s="2483"/>
      <c r="Q178" s="2483"/>
      <c r="R178" s="2485"/>
    </row>
    <row r="179" spans="1:18" s="791" customFormat="1">
      <c r="B179" s="2483"/>
      <c r="C179" s="2483"/>
      <c r="D179" s="2483"/>
      <c r="E179" s="2483"/>
      <c r="F179" s="2483"/>
      <c r="G179" s="2484"/>
      <c r="H179" s="2483"/>
      <c r="I179" s="2484"/>
      <c r="J179" s="2483"/>
      <c r="K179" s="2483"/>
      <c r="L179" s="2484"/>
      <c r="M179" s="2483"/>
      <c r="N179" s="2483"/>
      <c r="O179" s="2484"/>
      <c r="P179" s="2483"/>
      <c r="Q179" s="2483"/>
      <c r="R179" s="2485"/>
    </row>
    <row r="180" spans="1:18" s="791" customFormat="1">
      <c r="B180" s="2483"/>
      <c r="C180" s="2483"/>
      <c r="D180" s="2483"/>
      <c r="E180" s="2483"/>
      <c r="F180" s="2483"/>
      <c r="G180" s="2484"/>
      <c r="H180" s="2483"/>
      <c r="I180" s="2484"/>
      <c r="J180" s="2483"/>
      <c r="K180" s="2483"/>
      <c r="L180" s="2484"/>
      <c r="M180" s="2483"/>
      <c r="N180" s="2483"/>
      <c r="O180" s="2484"/>
      <c r="P180" s="2483"/>
      <c r="Q180" s="2483"/>
      <c r="R180" s="2485"/>
    </row>
    <row r="181" spans="1:18" s="791" customFormat="1">
      <c r="B181" s="2483"/>
      <c r="C181" s="2483"/>
      <c r="D181" s="2483"/>
      <c r="E181" s="2483"/>
      <c r="F181" s="2483"/>
      <c r="G181" s="2484"/>
      <c r="H181" s="2483"/>
      <c r="I181" s="2484"/>
      <c r="J181" s="2483"/>
      <c r="K181" s="2483"/>
      <c r="L181" s="2484"/>
      <c r="M181" s="2483"/>
      <c r="N181" s="2483"/>
      <c r="O181" s="2484"/>
      <c r="P181" s="2483"/>
      <c r="Q181" s="2483"/>
      <c r="R181" s="2485"/>
    </row>
    <row r="182" spans="1:18" s="791" customFormat="1">
      <c r="B182" s="2483"/>
      <c r="C182" s="2483"/>
      <c r="D182" s="2483"/>
      <c r="E182" s="2483"/>
      <c r="F182" s="2483"/>
      <c r="G182" s="2484"/>
      <c r="H182" s="2483"/>
      <c r="I182" s="2484"/>
      <c r="J182" s="2483"/>
      <c r="K182" s="2483"/>
      <c r="L182" s="2484"/>
      <c r="M182" s="2483"/>
      <c r="N182" s="2483"/>
      <c r="O182" s="2484"/>
      <c r="P182" s="2483"/>
      <c r="Q182" s="2483"/>
      <c r="R182" s="2485"/>
    </row>
    <row r="183" spans="1:18" s="791" customFormat="1">
      <c r="B183" s="2483"/>
      <c r="C183" s="2483"/>
      <c r="D183" s="2483"/>
      <c r="E183" s="2483"/>
      <c r="F183" s="2483"/>
      <c r="G183" s="2484"/>
      <c r="H183" s="2483"/>
      <c r="I183" s="2484"/>
      <c r="J183" s="2483"/>
      <c r="K183" s="2483"/>
      <c r="L183" s="2484"/>
      <c r="M183" s="2483"/>
      <c r="N183" s="2483"/>
      <c r="O183" s="2484"/>
      <c r="P183" s="2483"/>
      <c r="Q183" s="2483"/>
      <c r="R183" s="2485"/>
    </row>
    <row r="184" spans="1:18" s="791" customFormat="1">
      <c r="B184" s="2483"/>
      <c r="C184" s="2483"/>
      <c r="D184" s="2483"/>
      <c r="E184" s="2483"/>
      <c r="F184" s="2483"/>
      <c r="G184" s="2484"/>
      <c r="H184" s="2483"/>
      <c r="I184" s="2484"/>
      <c r="J184" s="2483"/>
      <c r="K184" s="2483"/>
      <c r="L184" s="2484"/>
      <c r="M184" s="2483"/>
      <c r="N184" s="2483"/>
      <c r="O184" s="2484"/>
      <c r="P184" s="2483"/>
      <c r="Q184" s="2483"/>
      <c r="R184" s="2485"/>
    </row>
    <row r="185" spans="1:18" s="791"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1"/>
      <c r="B186" s="2483"/>
      <c r="C186" s="2483"/>
      <c r="E186" s="2483"/>
      <c r="F186" s="2483"/>
      <c r="G186" s="2484"/>
    </row>
    <row r="187" spans="1:18">
      <c r="A187" s="791"/>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zoomScale="80" zoomScaleNormal="80" zoomScaleSheetLayoutView="80" workbookViewId="0">
      <selection activeCell="M22" sqref="M22"/>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103664.12</v>
      </c>
      <c r="C1" s="2678"/>
      <c r="D1" s="2678"/>
      <c r="E1" s="2678"/>
      <c r="F1" s="2678"/>
      <c r="G1" s="2679"/>
      <c r="H1" s="2680"/>
      <c r="I1" s="2680"/>
      <c r="J1" s="2680"/>
      <c r="K1" s="2680"/>
    </row>
    <row r="2" spans="1:11" ht="16.5">
      <c r="A2" s="2504" t="s">
        <v>653</v>
      </c>
      <c r="B2" s="2504">
        <f>SUM(C14:C23)</f>
        <v>22117.260000000002</v>
      </c>
      <c r="C2" s="2678"/>
      <c r="D2" s="2678"/>
      <c r="E2" s="2678"/>
      <c r="F2" s="2678"/>
      <c r="G2" s="2679"/>
      <c r="H2" s="2680"/>
      <c r="I2" s="2680"/>
      <c r="J2" s="2680"/>
      <c r="K2" s="2680"/>
    </row>
    <row r="3" spans="1:11" ht="16.5">
      <c r="A3" s="2504" t="s">
        <v>662</v>
      </c>
      <c r="B3" s="2506">
        <f>项目基本情况!D3</f>
        <v>45401</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221132</v>
      </c>
      <c r="C5" s="2504">
        <f ca="1">IF(B5=D14,结果表!H102,ROUND(B5*10000/$B$1,0))</f>
        <v>21332</v>
      </c>
      <c r="D5" s="2504">
        <f ca="1">ROUND(B5*10000/$B$2,0)</f>
        <v>99982</v>
      </c>
      <c r="E5" s="2678"/>
      <c r="F5" s="2679"/>
      <c r="G5" s="2679"/>
      <c r="H5" s="2680"/>
      <c r="I5" s="2680"/>
      <c r="J5" s="2680"/>
      <c r="K5" s="2680"/>
    </row>
    <row r="6" spans="1:11" ht="16.5">
      <c r="A6" s="2504" t="s">
        <v>656</v>
      </c>
      <c r="B6" s="2504">
        <f ca="1">SUM(G14:G23)</f>
        <v>221132</v>
      </c>
      <c r="C6" s="2504">
        <f ca="1">IF(B6=G14,结果表!H108,ROUND(B6*10000/$B$1,0))</f>
        <v>21332</v>
      </c>
      <c r="D6" s="2504">
        <f ca="1">ROUND(B6*10000/$B$2,0)</f>
        <v>99982</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51900.97</v>
      </c>
      <c r="C14" s="2510">
        <f>结果表!C118</f>
        <v>11073.33</v>
      </c>
      <c r="D14" s="2510">
        <f ca="1">结果表!H118</f>
        <v>169025</v>
      </c>
      <c r="E14" s="2510">
        <f ca="1">ROUND(D14*10000/B14,0)</f>
        <v>32567</v>
      </c>
      <c r="F14" s="2510">
        <f ca="1">ROUND(D14*10000/C14,0)</f>
        <v>152642</v>
      </c>
      <c r="G14" s="2510">
        <f ca="1">D14</f>
        <v>169025</v>
      </c>
      <c r="H14" s="2510"/>
      <c r="I14" s="2510"/>
      <c r="J14" s="2679"/>
      <c r="K14" s="2680"/>
    </row>
    <row r="15" spans="1:11" ht="16.5">
      <c r="A15" s="2509" t="s">
        <v>649</v>
      </c>
      <c r="B15" s="2510">
        <f>结果表下!B118</f>
        <v>51763.15</v>
      </c>
      <c r="C15" s="2510">
        <f>结果表下!C118</f>
        <v>11043.93</v>
      </c>
      <c r="D15" s="2510">
        <f ca="1">结果表下!H118</f>
        <v>52107</v>
      </c>
      <c r="E15" s="2510">
        <f t="shared" ref="E15:E23" ca="1" si="0">ROUND(D15*10000/B15,0)</f>
        <v>10066</v>
      </c>
      <c r="F15" s="2510">
        <f t="shared" ref="F15:F23" ca="1" si="1">ROUND(D15*10000/C15,0)</f>
        <v>47182</v>
      </c>
      <c r="G15" s="1323">
        <f ca="1">D15</f>
        <v>52107</v>
      </c>
      <c r="H15" s="1323"/>
      <c r="I15" s="2511"/>
      <c r="J15" s="2679"/>
      <c r="K15" s="2680"/>
    </row>
    <row r="16" spans="1:11" ht="16.5">
      <c r="A16" s="2509" t="s">
        <v>648</v>
      </c>
      <c r="B16" s="2511"/>
      <c r="C16" s="2511"/>
      <c r="D16" s="2511"/>
      <c r="E16" s="2510" t="e">
        <f t="shared" si="0"/>
        <v>#DIV/0!</v>
      </c>
      <c r="F16" s="2510" t="e">
        <f t="shared" si="1"/>
        <v>#DIV/0!</v>
      </c>
      <c r="G16" s="1323"/>
      <c r="H16" s="1323"/>
      <c r="I16" s="2511"/>
      <c r="J16" s="2680"/>
      <c r="K16" s="2680"/>
    </row>
    <row r="17" spans="1:11" ht="16.5">
      <c r="A17" s="2509" t="s">
        <v>647</v>
      </c>
      <c r="B17" s="2511"/>
      <c r="C17" s="2511"/>
      <c r="D17" s="2511"/>
      <c r="E17" s="2510" t="e">
        <f t="shared" si="0"/>
        <v>#DIV/0!</v>
      </c>
      <c r="F17" s="2510" t="e">
        <f t="shared" si="1"/>
        <v>#DIV/0!</v>
      </c>
      <c r="G17" s="1323"/>
      <c r="H17" s="1323"/>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row r="29" spans="1:11" ht="14.25">
      <c r="B29" s="3648" t="str">
        <f ca="1">NUMBERSTRING(INT(B6*10000),2)&amp;"元整"</f>
        <v>贰拾贰亿壹仟壹佰叁拾贰万元整</v>
      </c>
      <c r="C29" s="3649"/>
    </row>
  </sheetData>
  <sheetProtection password="CEE9" sheet="1" objects="1" scenarios="1" formatCells="0" formatColumns="0" formatRows="0"/>
  <mergeCells count="1">
    <mergeCell ref="B29:C29"/>
  </mergeCells>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559" t="str">
        <f>项目基本情况!B1</f>
        <v>北京市丰台区四合庄路6号院1-3号楼房地产抵押价值预评估</v>
      </c>
      <c r="C37" s="3559"/>
      <c r="D37" s="3559"/>
      <c r="E37" s="3559"/>
      <c r="F37" s="3559"/>
      <c r="G37" s="3559"/>
      <c r="H37" s="3559"/>
      <c r="I37" s="3559"/>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郑燚（注册号：1120070131)、吴薇（注册号：1419970001)</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J37" sqref="J37"/>
    </sheetView>
  </sheetViews>
  <sheetFormatPr defaultColWidth="12.625" defaultRowHeight="21.75" customHeight="1"/>
  <cols>
    <col min="1" max="2" width="12.625" style="1745"/>
    <col min="3" max="4" width="12.625" style="1745" customWidth="1"/>
    <col min="5" max="9" width="12.625" style="1745"/>
    <col min="10" max="11" width="12.625" style="721" customWidth="1"/>
    <col min="12" max="12" width="12.625" style="721"/>
    <col min="13" max="13" width="14.125" style="721" bestFit="1" customWidth="1"/>
    <col min="14" max="26" width="12.625" style="721"/>
    <col min="27" max="35" width="12.625" style="1744"/>
    <col min="36" max="16384" width="12.625" style="1745"/>
  </cols>
  <sheetData>
    <row r="1" spans="1:12" ht="21.75" customHeight="1" thickBot="1">
      <c r="A1" s="1629" t="s">
        <v>1262</v>
      </c>
      <c r="B1" s="1739"/>
      <c r="C1" s="1740" t="s">
        <v>3856</v>
      </c>
      <c r="D1" s="1739"/>
      <c r="E1" s="1739"/>
      <c r="F1" s="1741" t="s">
        <v>1263</v>
      </c>
      <c r="G1" s="1553" t="s">
        <v>3395</v>
      </c>
      <c r="H1" s="1742" t="str">
        <f>IF(G1="现房","——","估价对象范围")</f>
        <v>——</v>
      </c>
      <c r="I1" s="1743" t="s">
        <v>3862</v>
      </c>
    </row>
    <row r="2" spans="1:12" ht="21.75" customHeight="1" thickBot="1">
      <c r="A2" s="3684" t="str">
        <f>项目基本情况!S2</f>
        <v>北京市丰台区四合庄路6号院1-3号楼房地产</v>
      </c>
      <c r="B2" s="3685"/>
      <c r="C2" s="3685"/>
      <c r="D2" s="3685"/>
      <c r="E2" s="3685"/>
      <c r="F2" s="3685"/>
      <c r="G2" s="3685"/>
      <c r="H2" s="3685"/>
      <c r="I2" s="3686"/>
    </row>
    <row r="3" spans="1:12" ht="12.75">
      <c r="A3" s="3688" t="s">
        <v>1264</v>
      </c>
      <c r="B3" s="3689"/>
      <c r="C3" s="3689"/>
      <c r="D3" s="3689"/>
      <c r="E3" s="3689"/>
      <c r="F3" s="3689"/>
      <c r="G3" s="3689"/>
      <c r="H3" s="3689"/>
      <c r="I3" s="3689"/>
    </row>
    <row r="4" spans="1:12" ht="14.25">
      <c r="A4" s="1746" t="s">
        <v>1265</v>
      </c>
      <c r="B4" s="1747" t="s">
        <v>1266</v>
      </c>
      <c r="C4" s="1748" t="s">
        <v>3863</v>
      </c>
      <c r="D4" s="1748" t="s">
        <v>3425</v>
      </c>
      <c r="E4" s="3690" t="s">
        <v>1267</v>
      </c>
      <c r="F4" s="3691"/>
      <c r="G4" s="3691"/>
      <c r="H4" s="3691"/>
      <c r="I4" s="3692"/>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64" t="s">
        <v>1268</v>
      </c>
      <c r="B5" s="3651">
        <v>25</v>
      </c>
      <c r="C5" s="3667"/>
      <c r="D5" s="3687"/>
      <c r="E5" s="128" t="s">
        <v>1269</v>
      </c>
      <c r="F5" s="1749"/>
      <c r="G5" s="1749"/>
      <c r="H5" s="1749"/>
      <c r="I5" s="1365"/>
    </row>
    <row r="6" spans="1:12" ht="12.75">
      <c r="A6" s="3664"/>
      <c r="B6" s="3651"/>
      <c r="C6" s="3668"/>
      <c r="D6" s="3687"/>
      <c r="E6" s="128" t="s">
        <v>1270</v>
      </c>
      <c r="F6" s="1749"/>
      <c r="G6" s="1749"/>
      <c r="H6" s="1749"/>
      <c r="I6" s="1365"/>
    </row>
    <row r="7" spans="1:12" ht="12.75">
      <c r="A7" s="3664"/>
      <c r="B7" s="3651"/>
      <c r="C7" s="3669"/>
      <c r="D7" s="3687"/>
      <c r="E7" s="128" t="s">
        <v>1271</v>
      </c>
      <c r="F7" s="1749"/>
      <c r="G7" s="1749"/>
      <c r="H7" s="1749"/>
      <c r="I7" s="1365"/>
    </row>
    <row r="8" spans="1:12" ht="12.75">
      <c r="A8" s="3664" t="s">
        <v>1272</v>
      </c>
      <c r="B8" s="3651">
        <v>15</v>
      </c>
      <c r="C8" s="3667"/>
      <c r="D8" s="3687"/>
      <c r="E8" s="128" t="s">
        <v>1273</v>
      </c>
      <c r="F8" s="1749"/>
      <c r="G8" s="1749"/>
      <c r="H8" s="1749"/>
      <c r="I8" s="1365"/>
    </row>
    <row r="9" spans="1:12" ht="12.75">
      <c r="A9" s="3664"/>
      <c r="B9" s="3651"/>
      <c r="C9" s="3669"/>
      <c r="D9" s="3687"/>
      <c r="E9" s="128" t="s">
        <v>1274</v>
      </c>
      <c r="F9" s="1749"/>
      <c r="G9" s="1749"/>
      <c r="H9" s="1749"/>
      <c r="I9" s="1365"/>
    </row>
    <row r="10" spans="1:12" ht="12.75">
      <c r="A10" s="3664" t="s">
        <v>1275</v>
      </c>
      <c r="B10" s="3651">
        <v>15</v>
      </c>
      <c r="C10" s="3667"/>
      <c r="D10" s="3687"/>
      <c r="E10" s="128" t="s">
        <v>1276</v>
      </c>
      <c r="F10" s="1749"/>
      <c r="G10" s="1749"/>
      <c r="H10" s="1749"/>
      <c r="I10" s="1365"/>
    </row>
    <row r="11" spans="1:12" ht="12.75">
      <c r="A11" s="3664"/>
      <c r="B11" s="3651"/>
      <c r="C11" s="3669"/>
      <c r="D11" s="3687"/>
      <c r="E11" s="128" t="s">
        <v>1277</v>
      </c>
      <c r="F11" s="1749"/>
      <c r="G11" s="1749"/>
      <c r="H11" s="1749"/>
      <c r="I11" s="1365"/>
    </row>
    <row r="12" spans="1:12" ht="12.75">
      <c r="A12" s="3664" t="s">
        <v>1278</v>
      </c>
      <c r="B12" s="3651">
        <v>15</v>
      </c>
      <c r="C12" s="3667"/>
      <c r="D12" s="3687"/>
      <c r="E12" s="128" t="s">
        <v>1279</v>
      </c>
      <c r="F12" s="1749"/>
      <c r="G12" s="1749"/>
      <c r="H12" s="1749"/>
      <c r="I12" s="1365"/>
    </row>
    <row r="13" spans="1:12" ht="12.75">
      <c r="A13" s="3664"/>
      <c r="B13" s="3651"/>
      <c r="C13" s="3669"/>
      <c r="D13" s="3687"/>
      <c r="E13" s="128" t="s">
        <v>1280</v>
      </c>
      <c r="F13" s="1749"/>
      <c r="G13" s="1749"/>
      <c r="H13" s="1749"/>
      <c r="I13" s="1365"/>
    </row>
    <row r="14" spans="1:12" ht="12.75">
      <c r="A14" s="3664" t="s">
        <v>1281</v>
      </c>
      <c r="B14" s="3651">
        <v>30</v>
      </c>
      <c r="C14" s="3667">
        <v>6</v>
      </c>
      <c r="D14" s="3687">
        <v>4</v>
      </c>
      <c r="E14" s="128" t="s">
        <v>1282</v>
      </c>
      <c r="F14" s="1749"/>
      <c r="G14" s="1749"/>
      <c r="H14" s="1749"/>
      <c r="I14" s="1365"/>
    </row>
    <row r="15" spans="1:12" ht="12.75">
      <c r="A15" s="3664"/>
      <c r="B15" s="3651"/>
      <c r="C15" s="3668"/>
      <c r="D15" s="3687"/>
      <c r="E15" s="128" t="s">
        <v>1283</v>
      </c>
      <c r="F15" s="1749"/>
      <c r="G15" s="1749"/>
      <c r="H15" s="1749"/>
      <c r="I15" s="1365"/>
    </row>
    <row r="16" spans="1:12" ht="12.75">
      <c r="A16" s="3664"/>
      <c r="B16" s="3651"/>
      <c r="C16" s="3669"/>
      <c r="D16" s="3687"/>
      <c r="E16" s="128" t="s">
        <v>1284</v>
      </c>
      <c r="F16" s="1749"/>
      <c r="G16" s="1749"/>
      <c r="H16" s="1749"/>
      <c r="I16" s="1365"/>
    </row>
    <row r="17" spans="1:36" ht="15">
      <c r="A17" s="1750" t="s">
        <v>1285</v>
      </c>
      <c r="B17" s="56"/>
      <c r="C17" s="129">
        <f>SUM(C5:C16)</f>
        <v>6</v>
      </c>
      <c r="D17" s="129">
        <f>SUM(D5:D16)</f>
        <v>4</v>
      </c>
      <c r="E17" s="126"/>
      <c r="F17" s="126"/>
      <c r="G17" s="126"/>
      <c r="H17" s="126"/>
      <c r="I17" s="126"/>
      <c r="K17" s="299"/>
      <c r="L17" s="299" t="s">
        <v>1286</v>
      </c>
      <c r="M17" s="299" t="s">
        <v>1287</v>
      </c>
    </row>
    <row r="18" spans="1:36" ht="31.9" customHeight="1" thickBot="1">
      <c r="A18" s="1751" t="s">
        <v>1288</v>
      </c>
      <c r="B18" s="1752"/>
      <c r="C18" s="130">
        <f>ROUND(C17/SUM(C17:D17),2)</f>
        <v>0.6</v>
      </c>
      <c r="D18" s="130">
        <f>1-C18</f>
        <v>0.4</v>
      </c>
      <c r="E18" s="3674" t="s">
        <v>2131</v>
      </c>
      <c r="F18" s="3675"/>
      <c r="G18" s="3675"/>
      <c r="H18" s="3675"/>
      <c r="I18" s="3675"/>
      <c r="K18" s="299" t="s">
        <v>1289</v>
      </c>
      <c r="L18" s="299">
        <f>IF(C1="",'数据-汇总表'!E3,SUMIF(项目类型,C1,'数据-汇总表'!E17:E26)+SUMIF(项目类型,C1,'数据-汇总表'!I17:I26))</f>
        <v>51900.97</v>
      </c>
      <c r="M18" s="299">
        <f>IF(C1="",'数据-汇总表'!E3,SUMIF(项目类型,C1,'数据-汇总表'!E17:E26))</f>
        <v>51900.97</v>
      </c>
    </row>
    <row r="19" spans="1:36" ht="15">
      <c r="A19" s="1753" t="s">
        <v>1290</v>
      </c>
      <c r="B19" s="1754" t="s">
        <v>1291</v>
      </c>
      <c r="C19" s="131">
        <f ca="1">SUMIF(INDIRECT("'"&amp;C4&amp;"'"&amp;"!A:A"),结果表!B19,INDIRECT("'"&amp;C4&amp;"'"&amp;"!B:B"))</f>
        <v>204723</v>
      </c>
      <c r="D19" s="132">
        <f ca="1">SUMIF(INDIRECT("'"&amp;D4&amp;"'"&amp;"!A:A"),结果表!B19,INDIRECT("'"&amp;D4&amp;"'"&amp;"!B:B"))</f>
        <v>115479</v>
      </c>
      <c r="E19" s="1753" t="s">
        <v>1292</v>
      </c>
      <c r="F19" s="1754" t="s">
        <v>1291</v>
      </c>
      <c r="G19" s="133">
        <f ca="1">ROUND(C19*$C$18+D19*$D$18,0)</f>
        <v>169025</v>
      </c>
      <c r="H19" s="1755" t="s">
        <v>1293</v>
      </c>
      <c r="I19" s="126"/>
      <c r="K19" s="299" t="s">
        <v>1294</v>
      </c>
      <c r="L19" s="299">
        <f>IF(C1="",'数据-汇总表'!D3,SUMIF(项目类型,C1,'数据-汇总表'!D17:D26)+SUMIF(项目类型,C1,'数据-汇总表'!H17:H27))</f>
        <v>11073.33</v>
      </c>
      <c r="M19" s="299">
        <f>IF(C1="",'数据-汇总表'!D3,SUMIF(项目类型,C1,'数据-汇总表'!D17:D26))</f>
        <v>11073.33</v>
      </c>
    </row>
    <row r="20" spans="1:36" ht="15">
      <c r="A20" s="1756"/>
      <c r="B20" s="1018" t="s">
        <v>1295</v>
      </c>
      <c r="C20" s="134">
        <f ca="1">SUMIF(INDIRECT("'"&amp;C4&amp;"'"&amp;"!A:A"),结果表!B20,INDIRECT("'"&amp;C4&amp;"'"&amp;"!B:B"))</f>
        <v>39445</v>
      </c>
      <c r="D20" s="135">
        <f ca="1">SUMIF(INDIRECT("'"&amp;D4&amp;"'"&amp;"!A:A"),结果表!B20,INDIRECT("'"&amp;D4&amp;"'"&amp;"!B:B"))</f>
        <v>22250</v>
      </c>
      <c r="E20" s="1756"/>
      <c r="F20" s="1018" t="s">
        <v>1295</v>
      </c>
      <c r="G20" s="136">
        <f ca="1">ROUND(C20*$C$18+D20*$D$18,0)</f>
        <v>32567</v>
      </c>
      <c r="H20" s="800" t="s">
        <v>1296</v>
      </c>
      <c r="I20" s="126"/>
    </row>
    <row r="21" spans="1:36" ht="15" customHeight="1" thickBot="1">
      <c r="A21" s="820"/>
      <c r="B21" s="1757" t="s">
        <v>1297</v>
      </c>
      <c r="C21" s="715">
        <f ca="1">ROUND(C19*10000/L19,0)</f>
        <v>184879</v>
      </c>
      <c r="D21" s="716">
        <f ca="1">ROUND(D19*10000/L19,0)</f>
        <v>104286</v>
      </c>
      <c r="E21" s="820"/>
      <c r="F21" s="1757" t="s">
        <v>1297</v>
      </c>
      <c r="G21" s="137">
        <f ca="1">ROUND(G19*10000/L19,0)</f>
        <v>152642</v>
      </c>
      <c r="H21" s="1758" t="s">
        <v>1296</v>
      </c>
      <c r="I21" s="126"/>
    </row>
    <row r="22" spans="1:36" ht="15" thickBot="1">
      <c r="A22" s="1680" t="s">
        <v>1298</v>
      </c>
      <c r="B22" s="1759"/>
      <c r="C22" s="1760"/>
      <c r="D22" s="717">
        <f ca="1">IF(C19&lt;D19,D19/C19-1,C19/D19-1)</f>
        <v>0.77281583664562392</v>
      </c>
      <c r="E22" s="126"/>
      <c r="F22" s="126"/>
      <c r="G22" s="126"/>
      <c r="H22" s="126"/>
      <c r="I22" s="126"/>
    </row>
    <row r="23" spans="1:36" ht="13.5" thickBot="1">
      <c r="A23" s="1739"/>
      <c r="B23" s="1739"/>
      <c r="C23" s="1739"/>
      <c r="D23" s="1739"/>
      <c r="E23" s="126"/>
      <c r="F23" s="126"/>
      <c r="G23" s="126"/>
      <c r="H23" s="126"/>
      <c r="I23" s="126"/>
    </row>
    <row r="24" spans="1:36" ht="14.25">
      <c r="A24" s="3658" t="s">
        <v>1299</v>
      </c>
      <c r="B24" s="1754" t="s">
        <v>1291</v>
      </c>
      <c r="C24" s="133">
        <f>IF(B30=0,0,D30)</f>
        <v>0</v>
      </c>
      <c r="D24" s="1761"/>
      <c r="E24" s="126"/>
      <c r="F24" s="126"/>
      <c r="G24" s="126"/>
      <c r="H24" s="126"/>
      <c r="I24" s="126"/>
    </row>
    <row r="25" spans="1:36" ht="14.25">
      <c r="A25" s="3659"/>
      <c r="B25" s="1018" t="s">
        <v>1295</v>
      </c>
      <c r="C25" s="138">
        <f>IF(B30=0,0,C30)</f>
        <v>0</v>
      </c>
      <c r="D25" s="1762"/>
      <c r="E25" s="126"/>
      <c r="F25" s="126"/>
      <c r="G25" s="126"/>
      <c r="H25" s="126"/>
      <c r="I25" s="126"/>
    </row>
    <row r="26" spans="1:36" ht="13.5" customHeight="1">
      <c r="A26" s="1763" t="s">
        <v>1300</v>
      </c>
      <c r="B26" s="139" t="s">
        <v>1301</v>
      </c>
      <c r="C26" s="139" t="s">
        <v>1302</v>
      </c>
      <c r="D26" s="140" t="s">
        <v>1303</v>
      </c>
      <c r="E26" s="126"/>
      <c r="F26" s="126"/>
      <c r="G26" s="126"/>
      <c r="H26" s="126"/>
      <c r="I26" s="126"/>
    </row>
    <row r="27" spans="1:36" ht="14.25">
      <c r="A27" s="1763"/>
      <c r="B27" s="139">
        <v>0</v>
      </c>
      <c r="C27" s="139">
        <v>0</v>
      </c>
      <c r="D27" s="140">
        <f>ROUND(C27*B27/10000,0)</f>
        <v>0</v>
      </c>
      <c r="E27" s="126"/>
      <c r="F27" s="126"/>
      <c r="G27" s="126"/>
      <c r="H27" s="126"/>
      <c r="I27" s="126"/>
    </row>
    <row r="28" spans="1:36" ht="14.25">
      <c r="A28" s="1763"/>
      <c r="B28" s="139"/>
      <c r="C28" s="139"/>
      <c r="D28" s="140"/>
      <c r="E28" s="126"/>
      <c r="F28" s="126"/>
      <c r="G28" s="126"/>
      <c r="H28" s="126"/>
      <c r="I28" s="126"/>
    </row>
    <row r="29" spans="1:36" ht="14.25">
      <c r="A29" s="1763"/>
      <c r="B29" s="139"/>
      <c r="C29" s="139"/>
      <c r="D29" s="140"/>
      <c r="E29" s="126"/>
      <c r="F29" s="126"/>
      <c r="G29" s="126"/>
      <c r="H29" s="126"/>
      <c r="I29" s="126"/>
    </row>
    <row r="30" spans="1:36" ht="15" thickBot="1">
      <c r="A30" s="139" t="s">
        <v>1304</v>
      </c>
      <c r="B30" s="139"/>
      <c r="C30" s="139"/>
      <c r="D30" s="139"/>
      <c r="E30" s="2295" t="s">
        <v>2132</v>
      </c>
      <c r="F30" s="126"/>
      <c r="G30" s="126"/>
      <c r="H30" s="126"/>
      <c r="I30" s="126"/>
    </row>
    <row r="31" spans="1:36" s="2301" customFormat="1" ht="26.45" customHeight="1" thickTop="1" thickBot="1">
      <c r="A31" s="2296"/>
      <c r="B31" s="2297"/>
      <c r="C31" s="2297"/>
      <c r="D31" s="2297"/>
      <c r="E31" s="2297"/>
      <c r="F31" s="2297"/>
      <c r="G31" s="2297"/>
      <c r="H31" s="2297"/>
      <c r="I31" s="2298" t="s">
        <v>2133</v>
      </c>
      <c r="J31" s="2681"/>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1">
        <f ca="1">IF(D32="总价",G19-C24,G20-C25)</f>
        <v>169025</v>
      </c>
      <c r="D32" s="1767" t="s">
        <v>3883</v>
      </c>
      <c r="E32" s="126"/>
      <c r="F32" s="126"/>
      <c r="G32" s="126"/>
      <c r="H32" s="126"/>
      <c r="I32" s="126"/>
    </row>
    <row r="33" spans="1:15" ht="15">
      <c r="A33" s="778" t="s">
        <v>1306</v>
      </c>
      <c r="B33" s="1768"/>
      <c r="C33" s="1769" t="s">
        <v>3884</v>
      </c>
      <c r="D33" s="1770" t="s">
        <v>3425</v>
      </c>
      <c r="E33" s="1771" t="s">
        <v>1307</v>
      </c>
      <c r="F33" s="1772" t="str">
        <f>IF(D32="楼面单价","取值（单价）","取值（总价）")</f>
        <v>取值（总价）</v>
      </c>
      <c r="G33" s="126"/>
      <c r="H33" s="126"/>
      <c r="I33" s="126"/>
    </row>
    <row r="34" spans="1:15" ht="15">
      <c r="A34" s="1773"/>
      <c r="B34" s="1774" t="s">
        <v>1308</v>
      </c>
      <c r="C34" s="145">
        <f ca="1">IF(C33="自定义",F34,C32-C35)</f>
        <v>35495</v>
      </c>
      <c r="D34" s="853">
        <f ca="1">IF(C33="自定义",ROUND(C34/C32,3),IF(C33="收益比率",SUMIF(INDIRECT("'"&amp;D33&amp;"'"&amp;"!b:b"),"土地收益比率",INDIRECT("'"&amp;D33&amp;"'"&amp;"!c:c")),SUMIF(INDIRECT("'"&amp;D33&amp;"'"&amp;"!b:b"),"土地成本比率",INDIRECT("'"&amp;D33&amp;"'"&amp;"!c:c"))))</f>
        <v>0.20999999999999996</v>
      </c>
      <c r="E34" s="1775" t="s">
        <v>1309</v>
      </c>
      <c r="F34" s="1322"/>
      <c r="G34" s="126"/>
      <c r="H34" s="126"/>
      <c r="I34" s="126"/>
    </row>
    <row r="35" spans="1:15" ht="15.75" thickBot="1">
      <c r="A35" s="1776"/>
      <c r="B35" s="1777" t="s">
        <v>1310</v>
      </c>
      <c r="C35" s="1162">
        <f ca="1">IF(C33="自定义",F35,ROUND(C32*D35,0))</f>
        <v>133530</v>
      </c>
      <c r="D35" s="1163">
        <f ca="1">IF(C33="自定义",ROUND(C35/C32,3),IF(C33="收益比率",SUMIF(INDIRECT("'"&amp;D33&amp;"'"&amp;"!b:b"),"建筑物收益比率",INDIRECT("'"&amp;D33&amp;"'"&amp;"!c:c")),SUMIF(INDIRECT("'"&amp;D33&amp;"'"&amp;"!b:b"),"建筑物成本比率",INDIRECT("'"&amp;D33&amp;"'"&amp;"!c:c"))))</f>
        <v>0.79</v>
      </c>
      <c r="E35" s="1778" t="s">
        <v>1311</v>
      </c>
      <c r="F35" s="151"/>
      <c r="G35" s="126"/>
      <c r="H35" s="126"/>
      <c r="I35" s="126"/>
    </row>
    <row r="36" spans="1:15" ht="15.75" thickBot="1">
      <c r="A36" s="3678" t="s">
        <v>1312</v>
      </c>
      <c r="B36" s="1779" t="s">
        <v>1313</v>
      </c>
      <c r="C36" s="142"/>
      <c r="D36" s="1780"/>
      <c r="E36" s="1781"/>
      <c r="F36" s="1782"/>
      <c r="G36" s="126"/>
      <c r="H36" s="126"/>
      <c r="I36" s="126"/>
    </row>
    <row r="37" spans="1:15" ht="15.75" thickBot="1">
      <c r="A37" s="3679"/>
      <c r="B37" s="1666" t="s">
        <v>1314</v>
      </c>
      <c r="C37" s="144"/>
      <c r="D37" s="1131"/>
      <c r="E37" s="1131"/>
      <c r="F37" s="1782"/>
      <c r="G37" s="126"/>
      <c r="H37" s="126"/>
      <c r="I37" s="126"/>
    </row>
    <row r="38" spans="1:15" ht="15.75" thickBot="1">
      <c r="A38" s="3680"/>
      <c r="B38" s="1783" t="s">
        <v>1315</v>
      </c>
      <c r="C38" s="670"/>
      <c r="D38" s="1784" t="s">
        <v>1316</v>
      </c>
      <c r="E38" s="1131"/>
      <c r="F38" s="1782"/>
      <c r="G38" s="126"/>
      <c r="H38" s="126"/>
      <c r="I38" s="126"/>
    </row>
    <row r="39" spans="1:15" ht="15">
      <c r="A39" s="1756" t="s">
        <v>1317</v>
      </c>
      <c r="B39" s="1785" t="s">
        <v>1318</v>
      </c>
      <c r="C39" s="1786" t="s">
        <v>1319</v>
      </c>
      <c r="D39" s="1786" t="s">
        <v>1320</v>
      </c>
      <c r="E39" s="1787" t="s">
        <v>1321</v>
      </c>
      <c r="F39" s="1782"/>
      <c r="G39" s="126"/>
      <c r="H39" s="126"/>
      <c r="I39" s="126"/>
    </row>
    <row r="40" spans="1:15" ht="14.25">
      <c r="A40" s="1788" t="s">
        <v>1322</v>
      </c>
      <c r="B40" s="146"/>
      <c r="C40" s="147"/>
      <c r="D40" s="147"/>
      <c r="E40" s="148"/>
      <c r="F40" s="1782"/>
      <c r="G40" s="126"/>
      <c r="H40" s="126"/>
      <c r="I40" s="126"/>
    </row>
    <row r="41" spans="1:15" ht="14.25">
      <c r="A41" s="1788" t="s">
        <v>1323</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69"/>
      <c r="B43" s="1569"/>
      <c r="C43" s="1569"/>
      <c r="D43" s="1569"/>
      <c r="E43" s="1569"/>
      <c r="F43" s="1790"/>
      <c r="G43" s="1790"/>
      <c r="H43" s="1790"/>
      <c r="I43" s="1791"/>
    </row>
    <row r="44" spans="1:15" ht="18.75">
      <c r="A44" s="1792" t="s">
        <v>1324</v>
      </c>
      <c r="B44" s="1793"/>
      <c r="C44" s="1793"/>
      <c r="D44" s="1794"/>
      <c r="E44" s="1794"/>
      <c r="F44" s="1795"/>
      <c r="G44" s="1795"/>
      <c r="H44" s="1795"/>
      <c r="I44" s="1795"/>
      <c r="J44" s="1796" t="s">
        <v>1325</v>
      </c>
      <c r="K44" s="1797"/>
      <c r="L44" s="1797"/>
      <c r="M44" s="1797"/>
      <c r="N44" s="1797"/>
      <c r="O44" s="1797"/>
    </row>
    <row r="45" spans="1:15" ht="14.25" customHeight="1" thickBot="1">
      <c r="A45" s="3655" t="s">
        <v>1326</v>
      </c>
      <c r="B45" s="3656"/>
      <c r="C45" s="3657"/>
      <c r="D45" s="152">
        <f ca="1">ROUND(H101*F45,0)</f>
        <v>169025</v>
      </c>
      <c r="E45" s="153" t="s">
        <v>1327</v>
      </c>
      <c r="F45" s="154">
        <v>1</v>
      </c>
      <c r="G45" s="155" t="s">
        <v>1328</v>
      </c>
      <c r="H45" s="126"/>
      <c r="I45" s="126"/>
      <c r="J45" s="3733" t="s">
        <v>1329</v>
      </c>
      <c r="K45" s="3733"/>
      <c r="L45" s="3733"/>
      <c r="M45" s="3733"/>
      <c r="N45" s="3733"/>
      <c r="O45" s="3733"/>
    </row>
    <row r="46" spans="1:15" ht="14.25" customHeight="1">
      <c r="A46" s="3652" t="s">
        <v>1330</v>
      </c>
      <c r="B46" s="3653"/>
      <c r="C46" s="3653"/>
      <c r="D46" s="3653"/>
      <c r="E46" s="3653"/>
      <c r="F46" s="3653"/>
      <c r="G46" s="3654"/>
      <c r="H46" s="1798"/>
      <c r="I46" s="156"/>
      <c r="J46" s="2515">
        <v>1</v>
      </c>
      <c r="K46" s="3714" t="s">
        <v>1331</v>
      </c>
      <c r="L46" s="3714"/>
      <c r="M46" s="3734"/>
      <c r="N46" s="3734"/>
      <c r="O46" s="3734"/>
    </row>
    <row r="47" spans="1:15" ht="12" customHeight="1">
      <c r="A47" s="157" t="s">
        <v>1332</v>
      </c>
      <c r="B47" s="158"/>
      <c r="C47" s="159"/>
      <c r="D47" s="1079" t="s">
        <v>1333</v>
      </c>
      <c r="E47" s="299" t="s">
        <v>1334</v>
      </c>
      <c r="F47" s="160" t="s">
        <v>1335</v>
      </c>
      <c r="G47" s="2538" t="s">
        <v>1336</v>
      </c>
      <c r="H47" s="2539"/>
      <c r="I47" s="156"/>
      <c r="J47" s="2515">
        <v>2</v>
      </c>
      <c r="K47" s="3714" t="s">
        <v>1337</v>
      </c>
      <c r="L47" s="3714"/>
      <c r="M47" s="3735">
        <f>'数据-取费表'!B2</f>
        <v>45401</v>
      </c>
      <c r="N47" s="3735"/>
      <c r="O47" s="3735"/>
    </row>
    <row r="48" spans="1:15" ht="25.5">
      <c r="A48" s="3683" t="s">
        <v>1338</v>
      </c>
      <c r="B48" s="3666"/>
      <c r="C48" s="3666"/>
      <c r="D48" s="2316" t="b">
        <f>IF(H48="情况1",0,IF(H48="情况2",D52,IF(H48="情况3",D53,IF(H48="情况4",D54))))</f>
        <v>0</v>
      </c>
      <c r="E48" s="2326" t="str">
        <f>IF(H48="情况4","(销售额-原购置价)×税（费）率","销售额×税（费）率")</f>
        <v>销售额×税（费）率</v>
      </c>
      <c r="F48" s="2540">
        <f>IF(H48="情况1","免征",'数据-取费表'!B41)</f>
        <v>5.6000000000000001E-2</v>
      </c>
      <c r="G48" s="2541" t="s">
        <v>1339</v>
      </c>
      <c r="H48" s="2542"/>
      <c r="I48" s="1798"/>
      <c r="J48" s="2515">
        <v>3</v>
      </c>
      <c r="K48" s="3714" t="s">
        <v>1340</v>
      </c>
      <c r="L48" s="3714"/>
      <c r="M48" s="3736">
        <f ca="1">H101</f>
        <v>169025</v>
      </c>
      <c r="N48" s="3736"/>
      <c r="O48" s="3736"/>
    </row>
    <row r="49" spans="1:35" ht="25.5" customHeight="1">
      <c r="A49" s="2325" t="s">
        <v>1341</v>
      </c>
      <c r="B49" s="3650" t="s">
        <v>1342</v>
      </c>
      <c r="C49" s="3650"/>
      <c r="D49" s="1582">
        <v>0</v>
      </c>
      <c r="E49" s="321" t="s">
        <v>1343</v>
      </c>
      <c r="F49" s="2416" t="s">
        <v>28</v>
      </c>
      <c r="G49" s="3720"/>
      <c r="H49" s="2302" t="s">
        <v>2134</v>
      </c>
      <c r="I49" s="2303"/>
      <c r="J49" s="2515">
        <v>4</v>
      </c>
      <c r="K49" s="3714" t="str">
        <f>IF(项目基本情况!E8="房地产抵押价值","房地产抵押价值","抵押担保权已注销时的房地产抵押价值")</f>
        <v>房地产抵押价值</v>
      </c>
      <c r="L49" s="3714"/>
      <c r="M49" s="3736">
        <f ca="1">IF(项目基本情况!E8="房地产抵押价值",H107,H109)</f>
        <v>169025</v>
      </c>
      <c r="N49" s="3736"/>
      <c r="O49" s="3736"/>
    </row>
    <row r="50" spans="1:35" ht="25.5" customHeight="1">
      <c r="A50" s="2543"/>
      <c r="B50" s="3650" t="s">
        <v>1344</v>
      </c>
      <c r="C50" s="3650"/>
      <c r="D50" s="2544"/>
      <c r="E50" s="329"/>
      <c r="F50" s="2416"/>
      <c r="G50" s="3721"/>
      <c r="H50" s="2304" t="s">
        <v>2135</v>
      </c>
      <c r="I50" s="2303"/>
      <c r="J50" s="3733" t="s">
        <v>1345</v>
      </c>
      <c r="K50" s="3733"/>
      <c r="L50" s="3733"/>
      <c r="M50" s="3733"/>
      <c r="N50" s="3733"/>
      <c r="O50" s="3733"/>
    </row>
    <row r="51" spans="1:35" ht="20.45" customHeight="1">
      <c r="A51" s="2545"/>
      <c r="B51" s="3650" t="s">
        <v>1346</v>
      </c>
      <c r="C51" s="3650"/>
      <c r="D51" s="1079"/>
      <c r="E51" s="324"/>
      <c r="F51" s="2416"/>
      <c r="G51" s="3722"/>
      <c r="H51" s="2304" t="s">
        <v>2136</v>
      </c>
      <c r="I51" s="2303"/>
      <c r="J51" s="2516" t="s">
        <v>1347</v>
      </c>
      <c r="K51" s="3714" t="s">
        <v>1348</v>
      </c>
      <c r="L51" s="3714"/>
      <c r="M51" s="2516" t="s">
        <v>1349</v>
      </c>
      <c r="N51" s="2516" t="s">
        <v>1350</v>
      </c>
      <c r="O51" s="2516" t="s">
        <v>1351</v>
      </c>
    </row>
    <row r="52" spans="1:35" ht="24" customHeight="1">
      <c r="A52" s="2327" t="s">
        <v>1352</v>
      </c>
      <c r="B52" s="3650" t="s">
        <v>1353</v>
      </c>
      <c r="C52" s="3650"/>
      <c r="D52" s="1079">
        <f ca="1">ROUND(D45*'数据-取费表'!B41/(1+'数据-取费表'!C42),0)</f>
        <v>9015</v>
      </c>
      <c r="E52" s="2326" t="s">
        <v>1354</v>
      </c>
      <c r="F52" s="2546">
        <f>'数据-取费表'!B41</f>
        <v>5.6000000000000001E-2</v>
      </c>
      <c r="G52" s="2547"/>
      <c r="H52" s="2536"/>
      <c r="I52" s="1799"/>
      <c r="J52" s="2515">
        <v>1</v>
      </c>
      <c r="K52" s="3715" t="s">
        <v>1355</v>
      </c>
      <c r="L52" s="3715"/>
      <c r="M52" s="2517" t="b">
        <f>D48</f>
        <v>0</v>
      </c>
      <c r="N52" s="2515" t="str">
        <f>E48</f>
        <v>销售额×税（费）率</v>
      </c>
      <c r="O52" s="2518">
        <f>F48</f>
        <v>5.6000000000000001E-2</v>
      </c>
    </row>
    <row r="53" spans="1:35" ht="12" customHeight="1">
      <c r="A53" s="2327" t="s">
        <v>1356</v>
      </c>
      <c r="B53" s="3676" t="s">
        <v>2291</v>
      </c>
      <c r="C53" s="3677"/>
      <c r="D53" s="1079">
        <f ca="1">ROUND(D45*'数据-取费表'!B41/(1+'数据-取费表'!C42),0)</f>
        <v>9015</v>
      </c>
      <c r="E53" s="2326" t="s">
        <v>1354</v>
      </c>
      <c r="F53" s="2546">
        <f>'数据-取费表'!B41</f>
        <v>5.6000000000000001E-2</v>
      </c>
      <c r="G53" s="2547"/>
      <c r="H53" s="2536"/>
      <c r="I53" s="1799"/>
      <c r="J53" s="2515">
        <v>2</v>
      </c>
      <c r="K53" s="3715" t="s">
        <v>1357</v>
      </c>
      <c r="L53" s="3715"/>
      <c r="M53" s="2517">
        <f t="shared" ref="M53:O54" ca="1" si="0">D55</f>
        <v>85</v>
      </c>
      <c r="N53" s="2515" t="str">
        <f t="shared" si="0"/>
        <v>销售额×税（费）率</v>
      </c>
      <c r="O53" s="2518" t="str">
        <f t="shared" si="0"/>
        <v>免征</v>
      </c>
    </row>
    <row r="54" spans="1:35" ht="12" customHeight="1">
      <c r="A54" s="2327" t="s">
        <v>1358</v>
      </c>
      <c r="B54" s="3676" t="s">
        <v>2292</v>
      </c>
      <c r="C54" s="3677"/>
      <c r="D54" s="1079">
        <f ca="1">C68</f>
        <v>9015</v>
      </c>
      <c r="E54" s="324" t="s">
        <v>1359</v>
      </c>
      <c r="F54" s="2546">
        <f>'数据-取费表'!B41</f>
        <v>5.6000000000000001E-2</v>
      </c>
      <c r="G54" s="2547"/>
      <c r="H54" s="2548"/>
      <c r="I54" s="1799"/>
      <c r="J54" s="2515">
        <v>3</v>
      </c>
      <c r="K54" s="3715" t="s">
        <v>1360</v>
      </c>
      <c r="L54" s="3715"/>
      <c r="M54" s="2517">
        <f t="shared" ca="1" si="0"/>
        <v>95668</v>
      </c>
      <c r="N54" s="2515" t="str">
        <f t="shared" si="0"/>
        <v>增值额×税（费）率</v>
      </c>
      <c r="O54" s="2519" t="str">
        <f t="shared" si="0"/>
        <v>免征</v>
      </c>
    </row>
    <row r="55" spans="1:35" ht="24" customHeight="1">
      <c r="A55" s="3665" t="s">
        <v>1361</v>
      </c>
      <c r="B55" s="3666"/>
      <c r="C55" s="3666"/>
      <c r="D55" s="2316">
        <f ca="1">IF(H55="个人住宅",0,ROUND(D45*I55,0))</f>
        <v>85</v>
      </c>
      <c r="E55" s="2326" t="s">
        <v>1362</v>
      </c>
      <c r="F55" s="2546" t="str">
        <f>IF(H55="正常",I55,"免征")</f>
        <v>免征</v>
      </c>
      <c r="G55" s="2547"/>
      <c r="H55" s="2542"/>
      <c r="I55" s="162">
        <f>'数据-取费表'!B49</f>
        <v>5.0000000000000001E-4</v>
      </c>
      <c r="J55" s="2515">
        <f>IF(H59="非个人房产","",4)</f>
        <v>4</v>
      </c>
      <c r="K55" s="3715" t="str">
        <f>IF(H59="非个人房产","——","个人所得税")</f>
        <v>个人所得税</v>
      </c>
      <c r="L55" s="3715"/>
      <c r="M55" s="2520">
        <f ca="1">D59</f>
        <v>1610</v>
      </c>
      <c r="N55" s="2032" t="str">
        <f>E59</f>
        <v>差额计税</v>
      </c>
      <c r="O55" s="2521">
        <f>F59</f>
        <v>0.01</v>
      </c>
    </row>
    <row r="56" spans="1:35" ht="24.75">
      <c r="A56" s="3665" t="s">
        <v>1363</v>
      </c>
      <c r="B56" s="3666"/>
      <c r="C56" s="3666"/>
      <c r="D56" s="2316">
        <f ca="1">IF(H56="个人住宅",D57,D58)</f>
        <v>95668</v>
      </c>
      <c r="E56" s="2326" t="s">
        <v>1364</v>
      </c>
      <c r="F56" s="2546" t="str">
        <f>IF(H56="正常",F58,"免征")</f>
        <v>免征</v>
      </c>
      <c r="G56" s="2549" t="s">
        <v>1365</v>
      </c>
      <c r="H56" s="2550"/>
      <c r="I56" s="1800"/>
      <c r="J56" s="2515" t="str">
        <f>IF(项目基本情况!K6="上海银行",IF(J55="",4,J55+1),"")</f>
        <v/>
      </c>
      <c r="K56" s="3738" t="str">
        <f>IF(项目基本情况!K6="上海银行","其他处置费用","")</f>
        <v/>
      </c>
      <c r="L56" s="3739"/>
      <c r="M56" s="2517" t="str">
        <f>IF(项目基本情况!K6="上海银行",M69,"")</f>
        <v/>
      </c>
      <c r="N56" s="3738" t="str">
        <f>IF(项目基本情况!K6="上海银行","包含处置中涉及的律师、诉讼、拍卖、评估等费用","")</f>
        <v/>
      </c>
      <c r="O56" s="3741"/>
    </row>
    <row r="57" spans="1:35" ht="12.75">
      <c r="A57" s="2327" t="s">
        <v>1341</v>
      </c>
      <c r="B57" s="3676" t="s">
        <v>1366</v>
      </c>
      <c r="C57" s="3677"/>
      <c r="D57" s="1582">
        <v>0</v>
      </c>
      <c r="E57" s="321" t="s">
        <v>1343</v>
      </c>
      <c r="F57" s="299"/>
      <c r="G57" s="2547"/>
      <c r="H57" s="2551"/>
      <c r="I57" s="1800"/>
      <c r="J57" s="3715">
        <f>IF(AND(J55="",J56=""),4,IF(项目基本情况!K6="上海银行",结果表!J56+1,结果表!J55+1))</f>
        <v>5</v>
      </c>
      <c r="K57" s="3715" t="s">
        <v>1367</v>
      </c>
      <c r="L57" s="2522" t="s">
        <v>1368</v>
      </c>
      <c r="M57" s="2523"/>
      <c r="N57" s="2524">
        <f ca="1">SUMIF(M52:M56,"&lt;9e307")</f>
        <v>97363</v>
      </c>
      <c r="O57" s="2525"/>
      <c r="P57" s="2682">
        <f ca="1">N57/M49</f>
        <v>0.57602721490903708</v>
      </c>
    </row>
    <row r="58" spans="1:35" ht="24.75">
      <c r="A58" s="2327" t="s">
        <v>1352</v>
      </c>
      <c r="B58" s="3676" t="s">
        <v>1369</v>
      </c>
      <c r="C58" s="3650"/>
      <c r="D58" s="2316">
        <f ca="1">IF(H58="转让取得",C81,C97)</f>
        <v>95668</v>
      </c>
      <c r="E58" s="2326" t="s">
        <v>1364</v>
      </c>
      <c r="F58" s="299" t="s">
        <v>28</v>
      </c>
      <c r="G58" s="2547"/>
      <c r="H58" s="2550"/>
      <c r="I58" s="1800"/>
      <c r="J58" s="3715"/>
      <c r="K58" s="3715"/>
      <c r="L58" s="2522" t="s">
        <v>1370</v>
      </c>
      <c r="M58" s="2526"/>
      <c r="N58" s="2527" t="str">
        <f ca="1">NUMBERSTRING(INT(N57*10000),2)&amp;"元整"</f>
        <v>玖亿柒仟叁佰陆拾叁万元整</v>
      </c>
      <c r="O58" s="2528"/>
    </row>
    <row r="59" spans="1:35" ht="24.75" thickBot="1">
      <c r="A59" s="3718" t="s">
        <v>1371</v>
      </c>
      <c r="B59" s="3719"/>
      <c r="C59" s="3719"/>
      <c r="D59" s="2552">
        <f ca="1">IF(H59="非个人房产","——",IF(H59="个人住宅（满五唯一有凭证）",0,IF(H59="个人其他（无凭证）",ROUND(D45*F59,0),ROUND(C67*F59,0))))</f>
        <v>1610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6"/>
      <c r="I59" s="2305" t="s">
        <v>2137</v>
      </c>
      <c r="J59" s="3716">
        <f>J57+1</f>
        <v>6</v>
      </c>
      <c r="K59" s="3715" t="s">
        <v>1372</v>
      </c>
      <c r="L59" s="2515" t="s">
        <v>1368</v>
      </c>
      <c r="M59" s="2529"/>
      <c r="N59" s="2530">
        <f ca="1">M49-N57</f>
        <v>71662</v>
      </c>
      <c r="O59" s="2531"/>
    </row>
    <row r="60" spans="1:35" ht="12" customHeight="1">
      <c r="A60" s="1801"/>
      <c r="B60" s="1739"/>
      <c r="C60" s="1739"/>
      <c r="D60" s="1739"/>
      <c r="E60" s="1570"/>
      <c r="F60" s="1800"/>
      <c r="G60" s="1800"/>
      <c r="H60" s="1802"/>
      <c r="I60" s="126"/>
      <c r="J60" s="3717"/>
      <c r="K60" s="3715"/>
      <c r="L60" s="2522" t="s">
        <v>1370</v>
      </c>
      <c r="M60" s="2526"/>
      <c r="N60" s="2527" t="str">
        <f ca="1">NUMBERSTRING(INT(N59*10000),2)&amp;"元整"</f>
        <v>柒亿壹仟陆佰陆拾贰万元整</v>
      </c>
      <c r="O60" s="2528"/>
    </row>
    <row r="61" spans="1:35" ht="13.5" thickBot="1">
      <c r="A61" s="3663" t="s">
        <v>1373</v>
      </c>
      <c r="B61" s="3663"/>
      <c r="C61" s="3663"/>
      <c r="D61" s="3663"/>
      <c r="E61" s="3663"/>
      <c r="F61" s="1800"/>
      <c r="G61" s="1800"/>
      <c r="H61" s="1802"/>
      <c r="I61" s="126"/>
      <c r="J61" s="2515">
        <f>J59+1</f>
        <v>7</v>
      </c>
      <c r="K61" s="3715" t="s">
        <v>1374</v>
      </c>
      <c r="L61" s="3715"/>
      <c r="M61" s="2532"/>
      <c r="N61" s="2533">
        <f ca="1">ROUND(N59*10000/'数据-汇总表'!E3,0)</f>
        <v>6913</v>
      </c>
      <c r="O61" s="2534"/>
    </row>
    <row r="62" spans="1:35" ht="12.75">
      <c r="A62" s="3681" t="s">
        <v>1375</v>
      </c>
      <c r="B62" s="3682"/>
      <c r="C62" s="2013"/>
      <c r="D62" s="2013" t="s">
        <v>1376</v>
      </c>
      <c r="E62" s="163" t="s">
        <v>1377</v>
      </c>
      <c r="F62" s="1800"/>
      <c r="G62" s="1800"/>
      <c r="H62" s="1802"/>
      <c r="I62" s="126"/>
    </row>
    <row r="63" spans="1:35" ht="12.75">
      <c r="A63" s="170" t="s">
        <v>330</v>
      </c>
      <c r="B63" s="164" t="s">
        <v>1378</v>
      </c>
      <c r="C63" s="2556">
        <f ca="1">ROUND((C64+C65)/(1+'数据-取费表'!C42),0)</f>
        <v>160976</v>
      </c>
      <c r="D63" s="164"/>
      <c r="E63" s="165"/>
      <c r="F63" s="1800"/>
      <c r="G63" s="1800"/>
      <c r="H63" s="1802"/>
      <c r="I63" s="126"/>
      <c r="J63" s="3740" t="s">
        <v>1379</v>
      </c>
      <c r="K63" s="1324" t="s">
        <v>1380</v>
      </c>
      <c r="L63" s="1324">
        <f ca="1">IF(M49&gt;10000,M49*0.5%,IF(AND(M49&gt;1000,M49&lt;=10000),M49*1%,IF(AND(M49&gt;100,M49&lt;=1000),M49*3%,IF(AND(M49&gt;10,M49&lt;=100),M49*5%,M49*8%))))</f>
        <v>845.125</v>
      </c>
      <c r="M63" s="299">
        <f ca="1">ROUND(L63,1)</f>
        <v>845.1</v>
      </c>
      <c r="N63" s="2535"/>
      <c r="Z63" s="1744"/>
      <c r="AI63" s="1745"/>
    </row>
    <row r="64" spans="1:35" ht="14.25" customHeight="1">
      <c r="A64" s="166" t="s">
        <v>325</v>
      </c>
      <c r="B64" s="167" t="s">
        <v>1381</v>
      </c>
      <c r="C64" s="2557">
        <f ca="1">D45</f>
        <v>169025</v>
      </c>
      <c r="D64" s="167" t="s">
        <v>26</v>
      </c>
      <c r="E64" s="169"/>
      <c r="F64" s="1800"/>
      <c r="G64" s="1800"/>
      <c r="H64" s="1802"/>
      <c r="I64" s="126"/>
      <c r="J64" s="3740"/>
      <c r="K64" s="1324" t="s">
        <v>1382</v>
      </c>
      <c r="L64" s="1324">
        <f ca="1">IF(M49&gt;2000,M49*0.5%,IF(AND(M49&gt;1000,M49&lt;=2000),M49*0.6%,IF(AND(M49&gt;500,M49&lt;=1000),M49*0.7%,IF(AND(M49&gt;200,M49&lt;=500),M49*0.8%,IF(AND(M49&gt;100,M49&lt;=200),M49*0.9%,IF(AND(M49&gt;50,M49&lt;=100),M49*1%,IF(AND(M49&gt;20,M49&lt;=50),M49*1.5%,IF(AND(M49&gt;10,M49&lt;=20),M49*2%,IF(AND(M49&gt;1,M49&lt;=10),M49*2.5%)))))))))</f>
        <v>845.125</v>
      </c>
      <c r="M64" s="299">
        <f t="shared" ref="M64:M65" ca="1" si="1">ROUND(L64,1)</f>
        <v>845.1</v>
      </c>
      <c r="N64" s="2536" t="s">
        <v>1383</v>
      </c>
      <c r="Z64" s="1744"/>
      <c r="AI64" s="1745"/>
    </row>
    <row r="65" spans="1:35" ht="14.25" customHeight="1">
      <c r="A65" s="166" t="s">
        <v>326</v>
      </c>
      <c r="B65" s="167" t="s">
        <v>1384</v>
      </c>
      <c r="C65" s="2558"/>
      <c r="D65" s="167"/>
      <c r="E65" s="169"/>
      <c r="F65" s="1800"/>
      <c r="G65" s="1800"/>
      <c r="H65" s="1802"/>
      <c r="I65" s="126"/>
      <c r="J65" s="3740"/>
      <c r="K65" s="1324" t="s">
        <v>1385</v>
      </c>
      <c r="L65" s="1324">
        <f ca="1">IF(M49&gt;1000,M49*0.1%,IF(AND(M49&gt;500,M49&lt;=1000),M49*0.5%,IF(AND(M49&gt;50,M49&lt;=500),M49*1%,IF(AND(M49&gt;1,M49&lt;=50),M49*1.5%))))</f>
        <v>169.02500000000001</v>
      </c>
      <c r="M65" s="299">
        <f t="shared" ca="1" si="1"/>
        <v>169</v>
      </c>
      <c r="N65" s="2536" t="s">
        <v>1383</v>
      </c>
      <c r="Z65" s="1744"/>
      <c r="AI65" s="1745"/>
    </row>
    <row r="66" spans="1:35" ht="14.25" customHeight="1">
      <c r="A66" s="170" t="s">
        <v>327</v>
      </c>
      <c r="B66" s="171" t="s">
        <v>1386</v>
      </c>
      <c r="C66" s="2559"/>
      <c r="D66" s="171" t="s">
        <v>26</v>
      </c>
      <c r="E66" s="1330" t="s">
        <v>671</v>
      </c>
      <c r="F66" s="1800"/>
      <c r="G66" s="1800"/>
      <c r="H66" s="1802"/>
      <c r="I66" s="126"/>
      <c r="J66" s="3740"/>
      <c r="K66" s="1324" t="s">
        <v>1387</v>
      </c>
      <c r="L66" s="1324">
        <f ca="1">M49*0.5%</f>
        <v>845.125</v>
      </c>
      <c r="M66" s="299">
        <f ca="1">IF(L66&gt;0.5,0.5,ROUND(L66,0))</f>
        <v>0.5</v>
      </c>
      <c r="N66" s="2536" t="s">
        <v>1388</v>
      </c>
      <c r="Z66" s="1744"/>
      <c r="AI66" s="1745"/>
    </row>
    <row r="67" spans="1:35" ht="14.25" customHeight="1">
      <c r="A67" s="170" t="s">
        <v>328</v>
      </c>
      <c r="B67" s="171" t="s">
        <v>1389</v>
      </c>
      <c r="C67" s="2560">
        <f ca="1">C63-C66</f>
        <v>160976</v>
      </c>
      <c r="D67" s="167" t="s">
        <v>26</v>
      </c>
      <c r="E67" s="169"/>
      <c r="F67" s="1800"/>
      <c r="G67" s="1800"/>
      <c r="H67" s="1802"/>
      <c r="I67" s="126"/>
      <c r="J67" s="3740"/>
      <c r="K67" s="1324" t="s">
        <v>1390</v>
      </c>
      <c r="L67" s="1324">
        <f ca="1">IF(M49&gt;=10000,(8.25+(M49-10000)*0.01%),IF(AND(M49&gt;=8000,M49&lt;10000),(7.85+(M49-8000)*0.02%),IF(AND(M49&gt;=5000,M49&lt;8000),(6.65+(M49-5000)*0.04%),IF(AND(M49&gt;=2000,M49&lt;5000),(4.25+(PM49-2000)*0.08%),IF(AND(M49&gt;=1000,M49&lt;2000),(2.75+(M49-1000)*0.15%),IF(AND(M49&gt;=100,M49&lt;1000),(0.5+(M49-100)*0.25%),IF(AND(M49&gt;0,M49&lt;100),M49*0.5%)))))))</f>
        <v>24.152500000000003</v>
      </c>
      <c r="M67" s="299">
        <f ca="1">ROUND(L67*0.9,1)</f>
        <v>21.7</v>
      </c>
      <c r="N67" s="2535"/>
      <c r="Z67" s="1744"/>
      <c r="AI67" s="1745"/>
    </row>
    <row r="68" spans="1:35" ht="14.25" customHeight="1" thickBot="1">
      <c r="A68" s="173" t="s">
        <v>329</v>
      </c>
      <c r="B68" s="174" t="s">
        <v>1391</v>
      </c>
      <c r="C68" s="2561">
        <f ca="1">IF(C67&lt;=0,0,ROUND(C67*D68,0))</f>
        <v>9015</v>
      </c>
      <c r="D68" s="2562">
        <f>'数据-取费表'!B41</f>
        <v>5.6000000000000001E-2</v>
      </c>
      <c r="E68" s="175"/>
      <c r="F68" s="1800"/>
      <c r="G68" s="1800"/>
      <c r="H68" s="1802"/>
      <c r="I68" s="126"/>
      <c r="J68" s="3740"/>
      <c r="K68" s="1324" t="s">
        <v>1392</v>
      </c>
      <c r="L68" s="1324">
        <f ca="1">IF(M49&gt;10000,M49*0.5%,IF(AND(M49&gt;5000,M49&lt;=10000),M49*1%,IF(AND(M49&gt;1000,M49&lt;=5000),M49*2%,IF(AND(M49&gt;200,M49&lt;=1000),M49*3%,M49*5%))))</f>
        <v>845.125</v>
      </c>
      <c r="M68" s="299">
        <f ca="1">ROUND(L68,1)</f>
        <v>845.1</v>
      </c>
      <c r="N68" s="2535"/>
      <c r="Z68" s="1744"/>
      <c r="AI68" s="1745"/>
    </row>
    <row r="69" spans="1:35" s="1764" customFormat="1" ht="16.5" customHeight="1">
      <c r="A69" s="1803"/>
      <c r="B69" s="1804"/>
      <c r="C69" s="1805"/>
      <c r="D69" s="1806"/>
      <c r="E69" s="1807"/>
      <c r="F69" s="1570"/>
      <c r="G69" s="1570"/>
      <c r="H69" s="1569"/>
      <c r="I69" s="1739"/>
      <c r="J69" s="3740"/>
      <c r="K69" s="1324" t="s">
        <v>1393</v>
      </c>
      <c r="L69" s="1324"/>
      <c r="M69" s="299">
        <f ca="1">ROUND(SUM(M63:M68),0)</f>
        <v>2727</v>
      </c>
      <c r="N69" s="2537">
        <f ca="1">M69/M49</f>
        <v>1.6133708031356307E-2</v>
      </c>
      <c r="O69" s="721"/>
      <c r="P69" s="721"/>
      <c r="Q69" s="721"/>
      <c r="R69" s="721"/>
      <c r="S69" s="721"/>
      <c r="T69" s="721"/>
      <c r="U69" s="721"/>
      <c r="V69" s="721"/>
      <c r="W69" s="721"/>
      <c r="X69" s="721"/>
      <c r="Y69" s="721"/>
      <c r="Z69" s="1744"/>
      <c r="AA69" s="1744"/>
      <c r="AB69" s="1744"/>
      <c r="AC69" s="1744"/>
      <c r="AD69" s="1744"/>
      <c r="AE69" s="1744"/>
      <c r="AF69" s="1744"/>
      <c r="AG69" s="1744"/>
      <c r="AH69" s="1744"/>
    </row>
    <row r="70" spans="1:35" s="1809" customFormat="1" ht="15" thickBot="1">
      <c r="A70" s="3702" t="s">
        <v>1394</v>
      </c>
      <c r="B70" s="3703"/>
      <c r="C70" s="3703"/>
      <c r="D70" s="3703"/>
      <c r="E70" s="3703"/>
      <c r="F70" s="3703"/>
      <c r="G70" s="3703"/>
      <c r="H70" s="3703"/>
      <c r="I70" s="1808"/>
      <c r="J70" s="2683"/>
      <c r="K70" s="2683"/>
      <c r="L70" s="2683"/>
      <c r="M70" s="2683"/>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681" t="s">
        <v>1375</v>
      </c>
      <c r="B71" s="3682"/>
      <c r="C71" s="2013"/>
      <c r="D71" s="2013" t="s">
        <v>1376</v>
      </c>
      <c r="E71" s="176" t="s">
        <v>1377</v>
      </c>
      <c r="F71" s="177"/>
      <c r="G71" s="177"/>
      <c r="H71" s="178"/>
      <c r="I71" s="1812"/>
      <c r="J71" s="2683"/>
      <c r="K71" s="2683"/>
      <c r="L71" s="2683"/>
      <c r="M71" s="2683"/>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0" t="s">
        <v>330</v>
      </c>
      <c r="B72" s="171" t="s">
        <v>1395</v>
      </c>
      <c r="C72" s="2560">
        <f ca="1">ROUND(D45/(1+'数据-取费表'!C42),0)</f>
        <v>160976</v>
      </c>
      <c r="D72" s="167" t="s">
        <v>26</v>
      </c>
      <c r="E72" s="2323"/>
      <c r="F72" s="2322"/>
      <c r="G72" s="2322"/>
      <c r="H72" s="179"/>
      <c r="I72" s="1812"/>
      <c r="J72" s="2683"/>
      <c r="K72" s="2683"/>
      <c r="L72" s="2683"/>
      <c r="M72" s="2683"/>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0" t="s">
        <v>327</v>
      </c>
      <c r="B73" s="160" t="s">
        <v>1396</v>
      </c>
      <c r="C73" s="2560">
        <f ca="1">C74+C78</f>
        <v>966</v>
      </c>
      <c r="D73" s="167" t="s">
        <v>26</v>
      </c>
      <c r="E73" s="2323"/>
      <c r="F73" s="2322"/>
      <c r="G73" s="2322"/>
      <c r="H73" s="179"/>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6" t="s">
        <v>325</v>
      </c>
      <c r="B74" s="167" t="s">
        <v>1397</v>
      </c>
      <c r="C74" s="167">
        <f>ROUND(IF(G77="2016年5月1日后购买",C75/(1+'数据-取费表'!C42)+C76+C77,C75+C76+C77),0)</f>
        <v>0</v>
      </c>
      <c r="D74" s="167" t="s">
        <v>26</v>
      </c>
      <c r="E74" s="2323"/>
      <c r="F74" s="2322"/>
      <c r="G74" s="2322"/>
      <c r="H74" s="179"/>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6" t="s">
        <v>331</v>
      </c>
      <c r="B75" s="167" t="s">
        <v>1398</v>
      </c>
      <c r="C75" s="2563"/>
      <c r="D75" s="167" t="s">
        <v>26</v>
      </c>
      <c r="E75" s="181" t="s">
        <v>1399</v>
      </c>
      <c r="F75" s="2564"/>
      <c r="G75" s="181" t="s">
        <v>1400</v>
      </c>
      <c r="H75" s="2565"/>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6" t="s">
        <v>332</v>
      </c>
      <c r="B76" s="182" t="s">
        <v>1401</v>
      </c>
      <c r="C76" s="167">
        <f>IF(F75="购房发票",ROUND(C75*H75*D76,0),0)</f>
        <v>0</v>
      </c>
      <c r="D76" s="2566">
        <v>0.05</v>
      </c>
      <c r="E76" s="3676" t="s">
        <v>1402</v>
      </c>
      <c r="F76" s="3650"/>
      <c r="G76" s="3650"/>
      <c r="H76" s="3701"/>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6" t="s">
        <v>333</v>
      </c>
      <c r="B77" s="167" t="s">
        <v>1403</v>
      </c>
      <c r="C77" s="167">
        <f>ROUND(IF(G77="个人住宅",0,IF(G77="2016年5月1日前购买",C75*D77,C75*D77/(1+'数据-取费表'!C42))),0)</f>
        <v>0</v>
      </c>
      <c r="D77" s="2567">
        <f>'数据-取费表'!B48+'数据-取费表'!B49</f>
        <v>3.0499999999999999E-2</v>
      </c>
      <c r="E77" s="2316" t="s">
        <v>1404</v>
      </c>
      <c r="F77" s="183"/>
      <c r="G77" s="1814"/>
      <c r="H77" s="2324"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6" t="s">
        <v>326</v>
      </c>
      <c r="B78" s="167" t="s">
        <v>1405</v>
      </c>
      <c r="C78" s="2568">
        <f ca="1">ROUND(D45*D78/(1+'数据-取费表'!C42),0)</f>
        <v>966</v>
      </c>
      <c r="D78" s="2569">
        <f>'数据-取费表'!B43</f>
        <v>6.000000000000001E-3</v>
      </c>
      <c r="E78" s="3660" t="s">
        <v>1406</v>
      </c>
      <c r="F78" s="3661"/>
      <c r="G78" s="3661"/>
      <c r="H78" s="3670"/>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0" t="s">
        <v>334</v>
      </c>
      <c r="B79" s="171" t="s">
        <v>1407</v>
      </c>
      <c r="C79" s="2560">
        <f ca="1">C72-C73</f>
        <v>160010</v>
      </c>
      <c r="D79" s="167" t="s">
        <v>26</v>
      </c>
      <c r="E79" s="2323"/>
      <c r="F79" s="2322"/>
      <c r="G79" s="2322"/>
      <c r="H79" s="179"/>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0" t="s">
        <v>335</v>
      </c>
      <c r="B80" s="171" t="s">
        <v>1408</v>
      </c>
      <c r="C80" s="2570">
        <f ca="1">IF(C79&lt;=0,0,C79/C73)</f>
        <v>165.64182194616978</v>
      </c>
      <c r="D80" s="167"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79"/>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3" t="s">
        <v>336</v>
      </c>
      <c r="B81" s="174" t="s">
        <v>1409</v>
      </c>
      <c r="C81" s="2571">
        <f ca="1">ROUND(IF(C79&lt;=0,0,IF(C80&gt;=200%,C79*60%-C73*35%,IF(C80&gt;=100%,C79*50%-C73*15%,IF(C80&gt;=50%,C79*40%-C73*5%,IF(C80&lt;50%,C79*30%,0))))),0)</f>
        <v>95668</v>
      </c>
      <c r="D81" s="2572"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6"/>
      <c r="B82" s="677"/>
      <c r="C82" s="4"/>
      <c r="D82" s="4"/>
      <c r="E82" s="677"/>
      <c r="F82" s="677"/>
      <c r="G82" s="677"/>
      <c r="H82" s="678"/>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02" t="s">
        <v>1410</v>
      </c>
      <c r="B83" s="3703"/>
      <c r="C83" s="3703"/>
      <c r="D83" s="3703"/>
      <c r="E83" s="3703"/>
      <c r="F83" s="3703"/>
      <c r="G83" s="3703"/>
      <c r="H83" s="3703"/>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681" t="s">
        <v>1375</v>
      </c>
      <c r="B84" s="3682"/>
      <c r="C84" s="2013"/>
      <c r="D84" s="2013" t="s">
        <v>1376</v>
      </c>
      <c r="E84" s="176" t="s">
        <v>1377</v>
      </c>
      <c r="F84" s="177"/>
      <c r="G84" s="177"/>
      <c r="H84" s="188"/>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0" t="s">
        <v>330</v>
      </c>
      <c r="B85" s="171" t="s">
        <v>1395</v>
      </c>
      <c r="C85" s="2560">
        <f ca="1">ROUND(D45/(1+'数据-取费表'!C42),0)</f>
        <v>160976</v>
      </c>
      <c r="D85" s="167" t="s">
        <v>26</v>
      </c>
      <c r="E85" s="2323"/>
      <c r="F85" s="2322"/>
      <c r="G85" s="2322"/>
      <c r="H85" s="189"/>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0" t="s">
        <v>327</v>
      </c>
      <c r="B86" s="160" t="s">
        <v>1396</v>
      </c>
      <c r="C86" s="2560">
        <f ca="1">IF(H88="仅含出让金",C87+C90+C91+C92+C93+C94,C87+C91+C92+C93+C94)</f>
        <v>966</v>
      </c>
      <c r="D86" s="2573"/>
      <c r="E86" s="2323"/>
      <c r="F86" s="2322"/>
      <c r="G86" s="2322"/>
      <c r="H86" s="189"/>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6" t="s">
        <v>325</v>
      </c>
      <c r="B87" s="167" t="s">
        <v>1411</v>
      </c>
      <c r="C87" s="2568">
        <f>C88+C89</f>
        <v>0</v>
      </c>
      <c r="D87" s="2569"/>
      <c r="E87" s="2318"/>
      <c r="F87" s="2319"/>
      <c r="G87" s="2319"/>
      <c r="H87" s="232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6" t="s">
        <v>331</v>
      </c>
      <c r="B88" s="167" t="s">
        <v>1412</v>
      </c>
      <c r="C88" s="2574"/>
      <c r="D88" s="2569"/>
      <c r="E88" s="190" t="s">
        <v>1413</v>
      </c>
      <c r="F88" s="2319"/>
      <c r="G88" s="191" t="s">
        <v>1414</v>
      </c>
      <c r="H88" s="1816"/>
      <c r="I88" s="1813"/>
      <c r="J88" s="2513" t="s">
        <v>2288</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6" t="s">
        <v>332</v>
      </c>
      <c r="B89" s="167" t="s">
        <v>1403</v>
      </c>
      <c r="C89" s="2568">
        <f>ROUND(C88*D89,0)</f>
        <v>0</v>
      </c>
      <c r="D89" s="2569">
        <f>'数据-取费表'!B48+'数据-取费表'!B49</f>
        <v>3.0499999999999999E-2</v>
      </c>
      <c r="E89" s="190" t="s">
        <v>1415</v>
      </c>
      <c r="F89" s="2319"/>
      <c r="G89" s="2319"/>
      <c r="H89" s="232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6" t="s">
        <v>326</v>
      </c>
      <c r="B90" s="167" t="s">
        <v>1416</v>
      </c>
      <c r="C90" s="2574"/>
      <c r="D90" s="2569"/>
      <c r="E90" s="190" t="str">
        <f>IF(H88="-","土地取得成本中已包含该笔费用"," ")</f>
        <v xml:space="preserve"> </v>
      </c>
      <c r="F90" s="2319"/>
      <c r="G90" s="3742" t="s">
        <v>2129</v>
      </c>
      <c r="H90" s="3743"/>
      <c r="I90" s="1813"/>
      <c r="J90" s="2513" t="s">
        <v>2289</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6" t="s">
        <v>1417</v>
      </c>
      <c r="B91" s="167" t="s">
        <v>1418</v>
      </c>
      <c r="C91" s="2568">
        <f>IF(H91="——",成本法!C33,I91)</f>
        <v>0</v>
      </c>
      <c r="D91" s="2569"/>
      <c r="E91" s="3660" t="s">
        <v>1419</v>
      </c>
      <c r="F91" s="3661"/>
      <c r="G91" s="3661"/>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6" t="s">
        <v>1420</v>
      </c>
      <c r="B92" s="167" t="s">
        <v>1421</v>
      </c>
      <c r="C92" s="2568">
        <f>ROUND((C87+C90+C91)*D92,0)</f>
        <v>0</v>
      </c>
      <c r="D92" s="2575"/>
      <c r="E92" s="3660" t="s">
        <v>1422</v>
      </c>
      <c r="F92" s="3661"/>
      <c r="G92" s="3661"/>
      <c r="H92" s="3670"/>
      <c r="I92" s="1813"/>
      <c r="J92" s="2514" t="s">
        <v>2290</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6" t="s">
        <v>1423</v>
      </c>
      <c r="B93" s="167" t="s">
        <v>1405</v>
      </c>
      <c r="C93" s="2568">
        <f ca="1">ROUND(D45*D93/(1+'数据-取费表'!C42),0)</f>
        <v>966</v>
      </c>
      <c r="D93" s="2569">
        <f>'数据-取费表'!B43</f>
        <v>6.000000000000001E-3</v>
      </c>
      <c r="E93" s="3660" t="s">
        <v>1406</v>
      </c>
      <c r="F93" s="3661"/>
      <c r="G93" s="3661"/>
      <c r="H93" s="3670"/>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6" t="s">
        <v>1424</v>
      </c>
      <c r="B94" s="167" t="s">
        <v>1425</v>
      </c>
      <c r="C94" s="2574">
        <f>ROUND((C87+C90+C91)*D94,0)</f>
        <v>0</v>
      </c>
      <c r="D94" s="2569">
        <v>0.2</v>
      </c>
      <c r="E94" s="3671" t="s">
        <v>1426</v>
      </c>
      <c r="F94" s="3672"/>
      <c r="G94" s="3672"/>
      <c r="H94" s="3673"/>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0" t="s">
        <v>334</v>
      </c>
      <c r="B95" s="171" t="s">
        <v>1407</v>
      </c>
      <c r="C95" s="2560">
        <f ca="1">ROUND(C85-C86,0)</f>
        <v>160010</v>
      </c>
      <c r="D95" s="167" t="s">
        <v>26</v>
      </c>
      <c r="E95" s="2323"/>
      <c r="F95" s="2322"/>
      <c r="G95" s="2322"/>
      <c r="H95" s="189"/>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0" t="s">
        <v>335</v>
      </c>
      <c r="B96" s="171" t="s">
        <v>1408</v>
      </c>
      <c r="C96" s="2570">
        <f ca="1">IF(C95&lt;=0,0,C95/C86)</f>
        <v>165.64182194616978</v>
      </c>
      <c r="D96" s="167"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89"/>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3" t="s">
        <v>336</v>
      </c>
      <c r="B97" s="174" t="s">
        <v>1409</v>
      </c>
      <c r="C97" s="2571">
        <f ca="1">ROUND(IF(C95&lt;=0,0,IF(C96&gt;=200%,C95*60%-C86*35%,IF(C96&gt;=100%,C95*50%-C86*15%,IF(C96&gt;=50%,C95*40%-C86*5%,IF(C96&lt;50%,C95*30%,0))))),0)</f>
        <v>95668</v>
      </c>
      <c r="D97" s="2572"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6"/>
    </row>
    <row r="99" spans="1:35" ht="21.75" customHeight="1" thickBot="1">
      <c r="A99" s="1792" t="s">
        <v>1427</v>
      </c>
      <c r="B99" s="1739"/>
      <c r="C99" s="1739"/>
      <c r="D99" s="1739"/>
      <c r="E99" s="1570"/>
      <c r="F99" s="1570"/>
      <c r="G99" s="1570"/>
      <c r="H99" s="1569"/>
      <c r="I99" s="126"/>
    </row>
    <row r="100" spans="1:35" ht="18.75" customHeight="1">
      <c r="A100" s="3642" t="s">
        <v>1428</v>
      </c>
      <c r="B100" s="3643"/>
      <c r="C100" s="3643"/>
      <c r="D100" s="3662"/>
      <c r="E100" s="3643" t="s">
        <v>1429</v>
      </c>
      <c r="F100" s="3643"/>
      <c r="G100" s="3643"/>
      <c r="H100" s="3662"/>
      <c r="I100" s="126"/>
    </row>
    <row r="101" spans="1:35" ht="18.75" customHeight="1">
      <c r="A101" s="3723" t="s">
        <v>1430</v>
      </c>
      <c r="B101" s="3724"/>
      <c r="C101" s="2577" t="str">
        <f>C4</f>
        <v>比较法-办公</v>
      </c>
      <c r="D101" s="2578" t="str">
        <f>D4</f>
        <v>收益法</v>
      </c>
      <c r="E101" s="3737" t="s">
        <v>1431</v>
      </c>
      <c r="F101" s="3694"/>
      <c r="G101" s="1819" t="s">
        <v>1432</v>
      </c>
      <c r="H101" s="2587">
        <f ca="1">H118</f>
        <v>169025</v>
      </c>
      <c r="I101" s="126"/>
    </row>
    <row r="102" spans="1:35" ht="18.75" customHeight="1">
      <c r="A102" s="3696" t="s">
        <v>1433</v>
      </c>
      <c r="B102" s="2576" t="s">
        <v>1432</v>
      </c>
      <c r="C102" s="2577">
        <f ca="1">IF(D32="楼面单价",ROUND(C19,0),C19)</f>
        <v>204723</v>
      </c>
      <c r="D102" s="2578">
        <f ca="1">IF(D32="楼面单价",ROUND(D19,0),D19)</f>
        <v>115479</v>
      </c>
      <c r="E102" s="3737"/>
      <c r="F102" s="3694"/>
      <c r="G102" s="1819" t="s">
        <v>1434</v>
      </c>
      <c r="H102" s="2547">
        <f ca="1">I118</f>
        <v>32567</v>
      </c>
      <c r="I102" s="126"/>
    </row>
    <row r="103" spans="1:35" ht="42.75" customHeight="1">
      <c r="A103" s="3696"/>
      <c r="B103" s="2576" t="s">
        <v>1434</v>
      </c>
      <c r="C103" s="2579">
        <f ca="1">C20</f>
        <v>39445</v>
      </c>
      <c r="D103" s="2580">
        <f ca="1">D20</f>
        <v>22250</v>
      </c>
      <c r="E103" s="3731" t="s">
        <v>1435</v>
      </c>
      <c r="F103" s="3732"/>
      <c r="G103" s="1820" t="s">
        <v>1436</v>
      </c>
      <c r="H103" s="2587">
        <f>IF(D36="正常操作",H104+H105+H106,H105+H106)</f>
        <v>0</v>
      </c>
      <c r="I103" s="126"/>
    </row>
    <row r="104" spans="1:35" ht="18.75" customHeight="1">
      <c r="A104" s="3696" t="s">
        <v>1437</v>
      </c>
      <c r="B104" s="2581" t="s">
        <v>1432</v>
      </c>
      <c r="C104" s="2582">
        <f ca="1">H118</f>
        <v>169025</v>
      </c>
      <c r="D104" s="2583"/>
      <c r="E104" s="1666" t="s">
        <v>1438</v>
      </c>
      <c r="F104" s="1658"/>
      <c r="G104" s="1820" t="s">
        <v>1436</v>
      </c>
      <c r="H104" s="2588">
        <f>IF(D36="同一抵押权人同一抵押物续贷",C36&amp;"（续贷，未扣减，详见特别提示）",C36)</f>
        <v>0</v>
      </c>
      <c r="I104" s="126"/>
    </row>
    <row r="105" spans="1:35" ht="18.75" customHeight="1" thickBot="1">
      <c r="A105" s="3697"/>
      <c r="B105" s="2584" t="s">
        <v>1434</v>
      </c>
      <c r="C105" s="2585">
        <f ca="1">I118</f>
        <v>32567</v>
      </c>
      <c r="D105" s="2586"/>
      <c r="E105" s="1666" t="s">
        <v>1439</v>
      </c>
      <c r="F105" s="1658"/>
      <c r="G105" s="1820" t="s">
        <v>1436</v>
      </c>
      <c r="H105" s="2589">
        <f>C37</f>
        <v>0</v>
      </c>
      <c r="I105" s="126"/>
    </row>
    <row r="106" spans="1:35" ht="18.75" customHeight="1">
      <c r="A106" s="1739" t="s">
        <v>1440</v>
      </c>
      <c r="B106" s="1739"/>
      <c r="C106" s="1739"/>
      <c r="D106" s="1739"/>
      <c r="E106" s="1821" t="s">
        <v>1441</v>
      </c>
      <c r="F106" s="1658"/>
      <c r="G106" s="1820" t="s">
        <v>1436</v>
      </c>
      <c r="H106" s="2589">
        <f>C38</f>
        <v>0</v>
      </c>
      <c r="I106" s="126"/>
    </row>
    <row r="107" spans="1:35" ht="18.75" customHeight="1">
      <c r="A107" s="126"/>
      <c r="B107" s="126"/>
      <c r="C107" s="126"/>
      <c r="D107" s="126"/>
      <c r="E107" s="3693" t="str">
        <f>IF(项目基本情况!E8="已注销","——","3.房地产抵押价值")</f>
        <v>3.房地产抵押价值</v>
      </c>
      <c r="F107" s="3694"/>
      <c r="G107" s="1819" t="s">
        <v>1432</v>
      </c>
      <c r="H107" s="2587">
        <f ca="1">IF(E107="——","——",H101-H103)</f>
        <v>169025</v>
      </c>
      <c r="I107" s="126"/>
    </row>
    <row r="108" spans="1:35" ht="18.75" customHeight="1">
      <c r="A108" s="126"/>
      <c r="B108" s="126"/>
      <c r="C108" s="126"/>
      <c r="D108" s="126"/>
      <c r="E108" s="3693"/>
      <c r="F108" s="3694"/>
      <c r="G108" s="1819" t="s">
        <v>1434</v>
      </c>
      <c r="H108" s="2547">
        <f ca="1">IF(H107=H101,H102,ROUND(H107*10000/'数据-汇总表'!E3,0))</f>
        <v>32567</v>
      </c>
      <c r="I108" s="126"/>
    </row>
    <row r="109" spans="1:35" ht="18.75" customHeight="1">
      <c r="A109" s="126"/>
      <c r="B109" s="126"/>
      <c r="C109" s="126"/>
      <c r="D109" s="126"/>
      <c r="E109" s="3693" t="str">
        <f>IF(项目基本情况!E8="已注销及未注销","4.抵押担保权已注销时的房地产抵押价值",IF(项目基本情况!E8="已注销","3.抵押担保权已注销时的房地产抵押价值","——"))</f>
        <v>——</v>
      </c>
      <c r="F109" s="3694"/>
      <c r="G109" s="1819" t="s">
        <v>1432</v>
      </c>
      <c r="H109" s="2590" t="str">
        <f>IF(E109="——","——",H101-H105-H106)</f>
        <v>——</v>
      </c>
      <c r="I109" s="126"/>
    </row>
    <row r="110" spans="1:35" ht="18.75" customHeight="1">
      <c r="A110" s="126"/>
      <c r="B110" s="126"/>
      <c r="C110" s="126"/>
      <c r="D110" s="126"/>
      <c r="E110" s="3693"/>
      <c r="F110" s="3694"/>
      <c r="G110" s="1819" t="s">
        <v>1434</v>
      </c>
      <c r="H110" s="2547" t="str">
        <f>IF(H109="——","——",ROUND(H109*10000/'数据-汇总表'!E3,0))</f>
        <v>——</v>
      </c>
      <c r="I110" s="126"/>
    </row>
    <row r="111" spans="1:35" ht="18.75" customHeight="1">
      <c r="A111" s="126"/>
      <c r="B111" s="126"/>
      <c r="C111" s="126"/>
      <c r="D111" s="126"/>
      <c r="E111" s="3725" t="str">
        <f>IF(项目基本情况!E9="抵押净值",IF(OR(项目基本情况!E8="已注销",项目基本情况!E8="房地产抵押价值"),"4.抵押净值","5.抵押净值"),"——")</f>
        <v>——</v>
      </c>
      <c r="F111" s="3695"/>
      <c r="G111" s="1819" t="s">
        <v>1432</v>
      </c>
      <c r="H111" s="2587" t="str">
        <f>IF(E111="——","——",N59)</f>
        <v>——</v>
      </c>
      <c r="I111" s="126"/>
    </row>
    <row r="112" spans="1:35" ht="18.75" customHeight="1" thickBot="1">
      <c r="A112" s="126"/>
      <c r="B112" s="126"/>
      <c r="C112" s="126"/>
      <c r="D112" s="126"/>
      <c r="E112" s="3726"/>
      <c r="F112" s="3727"/>
      <c r="G112" s="1822" t="s">
        <v>1434</v>
      </c>
      <c r="H112" s="2591" t="str">
        <f>IF(E111="——","——",N61)</f>
        <v>——</v>
      </c>
      <c r="I112" s="126"/>
    </row>
    <row r="113" spans="1:27" ht="18.75" customHeight="1">
      <c r="A113" s="126"/>
      <c r="B113" s="126"/>
      <c r="C113" s="126"/>
      <c r="D113" s="126"/>
      <c r="E113" s="3698" t="s">
        <v>1440</v>
      </c>
      <c r="F113" s="3698"/>
      <c r="G113" s="3698"/>
      <c r="H113" s="3698"/>
      <c r="I113" s="126"/>
    </row>
    <row r="114" spans="1:27" ht="3.75" customHeight="1">
      <c r="A114" s="1739"/>
      <c r="B114" s="1739"/>
      <c r="C114" s="1739"/>
      <c r="D114" s="1739"/>
      <c r="E114" s="1801"/>
      <c r="F114" s="1801"/>
      <c r="G114" s="1801"/>
      <c r="H114" s="1801"/>
      <c r="I114" s="1739"/>
    </row>
    <row r="115" spans="1:27" ht="18.75" customHeight="1">
      <c r="A115" s="3708" t="s">
        <v>1442</v>
      </c>
      <c r="B115" s="3709"/>
      <c r="C115" s="3709"/>
      <c r="D115" s="3709"/>
      <c r="E115" s="3709"/>
      <c r="F115" s="3709"/>
      <c r="G115" s="3709"/>
      <c r="H115" s="3709"/>
      <c r="I115" s="3710"/>
    </row>
    <row r="116" spans="1:27" ht="27" customHeight="1">
      <c r="A116" s="3664" t="s">
        <v>1443</v>
      </c>
      <c r="B116" s="3699" t="s">
        <v>1444</v>
      </c>
      <c r="C116" s="3699" t="s">
        <v>1445</v>
      </c>
      <c r="D116" s="3712" t="s">
        <v>1446</v>
      </c>
      <c r="E116" s="3713"/>
      <c r="F116" s="3707" t="s">
        <v>1447</v>
      </c>
      <c r="G116" s="3707"/>
      <c r="H116" s="3664" t="s">
        <v>1448</v>
      </c>
      <c r="I116" s="3664"/>
    </row>
    <row r="117" spans="1:27" ht="18.75" customHeight="1">
      <c r="A117" s="3664"/>
      <c r="B117" s="3700"/>
      <c r="C117" s="3700"/>
      <c r="D117" s="2321" t="s">
        <v>1449</v>
      </c>
      <c r="E117" s="2321" t="s">
        <v>1450</v>
      </c>
      <c r="F117" s="2321" t="s">
        <v>1449</v>
      </c>
      <c r="G117" s="2321" t="s">
        <v>1451</v>
      </c>
      <c r="H117" s="2321" t="s">
        <v>1449</v>
      </c>
      <c r="I117" s="2321" t="s">
        <v>1451</v>
      </c>
    </row>
    <row r="118" spans="1:27" ht="24.75" customHeight="1">
      <c r="A118" s="2592" t="str">
        <f>项目基本情况!S2</f>
        <v>北京市丰台区四合庄路6号院1-3号楼房地产</v>
      </c>
      <c r="B118" s="2321">
        <f>M18</f>
        <v>51900.97</v>
      </c>
      <c r="C118" s="2321">
        <f>M19</f>
        <v>11073.33</v>
      </c>
      <c r="D118" s="2321">
        <f ca="1">ROUND(IF(D32="总价",C34,E118*B118/10000),0)</f>
        <v>35495</v>
      </c>
      <c r="E118" s="2321">
        <f ca="1">ROUND(IF(C33="自定义",IF(D32="楼面单价",C34,D118*10000/B118),I118-G118),0)</f>
        <v>6839</v>
      </c>
      <c r="F118" s="2321">
        <f ca="1">ROUND(IF(D32="总价",C35,G118*B118/10000),0)</f>
        <v>133530</v>
      </c>
      <c r="G118" s="2321">
        <f ca="1">ROUND(IF(D32="楼面单价",C35,F118*10000/B118),0)</f>
        <v>25728</v>
      </c>
      <c r="H118" s="2321">
        <f ca="1">ROUND(IF(D32="总价",C32,I118*B118/10000),0)</f>
        <v>169025</v>
      </c>
      <c r="I118" s="2321">
        <f ca="1">ROUND(IF(D32="楼面单价",C32,H118*10000/B118),0)</f>
        <v>32567</v>
      </c>
    </row>
    <row r="119" spans="1:27" ht="18.75" customHeight="1">
      <c r="A119" s="3664" t="s">
        <v>1452</v>
      </c>
      <c r="B119" s="3664"/>
      <c r="C119" s="3664"/>
      <c r="D119" s="3704" t="str">
        <f ca="1">NUMBERSTRING(INT(D118*10000),2)&amp;"元整"</f>
        <v>叁亿伍仟肆佰玖拾伍万元整</v>
      </c>
      <c r="E119" s="3706"/>
      <c r="F119" s="3704" t="str">
        <f ca="1">NUMBERSTRING(INT(F118*10000),2)&amp;"元整"</f>
        <v>壹拾叁亿叁仟伍佰叁拾万元整</v>
      </c>
      <c r="G119" s="3706"/>
      <c r="H119" s="3704" t="str">
        <f ca="1">NUMBERSTRING(INT(H118*10000),2)&amp;"元整"</f>
        <v>壹拾陆亿玖仟零贰拾伍万元整</v>
      </c>
      <c r="I119" s="3706"/>
    </row>
    <row r="120" spans="1:27" ht="18.75" customHeight="1">
      <c r="A120" s="3728" t="str">
        <f>IF(项目基本情况!B9="房地产市场价值","",MID(E103,3,LEN(E103)-2))</f>
        <v>估价师知悉的法定优先受偿款</v>
      </c>
      <c r="B120" s="3729"/>
      <c r="C120" s="3730"/>
      <c r="D120" s="3728">
        <f>H103</f>
        <v>0</v>
      </c>
      <c r="E120" s="3729"/>
      <c r="F120" s="3729"/>
      <c r="G120" s="3729"/>
      <c r="H120" s="3729"/>
      <c r="I120" s="3730"/>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04" t="s">
        <v>1452</v>
      </c>
      <c r="B121" s="3705"/>
      <c r="C121" s="3706"/>
      <c r="D121" s="3704" t="str">
        <f>IF(D120=0,"零元整",NUMBERSTRING(INT(D120*10000),2)&amp;"元整")</f>
        <v>零元整</v>
      </c>
      <c r="E121" s="3705"/>
      <c r="F121" s="3705"/>
      <c r="G121" s="3705"/>
      <c r="H121" s="3705"/>
      <c r="I121" s="3706"/>
      <c r="AA121" s="721"/>
    </row>
    <row r="122" spans="1:27" ht="18.75" customHeight="1">
      <c r="A122" s="3695" t="str">
        <f>IF(项目基本情况!B9="房地产市场价值","",MID(E107,3,LEN(E107)-2))</f>
        <v>房地产抵押价值</v>
      </c>
      <c r="B122" s="3695"/>
      <c r="C122" s="3695"/>
      <c r="D122" s="3728">
        <f ca="1">H107</f>
        <v>169025</v>
      </c>
      <c r="E122" s="3729"/>
      <c r="F122" s="3729"/>
      <c r="G122" s="3729"/>
      <c r="H122" s="3729"/>
      <c r="I122" s="3730"/>
      <c r="AA122" s="721"/>
    </row>
    <row r="123" spans="1:27" ht="18.75" customHeight="1">
      <c r="A123" s="3664" t="s">
        <v>1452</v>
      </c>
      <c r="B123" s="3664"/>
      <c r="C123" s="3664"/>
      <c r="D123" s="3704" t="str">
        <f ca="1">NUMBERSTRING(INT(D122*10000),2)&amp;"元整"</f>
        <v>壹拾陆亿玖仟零贰拾伍万元整</v>
      </c>
      <c r="E123" s="3705"/>
      <c r="F123" s="3705"/>
      <c r="G123" s="3705"/>
      <c r="H123" s="3705"/>
      <c r="I123" s="3706"/>
      <c r="AA123" s="721"/>
    </row>
    <row r="124" spans="1:27" ht="18.75" customHeight="1">
      <c r="A124" s="3695" t="str">
        <f>IF(项目基本情况!B9="房地产市场价值","",MID(E109,3,LEN(E109)-2))</f>
        <v/>
      </c>
      <c r="B124" s="3695"/>
      <c r="C124" s="3695"/>
      <c r="D124" s="3728" t="str">
        <f>H109</f>
        <v>——</v>
      </c>
      <c r="E124" s="3729"/>
      <c r="F124" s="3729"/>
      <c r="G124" s="3729"/>
      <c r="H124" s="3729"/>
      <c r="I124" s="3730"/>
      <c r="AA124" s="721"/>
    </row>
    <row r="125" spans="1:27" ht="18.75" customHeight="1">
      <c r="A125" s="3664" t="s">
        <v>1452</v>
      </c>
      <c r="B125" s="3664"/>
      <c r="C125" s="3664"/>
      <c r="D125" s="3704" t="e">
        <f>NUMBERSTRING(INT(D124*10000),2)&amp;"元整"</f>
        <v>#VALUE!</v>
      </c>
      <c r="E125" s="3705"/>
      <c r="F125" s="3705"/>
      <c r="G125" s="3705"/>
      <c r="H125" s="3705"/>
      <c r="I125" s="3706"/>
      <c r="AA125" s="721"/>
    </row>
    <row r="126" spans="1:27" ht="18.75" customHeight="1">
      <c r="A126" s="3695" t="str">
        <f>IF(项目基本情况!B9="房地产市场价值","",MID(E111,3,LEN(E111)-2))</f>
        <v/>
      </c>
      <c r="B126" s="3695"/>
      <c r="C126" s="3695"/>
      <c r="D126" s="3728" t="str">
        <f>H111</f>
        <v>——</v>
      </c>
      <c r="E126" s="3729"/>
      <c r="F126" s="3729"/>
      <c r="G126" s="3729"/>
      <c r="H126" s="3729"/>
      <c r="I126" s="3730"/>
      <c r="AA126" s="721"/>
    </row>
    <row r="127" spans="1:27" ht="18.75" customHeight="1">
      <c r="A127" s="3664" t="s">
        <v>1452</v>
      </c>
      <c r="B127" s="3664"/>
      <c r="C127" s="3664"/>
      <c r="D127" s="3704" t="e">
        <f>NUMBERSTRING(INT(D126*10000),2)&amp;"元整"</f>
        <v>#VALUE!</v>
      </c>
      <c r="E127" s="3705"/>
      <c r="F127" s="3705"/>
      <c r="G127" s="3705"/>
      <c r="H127" s="3705"/>
      <c r="I127" s="3706"/>
      <c r="AA127" s="721"/>
    </row>
    <row r="128" spans="1:27" ht="21.75" customHeight="1">
      <c r="A128" s="3711" t="s">
        <v>1453</v>
      </c>
      <c r="B128" s="3711"/>
      <c r="C128" s="3711"/>
      <c r="D128" s="3711"/>
      <c r="E128" s="3711"/>
      <c r="F128" s="3711"/>
      <c r="G128" s="3711"/>
      <c r="H128" s="3711"/>
      <c r="I128" s="3711"/>
      <c r="AA128" s="721"/>
    </row>
    <row r="129" spans="1:35" ht="21.75" customHeight="1">
      <c r="A129" s="1823" t="s">
        <v>1454</v>
      </c>
      <c r="B129" s="1824"/>
      <c r="C129" s="1825" t="s">
        <v>1455</v>
      </c>
      <c r="D129" s="1826"/>
      <c r="E129" s="1826"/>
      <c r="F129" s="1826"/>
      <c r="G129" s="1826"/>
      <c r="H129" s="1827"/>
      <c r="I129" s="1828"/>
      <c r="AA129" s="721"/>
    </row>
    <row r="130" spans="1:35" ht="21.75" customHeight="1">
      <c r="A130" s="1829">
        <v>1</v>
      </c>
      <c r="B130" s="1830"/>
      <c r="C130" s="1830"/>
      <c r="D130" s="1831"/>
      <c r="E130" s="1831"/>
      <c r="F130" s="1831"/>
      <c r="G130" s="1831"/>
      <c r="H130" s="1832"/>
      <c r="I130" s="1833"/>
      <c r="AA130" s="721"/>
    </row>
    <row r="131" spans="1:35" ht="21.75" customHeight="1">
      <c r="A131" s="1829">
        <v>2</v>
      </c>
      <c r="B131" s="1830"/>
      <c r="C131" s="1830"/>
      <c r="D131" s="1831"/>
      <c r="E131" s="1831"/>
      <c r="F131" s="1831"/>
      <c r="G131" s="1831"/>
      <c r="H131" s="1832"/>
      <c r="I131" s="1833"/>
      <c r="AA131" s="721"/>
    </row>
    <row r="132" spans="1:35" ht="21.75" customHeight="1">
      <c r="A132" s="1829">
        <v>3</v>
      </c>
      <c r="B132" s="1830"/>
      <c r="C132" s="1830"/>
      <c r="D132" s="1831"/>
      <c r="E132" s="1831"/>
      <c r="F132" s="1831"/>
      <c r="G132" s="1831"/>
      <c r="H132" s="1832"/>
      <c r="I132" s="1833"/>
      <c r="AA132" s="721"/>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1"/>
    </row>
    <row r="135" spans="1:35" ht="21.75" customHeight="1">
      <c r="A135" s="721"/>
      <c r="B135" s="721"/>
      <c r="C135" s="721"/>
      <c r="D135" s="721"/>
      <c r="E135" s="721"/>
      <c r="F135" s="1839" t="s">
        <v>1456</v>
      </c>
      <c r="G135" s="1840"/>
      <c r="H135" s="1840"/>
      <c r="I135" s="1841" t="s">
        <v>1457</v>
      </c>
    </row>
    <row r="136" spans="1:35" ht="21.75" customHeight="1">
      <c r="A136" s="721"/>
      <c r="B136" s="1842"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0"/>
      <c r="C138" s="1840"/>
      <c r="D138" s="1840"/>
      <c r="E138" s="1840"/>
      <c r="F138" s="1840"/>
      <c r="G138" s="1840"/>
      <c r="H138" s="1840"/>
      <c r="I138" s="1841" t="s">
        <v>1459</v>
      </c>
    </row>
    <row r="139" spans="1:35" ht="21.75" customHeight="1">
      <c r="A139" s="721"/>
      <c r="B139" s="1842" t="s">
        <v>1460</v>
      </c>
      <c r="C139" s="721"/>
      <c r="D139" s="721"/>
      <c r="E139" s="721"/>
      <c r="F139" s="721"/>
      <c r="G139" s="721"/>
      <c r="H139" s="721"/>
      <c r="I139" s="721"/>
    </row>
    <row r="140" spans="1:35" ht="21.75" customHeight="1">
      <c r="A140" s="721"/>
      <c r="B140" s="1842"/>
      <c r="C140" s="721"/>
      <c r="D140" s="721"/>
      <c r="E140" s="721"/>
      <c r="F140" s="721"/>
      <c r="G140" s="721"/>
      <c r="H140" s="721"/>
      <c r="I140" s="721"/>
    </row>
    <row r="141" spans="1:35" ht="21.75" customHeight="1">
      <c r="A141" s="721"/>
      <c r="B141" s="1840"/>
      <c r="C141" s="1840"/>
      <c r="D141" s="1840"/>
      <c r="E141" s="1840"/>
      <c r="F141" s="1840"/>
      <c r="G141" s="1840"/>
      <c r="H141" s="1840"/>
      <c r="I141" s="1841" t="s">
        <v>1459</v>
      </c>
    </row>
    <row r="142" spans="1:35" ht="21.75" customHeight="1">
      <c r="A142" s="721"/>
      <c r="B142" s="1842"/>
      <c r="C142" s="1843"/>
      <c r="D142" s="1844"/>
      <c r="E142" s="1844"/>
      <c r="F142" s="1733"/>
      <c r="G142" s="721"/>
      <c r="H142" s="721"/>
      <c r="I142" s="721"/>
    </row>
    <row r="143" spans="1:35" s="127" customFormat="1" ht="21.75" customHeight="1">
      <c r="A143" s="721"/>
      <c r="B143" s="1842"/>
      <c r="C143" s="1843"/>
      <c r="D143" s="1844"/>
      <c r="E143" s="1844"/>
      <c r="F143" s="1733"/>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4"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4"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4"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4"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4"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4"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4"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4"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4"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4"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4"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4"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4"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4"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4"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4"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4"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4"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4"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4"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4"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4"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4"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4"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4"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4"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4"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4"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4"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4"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4"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4"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4"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4"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4"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4"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4"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4"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4"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4"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4"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4"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4"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4"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4"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4"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4"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4"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4"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4"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4"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4"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4"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4"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4"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4"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4"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4"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4"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4"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4"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4"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4"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4"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4"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4"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4"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4"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4"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4"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4"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4"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4"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4"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4"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4"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4"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4"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4"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4"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4"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4"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4"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4"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4"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4"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4"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4"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4"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4"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4"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4"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4"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4"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4"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4"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4"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4"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4"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4"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4"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4"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4"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4"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zoomScaleSheetLayoutView="85" workbookViewId="0">
      <selection activeCell="M23" sqref="M23"/>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89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949" t="s">
        <v>1810</v>
      </c>
      <c r="C1" s="1216" t="s">
        <v>1662</v>
      </c>
      <c r="D1" s="1217" t="s">
        <v>3856</v>
      </c>
      <c r="E1" s="3425" t="s">
        <v>3857</v>
      </c>
      <c r="F1" s="1871" t="s">
        <v>3858</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49" customFormat="1" ht="28.5" customHeight="1" thickTop="1">
      <c r="A2" s="1213" t="s">
        <v>1462</v>
      </c>
      <c r="B2" s="1156">
        <f>IF(E1="项目模式",IF(C2="——",ROUND(C50*D3/10000,0),ROUND(C50*D3/10000,0)-D2),IF(E1="单套模式",IF(C2="——",ROUND(C50*D3/10000,4),ROUND(C50*D3/10000,4)-D2)))</f>
        <v>204723</v>
      </c>
      <c r="C2" s="1873" t="s">
        <v>43</v>
      </c>
      <c r="D2" s="1107" t="e">
        <f ca="1">IF(E1="项目模式",SUMIF(INDIRECT("'"&amp;F2&amp;"'"&amp;"!A:A"),"承租人权益价值",INDIRECT("'"&amp;F2&amp;"'"&amp;"!c:c")),SUMIF(INDIRECT("'"&amp;F2&amp;"'"&amp;"!A:A"),"承租人权益价值（单套）",INDIRECT("'"&amp;F2&amp;"'"&amp;"!c:c")))</f>
        <v>#REF!</v>
      </c>
      <c r="E2" s="1874" t="s">
        <v>1463</v>
      </c>
      <c r="F2" s="1875"/>
      <c r="G2" s="900"/>
      <c r="H2" s="900"/>
      <c r="I2" s="900"/>
      <c r="J2" s="900"/>
      <c r="K2" s="900"/>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39445</v>
      </c>
      <c r="C3" s="351" t="s">
        <v>1768</v>
      </c>
      <c r="D3" s="350">
        <f>IF(D1="",'数据-汇总表'!E3,SUMIF('数据-汇总表'!$C19:$C33,D1,'数据-汇总表'!$E19:$E33))</f>
        <v>51900.97</v>
      </c>
      <c r="E3" s="1946"/>
      <c r="F3" s="901"/>
      <c r="G3" s="900"/>
      <c r="H3" s="900"/>
      <c r="I3" s="900"/>
      <c r="J3" s="900"/>
      <c r="K3" s="902"/>
      <c r="L3" s="2726"/>
      <c r="M3" s="2727"/>
      <c r="N3" s="2727"/>
      <c r="O3" s="2727"/>
      <c r="P3" s="695"/>
      <c r="Q3" s="695"/>
      <c r="R3" s="695"/>
      <c r="S3" s="695"/>
      <c r="T3" s="695"/>
      <c r="U3" s="695"/>
      <c r="V3" s="695"/>
      <c r="W3" s="695"/>
      <c r="X3" s="695"/>
      <c r="Y3" s="695"/>
      <c r="Z3" s="695"/>
      <c r="AA3" s="695"/>
      <c r="AB3" s="695"/>
      <c r="AC3" s="696"/>
    </row>
    <row r="4" spans="1:29" ht="15">
      <c r="A4" s="352" t="s">
        <v>1769</v>
      </c>
      <c r="B4" s="353"/>
      <c r="C4" s="3762" t="s">
        <v>1770</v>
      </c>
      <c r="D4" s="3763"/>
      <c r="E4" s="3764" t="s">
        <v>1771</v>
      </c>
      <c r="F4" s="3765"/>
      <c r="G4" s="3762" t="s">
        <v>1772</v>
      </c>
      <c r="H4" s="3763"/>
      <c r="I4" s="3762" t="s">
        <v>1773</v>
      </c>
      <c r="J4" s="3763"/>
      <c r="K4" s="556" t="s">
        <v>1774</v>
      </c>
      <c r="L4" s="2707"/>
      <c r="M4" s="2708"/>
      <c r="N4" s="2708"/>
      <c r="O4" s="2708"/>
      <c r="P4" s="3766" t="s">
        <v>1775</v>
      </c>
      <c r="Q4" s="3767"/>
      <c r="R4" s="3772" t="s">
        <v>1771</v>
      </c>
      <c r="S4" s="3773"/>
      <c r="T4" s="3772" t="s">
        <v>1772</v>
      </c>
      <c r="U4" s="3773"/>
      <c r="V4" s="3778" t="s">
        <v>1773</v>
      </c>
      <c r="W4" s="3778"/>
      <c r="X4" s="1950"/>
      <c r="Y4" s="3772" t="s">
        <v>1775</v>
      </c>
      <c r="Z4" s="3773"/>
      <c r="AA4" s="3790" t="s">
        <v>1771</v>
      </c>
      <c r="AB4" s="3790" t="s">
        <v>1772</v>
      </c>
      <c r="AC4" s="3759" t="s">
        <v>1773</v>
      </c>
    </row>
    <row r="5" spans="1:29" ht="33" customHeight="1">
      <c r="A5" s="355"/>
      <c r="B5" s="356"/>
      <c r="C5" s="3782" t="s">
        <v>1673</v>
      </c>
      <c r="D5" s="3783"/>
      <c r="E5" s="3793" t="s">
        <v>3854</v>
      </c>
      <c r="F5" s="3794"/>
      <c r="G5" s="3782" t="str">
        <f>Sheet1!B30</f>
        <v>中关村西三旗(金隅)科技园T7研发设计楼地上1-5层</v>
      </c>
      <c r="H5" s="3783"/>
      <c r="I5" s="3782" t="str">
        <f>Sheet1!B29</f>
        <v>首特钢大厦2号楼</v>
      </c>
      <c r="J5" s="3783"/>
      <c r="K5" s="556"/>
      <c r="L5" s="2707"/>
      <c r="M5" s="2708"/>
      <c r="N5" s="2708"/>
      <c r="O5" s="2708"/>
      <c r="P5" s="3768"/>
      <c r="Q5" s="3769"/>
      <c r="R5" s="3774"/>
      <c r="S5" s="3775"/>
      <c r="T5" s="3774"/>
      <c r="U5" s="3775"/>
      <c r="V5" s="3779"/>
      <c r="W5" s="3779"/>
      <c r="X5" s="1347"/>
      <c r="Y5" s="3774"/>
      <c r="Z5" s="3775"/>
      <c r="AA5" s="3791"/>
      <c r="AB5" s="3791"/>
      <c r="AC5" s="3760"/>
    </row>
    <row r="6" spans="1:29" ht="15.75" thickBot="1">
      <c r="A6" s="357"/>
      <c r="B6" s="358"/>
      <c r="C6" s="3780" t="s">
        <v>1677</v>
      </c>
      <c r="D6" s="3781"/>
      <c r="E6" s="3788" t="s">
        <v>1677</v>
      </c>
      <c r="F6" s="3789"/>
      <c r="G6" s="3780" t="s">
        <v>1677</v>
      </c>
      <c r="H6" s="3781"/>
      <c r="I6" s="3780" t="s">
        <v>1677</v>
      </c>
      <c r="J6" s="3781"/>
      <c r="K6" s="556" t="s">
        <v>1678</v>
      </c>
      <c r="L6" s="2707"/>
      <c r="M6" s="2708"/>
      <c r="N6" s="2708"/>
      <c r="O6" s="2708"/>
      <c r="P6" s="3770"/>
      <c r="Q6" s="3771"/>
      <c r="R6" s="3774"/>
      <c r="S6" s="3775"/>
      <c r="T6" s="3776"/>
      <c r="U6" s="3777"/>
      <c r="V6" s="3779"/>
      <c r="W6" s="3779"/>
      <c r="X6" s="1347"/>
      <c r="Y6" s="3776"/>
      <c r="Z6" s="3777"/>
      <c r="AA6" s="3792"/>
      <c r="AB6" s="3792"/>
      <c r="AC6" s="3761"/>
    </row>
    <row r="7" spans="1:29" s="108" customFormat="1" ht="15.75" thickBot="1">
      <c r="A7" s="359" t="s">
        <v>1679</v>
      </c>
      <c r="B7" s="360"/>
      <c r="C7" s="361">
        <f>'数据-取费表'!B2</f>
        <v>45401</v>
      </c>
      <c r="D7" s="362">
        <v>100</v>
      </c>
      <c r="E7" s="363">
        <v>44743</v>
      </c>
      <c r="F7" s="364">
        <f>SUMIF(59:59,YEAR(E7)&amp;"-"&amp;MONTH(E7),60:60)</f>
        <v>100</v>
      </c>
      <c r="G7" s="363">
        <f>Sheet1!P30</f>
        <v>45041</v>
      </c>
      <c r="H7" s="362">
        <f>SUMIF(59:59,YEAR(G7)&amp;"-"&amp;MONTH(G7),60:60)</f>
        <v>100</v>
      </c>
      <c r="I7" s="363">
        <f>Sheet1!P29</f>
        <v>45139</v>
      </c>
      <c r="J7" s="362">
        <f>SUMIF(59:59,YEAR(I7)&amp;"-"&amp;MONTH(I7),60:60)</f>
        <v>100</v>
      </c>
      <c r="K7" s="557"/>
      <c r="L7" s="2709"/>
      <c r="M7" s="2710"/>
      <c r="N7" s="2710"/>
      <c r="O7" s="2710"/>
      <c r="P7" s="3784" t="s">
        <v>1680</v>
      </c>
      <c r="Q7" s="3787"/>
      <c r="R7" s="697" t="s">
        <v>14</v>
      </c>
      <c r="S7" s="698">
        <f t="shared" ref="S7:S15" si="0">F7</f>
        <v>100</v>
      </c>
      <c r="T7" s="697" t="s">
        <v>14</v>
      </c>
      <c r="U7" s="698">
        <f t="shared" ref="U7:U15" si="1">H7</f>
        <v>100</v>
      </c>
      <c r="V7" s="697" t="s">
        <v>14</v>
      </c>
      <c r="W7" s="698">
        <f t="shared" ref="W7:W15" si="2">J7</f>
        <v>100</v>
      </c>
      <c r="X7" s="699"/>
      <c r="Y7" s="3786" t="s">
        <v>1680</v>
      </c>
      <c r="Z7" s="3785"/>
      <c r="AA7" s="700">
        <f>D7/F7</f>
        <v>1</v>
      </c>
      <c r="AB7" s="700">
        <f>D7/H7</f>
        <v>1</v>
      </c>
      <c r="AC7" s="1951">
        <f>D7/J7</f>
        <v>1</v>
      </c>
    </row>
    <row r="8" spans="1:29" s="108" customFormat="1" ht="15.75" thickBot="1">
      <c r="A8" s="359" t="s">
        <v>1681</v>
      </c>
      <c r="B8" s="360"/>
      <c r="C8" s="365" t="s">
        <v>3538</v>
      </c>
      <c r="D8" s="362">
        <v>100</v>
      </c>
      <c r="E8" s="365" t="s">
        <v>3538</v>
      </c>
      <c r="F8" s="364">
        <f>SUMIF(62:62,E8,63:63)-SUMIF(62:62,C8,63:63)+100</f>
        <v>100</v>
      </c>
      <c r="G8" s="365" t="s">
        <v>3538</v>
      </c>
      <c r="H8" s="362">
        <f>SUMIF(62:62,G8,63:63)-SUMIF(62:62,C8,63:63)+100</f>
        <v>100</v>
      </c>
      <c r="I8" s="365" t="s">
        <v>3538</v>
      </c>
      <c r="J8" s="362">
        <f>SUMIF(62:62,I8,63:63)-SUMIF(62:62,C8,63:63)+100</f>
        <v>100</v>
      </c>
      <c r="K8" s="557"/>
      <c r="L8" s="2709"/>
      <c r="M8" s="2710"/>
      <c r="N8" s="2710"/>
      <c r="O8" s="2710"/>
      <c r="P8" s="3784" t="s">
        <v>1683</v>
      </c>
      <c r="Q8" s="3785"/>
      <c r="R8" s="697" t="s">
        <v>14</v>
      </c>
      <c r="S8" s="698">
        <f t="shared" si="0"/>
        <v>100</v>
      </c>
      <c r="T8" s="697" t="s">
        <v>14</v>
      </c>
      <c r="U8" s="698">
        <f t="shared" si="1"/>
        <v>100</v>
      </c>
      <c r="V8" s="697" t="s">
        <v>14</v>
      </c>
      <c r="W8" s="698">
        <f t="shared" si="2"/>
        <v>100</v>
      </c>
      <c r="X8" s="699"/>
      <c r="Y8" s="3786" t="s">
        <v>1683</v>
      </c>
      <c r="Z8" s="3785"/>
      <c r="AA8" s="700">
        <f t="shared" ref="AA8:AA47" si="3">D8/F8</f>
        <v>1</v>
      </c>
      <c r="AB8" s="700">
        <f t="shared" ref="AB8:AB47" si="4">D8/H8</f>
        <v>1</v>
      </c>
      <c r="AC8" s="1951">
        <f t="shared" ref="AC8:AC47" si="5">D8/J8</f>
        <v>1</v>
      </c>
    </row>
    <row r="9" spans="1:29" s="108" customFormat="1">
      <c r="A9" s="366" t="s">
        <v>1684</v>
      </c>
      <c r="B9" s="63" t="s">
        <v>1685</v>
      </c>
      <c r="C9" s="3513" t="s">
        <v>3855</v>
      </c>
      <c r="D9" s="123">
        <v>100</v>
      </c>
      <c r="E9" s="370" t="s">
        <v>3462</v>
      </c>
      <c r="F9" s="123">
        <f>SUMIF(64:64,E9,65:65)-SUMIF(64:64,C9,65:65)+100</f>
        <v>100</v>
      </c>
      <c r="G9" s="370" t="s">
        <v>3462</v>
      </c>
      <c r="H9" s="123">
        <f>SUMIF(64:64,G9,65:65)-SUMIF(64:64,C9,65:65)+100</f>
        <v>100</v>
      </c>
      <c r="I9" s="370" t="s">
        <v>3462</v>
      </c>
      <c r="J9" s="123">
        <f>SUMIF(64:64,I9,65:65)-SUMIF(64:64,C9,65:65)+100</f>
        <v>100</v>
      </c>
      <c r="K9" s="557"/>
      <c r="L9" s="2709"/>
      <c r="M9" s="2710"/>
      <c r="N9" s="2710"/>
      <c r="O9" s="2710"/>
      <c r="P9" s="3744" t="s">
        <v>1686</v>
      </c>
      <c r="Q9" s="1335" t="str">
        <f t="shared" ref="Q9:Q15" si="6">B9</f>
        <v>用途</v>
      </c>
      <c r="R9" s="697" t="s">
        <v>14</v>
      </c>
      <c r="S9" s="698">
        <f t="shared" si="0"/>
        <v>100</v>
      </c>
      <c r="T9" s="697" t="s">
        <v>14</v>
      </c>
      <c r="U9" s="698">
        <f t="shared" si="1"/>
        <v>100</v>
      </c>
      <c r="V9" s="697" t="s">
        <v>14</v>
      </c>
      <c r="W9" s="698">
        <f t="shared" si="2"/>
        <v>100</v>
      </c>
      <c r="X9" s="699"/>
      <c r="Y9" s="3651" t="s">
        <v>1687</v>
      </c>
      <c r="Z9" s="52" t="str">
        <f t="shared" ref="Z9:Z15" si="7">Q9</f>
        <v>用途</v>
      </c>
      <c r="AA9" s="700">
        <f t="shared" si="3"/>
        <v>1</v>
      </c>
      <c r="AB9" s="700">
        <f t="shared" si="4"/>
        <v>1</v>
      </c>
      <c r="AC9" s="1951">
        <f t="shared" si="5"/>
        <v>1</v>
      </c>
    </row>
    <row r="10" spans="1:29" s="375" customFormat="1" ht="27">
      <c r="A10" s="371"/>
      <c r="B10" s="372" t="s">
        <v>1688</v>
      </c>
      <c r="C10" s="3426" t="s">
        <v>3521</v>
      </c>
      <c r="D10" s="124">
        <v>100</v>
      </c>
      <c r="E10" s="3426" t="s">
        <v>3521</v>
      </c>
      <c r="F10" s="124">
        <f>SUMIF(66:66,E10,67:67)-SUMIF(66:66,C10,67:67)+100</f>
        <v>100</v>
      </c>
      <c r="G10" s="3426" t="s">
        <v>3521</v>
      </c>
      <c r="H10" s="124">
        <f>SUMIF(66:66,G10,67:67)-SUMIF(66:66,C10,67:67)+100</f>
        <v>100</v>
      </c>
      <c r="I10" s="3426" t="s">
        <v>3885</v>
      </c>
      <c r="J10" s="124">
        <f>SUMIF(66:66,I10,67:67)-SUMIF(66:66,C10,67:67)+100</f>
        <v>99</v>
      </c>
      <c r="K10" s="557"/>
      <c r="L10" s="2711"/>
      <c r="M10" s="2712"/>
      <c r="N10" s="2712"/>
      <c r="O10" s="2712"/>
      <c r="P10" s="3744"/>
      <c r="Q10" s="1335" t="str">
        <f t="shared" si="6"/>
        <v>土地使用年限（年）</v>
      </c>
      <c r="R10" s="697" t="s">
        <v>14</v>
      </c>
      <c r="S10" s="698">
        <f t="shared" si="0"/>
        <v>100</v>
      </c>
      <c r="T10" s="697" t="s">
        <v>14</v>
      </c>
      <c r="U10" s="698">
        <f t="shared" si="1"/>
        <v>100</v>
      </c>
      <c r="V10" s="697" t="s">
        <v>14</v>
      </c>
      <c r="W10" s="698">
        <f t="shared" si="2"/>
        <v>99</v>
      </c>
      <c r="X10" s="699"/>
      <c r="Y10" s="3651"/>
      <c r="Z10" s="52" t="str">
        <f t="shared" si="7"/>
        <v>土地使用年限（年）</v>
      </c>
      <c r="AA10" s="700">
        <f t="shared" si="3"/>
        <v>1</v>
      </c>
      <c r="AB10" s="700">
        <f t="shared" si="4"/>
        <v>1</v>
      </c>
      <c r="AC10" s="1951">
        <f t="shared" si="5"/>
        <v>1.0101010101010102</v>
      </c>
    </row>
    <row r="11" spans="1:29" ht="15">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3"/>
      <c r="M11" s="2708"/>
      <c r="N11" s="2708"/>
      <c r="O11" s="2708"/>
      <c r="P11" s="3744"/>
      <c r="Q11" s="1335" t="str">
        <f t="shared" si="6"/>
        <v>容积率</v>
      </c>
      <c r="R11" s="697" t="s">
        <v>14</v>
      </c>
      <c r="S11" s="698">
        <f t="shared" si="0"/>
        <v>100</v>
      </c>
      <c r="T11" s="697" t="s">
        <v>14</v>
      </c>
      <c r="U11" s="698">
        <f t="shared" si="1"/>
        <v>100</v>
      </c>
      <c r="V11" s="697" t="s">
        <v>14</v>
      </c>
      <c r="W11" s="698">
        <f t="shared" si="2"/>
        <v>100</v>
      </c>
      <c r="X11" s="699"/>
      <c r="Y11" s="3651"/>
      <c r="Z11" s="52" t="str">
        <f t="shared" si="7"/>
        <v>容积率</v>
      </c>
      <c r="AA11" s="700">
        <f t="shared" si="3"/>
        <v>1</v>
      </c>
      <c r="AB11" s="700">
        <f t="shared" si="4"/>
        <v>1</v>
      </c>
      <c r="AC11" s="1951">
        <f t="shared" si="5"/>
        <v>1</v>
      </c>
    </row>
    <row r="12" spans="1:29" s="108" customFormat="1" ht="15">
      <c r="A12" s="379"/>
      <c r="B12" s="1885">
        <v>111</v>
      </c>
      <c r="C12" s="380">
        <v>2022</v>
      </c>
      <c r="D12" s="381">
        <v>100</v>
      </c>
      <c r="E12" s="380">
        <v>2021</v>
      </c>
      <c r="F12" s="124">
        <f>SUMIF(71:71,E12,72:72)-SUMIF(71:71,C12,72:72)+100</f>
        <v>100</v>
      </c>
      <c r="G12" s="380">
        <v>2021</v>
      </c>
      <c r="H12" s="124">
        <f>SUMIF(71:71,G12,72:72)-SUMIF(71:71,C12,72:72)+100</f>
        <v>100</v>
      </c>
      <c r="I12" s="380">
        <v>2015</v>
      </c>
      <c r="J12" s="124">
        <f>SUMIF(71:71,I12,72:72)-SUMIF(71:71,C12,72:72)+100</f>
        <v>100</v>
      </c>
      <c r="K12" s="559"/>
      <c r="L12" s="2709"/>
      <c r="M12" s="2710"/>
      <c r="N12" s="2710"/>
      <c r="O12" s="2710"/>
      <c r="P12" s="3744"/>
      <c r="Q12" s="1335">
        <f t="shared" si="6"/>
        <v>111</v>
      </c>
      <c r="R12" s="697" t="s">
        <v>14</v>
      </c>
      <c r="S12" s="698">
        <f t="shared" si="0"/>
        <v>100</v>
      </c>
      <c r="T12" s="697" t="s">
        <v>14</v>
      </c>
      <c r="U12" s="698">
        <f t="shared" si="1"/>
        <v>100</v>
      </c>
      <c r="V12" s="697" t="s">
        <v>14</v>
      </c>
      <c r="W12" s="698">
        <f t="shared" si="2"/>
        <v>100</v>
      </c>
      <c r="X12" s="699"/>
      <c r="Y12" s="3651"/>
      <c r="Z12" s="52">
        <f t="shared" si="7"/>
        <v>111</v>
      </c>
      <c r="AA12" s="700">
        <f>D12/F12</f>
        <v>1</v>
      </c>
      <c r="AB12" s="700">
        <f>D12/H12</f>
        <v>1</v>
      </c>
      <c r="AC12" s="1951">
        <f>D12/J12</f>
        <v>1</v>
      </c>
    </row>
    <row r="13" spans="1:29" ht="15">
      <c r="A13" s="376"/>
      <c r="B13" s="1885">
        <v>111</v>
      </c>
      <c r="C13" s="382"/>
      <c r="D13" s="383">
        <v>100</v>
      </c>
      <c r="E13" s="380"/>
      <c r="F13" s="124">
        <f>SUMIF(73:73,E13,74:74)-SUMIF(73:73,C13,74:74)+100</f>
        <v>100</v>
      </c>
      <c r="G13" s="1952"/>
      <c r="H13" s="383">
        <f>SUMIF(73:73,G13,74:74)-SUMIF(73:73,C13,74:74)+100</f>
        <v>100</v>
      </c>
      <c r="I13" s="380"/>
      <c r="J13" s="383">
        <f>SUMIF(73:73,I13,74:74)-SUMIF(73:73,C13,74:74)+100</f>
        <v>100</v>
      </c>
      <c r="K13" s="559"/>
      <c r="L13" s="2714"/>
      <c r="M13" s="2708"/>
      <c r="N13" s="2708"/>
      <c r="O13" s="2708"/>
      <c r="P13" s="3744"/>
      <c r="Q13" s="1335">
        <f t="shared" si="6"/>
        <v>111</v>
      </c>
      <c r="R13" s="697" t="s">
        <v>14</v>
      </c>
      <c r="S13" s="698">
        <f t="shared" si="0"/>
        <v>100</v>
      </c>
      <c r="T13" s="697" t="s">
        <v>14</v>
      </c>
      <c r="U13" s="698">
        <f t="shared" si="1"/>
        <v>100</v>
      </c>
      <c r="V13" s="697" t="s">
        <v>14</v>
      </c>
      <c r="W13" s="698">
        <f t="shared" si="2"/>
        <v>100</v>
      </c>
      <c r="X13" s="699"/>
      <c r="Y13" s="3651"/>
      <c r="Z13" s="52">
        <f t="shared" si="7"/>
        <v>111</v>
      </c>
      <c r="AA13" s="700">
        <f t="shared" si="3"/>
        <v>1</v>
      </c>
      <c r="AB13" s="700">
        <f t="shared" si="4"/>
        <v>1</v>
      </c>
      <c r="AC13" s="1951">
        <f t="shared" si="5"/>
        <v>1</v>
      </c>
    </row>
    <row r="14" spans="1:29" ht="15.75" thickBot="1">
      <c r="A14" s="384"/>
      <c r="B14" s="1887">
        <v>111</v>
      </c>
      <c r="C14" s="385"/>
      <c r="D14" s="386">
        <v>100</v>
      </c>
      <c r="E14" s="573"/>
      <c r="F14" s="386">
        <f>SUMIF(75:75,E14,76:76)-SUMIF(75:75,C14,76:76)+100</f>
        <v>100</v>
      </c>
      <c r="G14" s="1952"/>
      <c r="H14" s="386">
        <f>SUMIF(75:75,G14,76:76)-SUMIF(75:75,C14,76:76)+100</f>
        <v>100</v>
      </c>
      <c r="I14" s="380"/>
      <c r="J14" s="386">
        <f>SUMIF(75:75,I14,76:76)-SUMIF(75:75,C14,76:76)+100</f>
        <v>100</v>
      </c>
      <c r="K14" s="559"/>
      <c r="L14" s="2714"/>
      <c r="M14" s="2708"/>
      <c r="N14" s="2708"/>
      <c r="O14" s="2708"/>
      <c r="P14" s="3744"/>
      <c r="Q14" s="1335">
        <f t="shared" si="6"/>
        <v>111</v>
      </c>
      <c r="R14" s="697" t="s">
        <v>14</v>
      </c>
      <c r="S14" s="698">
        <f t="shared" si="0"/>
        <v>100</v>
      </c>
      <c r="T14" s="697" t="s">
        <v>14</v>
      </c>
      <c r="U14" s="698">
        <f t="shared" si="1"/>
        <v>100</v>
      </c>
      <c r="V14" s="697" t="s">
        <v>14</v>
      </c>
      <c r="W14" s="698">
        <f t="shared" si="2"/>
        <v>100</v>
      </c>
      <c r="X14" s="699"/>
      <c r="Y14" s="3651"/>
      <c r="Z14" s="52">
        <f t="shared" si="7"/>
        <v>111</v>
      </c>
      <c r="AA14" s="700">
        <f t="shared" si="3"/>
        <v>1</v>
      </c>
      <c r="AB14" s="700">
        <f t="shared" si="4"/>
        <v>1</v>
      </c>
      <c r="AC14" s="1951">
        <f t="shared" si="5"/>
        <v>1</v>
      </c>
    </row>
    <row r="15" spans="1:29" ht="71.25">
      <c r="A15" s="388" t="s">
        <v>1690</v>
      </c>
      <c r="B15" s="574" t="s">
        <v>1811</v>
      </c>
      <c r="C15" s="1953"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v>2</v>
      </c>
      <c r="L15" s="2714"/>
      <c r="M15" s="2708"/>
      <c r="N15" s="2708"/>
      <c r="O15" s="2708"/>
      <c r="P15" s="3750" t="s">
        <v>1691</v>
      </c>
      <c r="Q15" s="1344" t="str">
        <f t="shared" si="6"/>
        <v>办公集聚程度</v>
      </c>
      <c r="R15" s="701" t="s">
        <v>14</v>
      </c>
      <c r="S15" s="702">
        <f t="shared" si="0"/>
        <v>100</v>
      </c>
      <c r="T15" s="701" t="s">
        <v>14</v>
      </c>
      <c r="U15" s="702">
        <f t="shared" si="1"/>
        <v>100</v>
      </c>
      <c r="V15" s="701" t="s">
        <v>14</v>
      </c>
      <c r="W15" s="702">
        <f t="shared" si="2"/>
        <v>100</v>
      </c>
      <c r="X15" s="1347"/>
      <c r="Y15" s="3752" t="s">
        <v>1691</v>
      </c>
      <c r="Z15" s="1348" t="str">
        <f t="shared" si="7"/>
        <v>办公集聚程度</v>
      </c>
      <c r="AA15" s="1345">
        <f t="shared" si="3"/>
        <v>1</v>
      </c>
      <c r="AB15" s="1345">
        <f t="shared" si="4"/>
        <v>1</v>
      </c>
      <c r="AC15" s="1954">
        <f t="shared" si="5"/>
        <v>1</v>
      </c>
    </row>
    <row r="16" spans="1:29" ht="15">
      <c r="A16" s="376"/>
      <c r="B16" s="575"/>
      <c r="C16" s="1896" t="s">
        <v>3540</v>
      </c>
      <c r="D16" s="396"/>
      <c r="E16" s="1896" t="s">
        <v>3540</v>
      </c>
      <c r="F16" s="396"/>
      <c r="G16" s="1896" t="s">
        <v>3540</v>
      </c>
      <c r="H16" s="398"/>
      <c r="I16" s="1896" t="s">
        <v>3540</v>
      </c>
      <c r="J16" s="396"/>
      <c r="K16" s="561"/>
      <c r="L16" s="2714"/>
      <c r="M16" s="2708"/>
      <c r="N16" s="2708"/>
      <c r="O16" s="2708"/>
      <c r="P16" s="3751"/>
      <c r="Q16" s="1344"/>
      <c r="R16" s="701"/>
      <c r="S16" s="702"/>
      <c r="T16" s="701"/>
      <c r="U16" s="702"/>
      <c r="V16" s="701"/>
      <c r="W16" s="702"/>
      <c r="X16" s="1347"/>
      <c r="Y16" s="3753"/>
      <c r="Z16" s="1348"/>
      <c r="AA16" s="1345">
        <v>1</v>
      </c>
      <c r="AB16" s="1345">
        <v>1</v>
      </c>
      <c r="AC16" s="1954">
        <v>1</v>
      </c>
    </row>
    <row r="17" spans="1:29" ht="71.25">
      <c r="A17" s="376"/>
      <c r="B17" s="576" t="s">
        <v>1259</v>
      </c>
      <c r="C17" s="1955" t="str">
        <f>估价对象房地状况!C6</f>
        <v>估价对象周边道路状况、公共交通通达情况、停车便捷程度，综合评价交通便捷度较好</v>
      </c>
      <c r="D17" s="398">
        <v>100</v>
      </c>
      <c r="E17" s="402"/>
      <c r="F17" s="398">
        <f>SUMIF(79:79,E18,80:80)-SUMIF(79:79,C18,80:80)+100</f>
        <v>100</v>
      </c>
      <c r="G17" s="402"/>
      <c r="H17" s="403">
        <f>SUMIF(79:79,G18,80:80)-SUMIF(79:79,C18,80:80)+100</f>
        <v>100</v>
      </c>
      <c r="I17" s="400"/>
      <c r="J17" s="403">
        <f>SUMIF(79:79,I18,80:80)-SUMIF(79:79,C18,80:80)+100</f>
        <v>101</v>
      </c>
      <c r="K17" s="560">
        <v>1</v>
      </c>
      <c r="L17" s="2714"/>
      <c r="M17" s="2708"/>
      <c r="N17" s="2708"/>
      <c r="O17" s="2708"/>
      <c r="P17" s="3751"/>
      <c r="Q17" s="1344" t="str">
        <f>B17</f>
        <v>交通便捷度</v>
      </c>
      <c r="R17" s="701" t="s">
        <v>14</v>
      </c>
      <c r="S17" s="702">
        <f>F17</f>
        <v>100</v>
      </c>
      <c r="T17" s="701" t="s">
        <v>14</v>
      </c>
      <c r="U17" s="702">
        <f>H17</f>
        <v>100</v>
      </c>
      <c r="V17" s="701" t="s">
        <v>14</v>
      </c>
      <c r="W17" s="702">
        <f>J17</f>
        <v>101</v>
      </c>
      <c r="X17" s="1347"/>
      <c r="Y17" s="3753"/>
      <c r="Z17" s="1348" t="str">
        <f>Q17</f>
        <v>交通便捷度</v>
      </c>
      <c r="AA17" s="1345">
        <f t="shared" si="3"/>
        <v>1</v>
      </c>
      <c r="AB17" s="1345">
        <f t="shared" si="4"/>
        <v>1</v>
      </c>
      <c r="AC17" s="1954">
        <f t="shared" si="5"/>
        <v>0.99009900990099009</v>
      </c>
    </row>
    <row r="18" spans="1:29" ht="15">
      <c r="A18" s="376"/>
      <c r="B18" s="577"/>
      <c r="C18" s="1956" t="s">
        <v>3540</v>
      </c>
      <c r="D18" s="398"/>
      <c r="E18" s="1894" t="s">
        <v>3540</v>
      </c>
      <c r="F18" s="398"/>
      <c r="G18" s="1894" t="s">
        <v>3540</v>
      </c>
      <c r="H18" s="396"/>
      <c r="I18" s="1894" t="s">
        <v>3917</v>
      </c>
      <c r="J18" s="396"/>
      <c r="K18" s="561"/>
      <c r="L18" s="2714"/>
      <c r="M18" s="2708"/>
      <c r="N18" s="2708"/>
      <c r="O18" s="2708"/>
      <c r="P18" s="3751"/>
      <c r="Q18" s="1344"/>
      <c r="R18" s="701"/>
      <c r="S18" s="702"/>
      <c r="T18" s="701"/>
      <c r="U18" s="702"/>
      <c r="V18" s="701"/>
      <c r="W18" s="702"/>
      <c r="X18" s="1347"/>
      <c r="Y18" s="3753"/>
      <c r="Z18" s="1348"/>
      <c r="AA18" s="1345">
        <v>1</v>
      </c>
      <c r="AB18" s="1345">
        <v>1</v>
      </c>
      <c r="AC18" s="1954">
        <v>1</v>
      </c>
    </row>
    <row r="19" spans="1:29" ht="42.75">
      <c r="A19" s="376"/>
      <c r="B19" s="576" t="s">
        <v>1812</v>
      </c>
      <c r="C19" s="1955" t="str">
        <f>估价对象房地状况!C7</f>
        <v>估价对象所在区域公共配套设施齐备情况</v>
      </c>
      <c r="D19" s="403">
        <v>100</v>
      </c>
      <c r="E19" s="407"/>
      <c r="F19" s="403">
        <f>SUMIF(81:81,E20,82:82)-SUMIF(81:81,C20,82:82)+100</f>
        <v>100</v>
      </c>
      <c r="G19" s="407"/>
      <c r="H19" s="398">
        <f>SUMIF(81:81,G20,82:82)-SUMIF(81:81,C20,82:82)+100</f>
        <v>100</v>
      </c>
      <c r="I19" s="407"/>
      <c r="J19" s="398">
        <f>SUMIF(81:81,I20,82:82)-SUMIF(81:81,C20,82:82)+100</f>
        <v>100</v>
      </c>
      <c r="K19" s="560">
        <v>2</v>
      </c>
      <c r="L19" s="2714"/>
      <c r="M19" s="2708"/>
      <c r="N19" s="2708"/>
      <c r="O19" s="2708"/>
      <c r="P19" s="3751"/>
      <c r="Q19" s="1344" t="str">
        <f>B19</f>
        <v>公共配套设施</v>
      </c>
      <c r="R19" s="701" t="s">
        <v>14</v>
      </c>
      <c r="S19" s="702">
        <f>F19</f>
        <v>100</v>
      </c>
      <c r="T19" s="701" t="s">
        <v>14</v>
      </c>
      <c r="U19" s="702">
        <f>H19</f>
        <v>100</v>
      </c>
      <c r="V19" s="701" t="s">
        <v>14</v>
      </c>
      <c r="W19" s="702">
        <f>J19</f>
        <v>100</v>
      </c>
      <c r="X19" s="1347"/>
      <c r="Y19" s="3753"/>
      <c r="Z19" s="1348" t="str">
        <f>Q19</f>
        <v>公共配套设施</v>
      </c>
      <c r="AA19" s="1345">
        <f t="shared" si="3"/>
        <v>1</v>
      </c>
      <c r="AB19" s="1345">
        <f t="shared" si="4"/>
        <v>1</v>
      </c>
      <c r="AC19" s="1954">
        <f t="shared" si="5"/>
        <v>1</v>
      </c>
    </row>
    <row r="20" spans="1:29" ht="15">
      <c r="A20" s="376"/>
      <c r="B20" s="577"/>
      <c r="C20" s="1896" t="s">
        <v>3540</v>
      </c>
      <c r="D20" s="396"/>
      <c r="E20" s="1889" t="s">
        <v>3540</v>
      </c>
      <c r="F20" s="396"/>
      <c r="G20" s="1889" t="s">
        <v>3540</v>
      </c>
      <c r="H20" s="396"/>
      <c r="I20" s="1889" t="s">
        <v>3540</v>
      </c>
      <c r="J20" s="396"/>
      <c r="K20" s="561"/>
      <c r="L20" s="2714"/>
      <c r="M20" s="2708"/>
      <c r="N20" s="2708"/>
      <c r="O20" s="2708"/>
      <c r="P20" s="3751"/>
      <c r="Q20" s="1344"/>
      <c r="R20" s="701"/>
      <c r="S20" s="702"/>
      <c r="T20" s="701"/>
      <c r="U20" s="702"/>
      <c r="V20" s="701"/>
      <c r="W20" s="702"/>
      <c r="X20" s="1347"/>
      <c r="Y20" s="3753"/>
      <c r="Z20" s="1348"/>
      <c r="AA20" s="1345">
        <v>1</v>
      </c>
      <c r="AB20" s="1345">
        <v>1</v>
      </c>
      <c r="AC20" s="1954">
        <v>1</v>
      </c>
    </row>
    <row r="21" spans="1:29" ht="28.5">
      <c r="A21" s="376"/>
      <c r="B21" s="578" t="s">
        <v>1813</v>
      </c>
      <c r="C21" s="1955" t="str">
        <f>估价对象房地状况!C8</f>
        <v>估价对象所在区域基础设施水平</v>
      </c>
      <c r="D21" s="398">
        <v>100</v>
      </c>
      <c r="E21" s="407"/>
      <c r="F21" s="403">
        <f>SUMIF(83:83,E22,84:84)-SUMIF(83:83,C22,84:84)+100</f>
        <v>100</v>
      </c>
      <c r="G21" s="407"/>
      <c r="H21" s="398">
        <f>SUMIF(83:83,G22,84:84)-SUMIF(83:83,C22,84:84)+100</f>
        <v>100</v>
      </c>
      <c r="I21" s="407"/>
      <c r="J21" s="398">
        <f>SUMIF(83:83,I22,84:84)-SUMIF(83:83,C22,84:84)+100</f>
        <v>100</v>
      </c>
      <c r="K21" s="560">
        <v>1</v>
      </c>
      <c r="L21" s="2714"/>
      <c r="M21" s="2708"/>
      <c r="N21" s="2708"/>
      <c r="O21" s="2708"/>
      <c r="P21" s="3751"/>
      <c r="Q21" s="1344" t="str">
        <f>B21</f>
        <v>基础设施水平</v>
      </c>
      <c r="R21" s="701" t="s">
        <v>14</v>
      </c>
      <c r="S21" s="702">
        <f>F21</f>
        <v>100</v>
      </c>
      <c r="T21" s="701" t="s">
        <v>14</v>
      </c>
      <c r="U21" s="702">
        <f>H21</f>
        <v>100</v>
      </c>
      <c r="V21" s="701" t="s">
        <v>14</v>
      </c>
      <c r="W21" s="702">
        <f>J21</f>
        <v>100</v>
      </c>
      <c r="X21" s="1347"/>
      <c r="Y21" s="3753"/>
      <c r="Z21" s="1348" t="str">
        <f>Q21</f>
        <v>基础设施水平</v>
      </c>
      <c r="AA21" s="1345">
        <f t="shared" ref="AA21" si="8">D21/F21</f>
        <v>1</v>
      </c>
      <c r="AB21" s="1345">
        <f t="shared" ref="AB21" si="9">D21/H21</f>
        <v>1</v>
      </c>
      <c r="AC21" s="1954">
        <f t="shared" ref="AC21" si="10">D21/J21</f>
        <v>1</v>
      </c>
    </row>
    <row r="22" spans="1:29" ht="15">
      <c r="A22" s="376"/>
      <c r="B22" s="578"/>
      <c r="C22" s="1956" t="s">
        <v>3533</v>
      </c>
      <c r="D22" s="396"/>
      <c r="E22" s="395" t="s">
        <v>3533</v>
      </c>
      <c r="F22" s="396"/>
      <c r="G22" s="395" t="s">
        <v>3533</v>
      </c>
      <c r="H22" s="396"/>
      <c r="I22" s="395" t="s">
        <v>3533</v>
      </c>
      <c r="J22" s="396"/>
      <c r="K22" s="1122"/>
      <c r="L22" s="2714"/>
      <c r="M22" s="2708"/>
      <c r="N22" s="2708"/>
      <c r="O22" s="2708"/>
      <c r="P22" s="3751"/>
      <c r="Q22" s="1344"/>
      <c r="R22" s="701"/>
      <c r="S22" s="702"/>
      <c r="T22" s="701"/>
      <c r="U22" s="702"/>
      <c r="V22" s="701"/>
      <c r="W22" s="702"/>
      <c r="X22" s="1347"/>
      <c r="Y22" s="3753"/>
      <c r="Z22" s="1348"/>
      <c r="AA22" s="1345">
        <v>1</v>
      </c>
      <c r="AB22" s="1345">
        <v>1</v>
      </c>
      <c r="AC22" s="1954">
        <v>1</v>
      </c>
    </row>
    <row r="23" spans="1:29" ht="42.75">
      <c r="A23" s="376"/>
      <c r="B23" s="576" t="s">
        <v>1814</v>
      </c>
      <c r="C23" s="1955" t="str">
        <f>估价对象房地状况!C9</f>
        <v>区域自然环境：；人文环境；综合评价环境状况一般</v>
      </c>
      <c r="D23" s="398">
        <v>100</v>
      </c>
      <c r="E23" s="402"/>
      <c r="F23" s="398">
        <f>SUMIF(85:85,E24,86:86)-SUMIF(85:85,C24,86:86)+100</f>
        <v>101</v>
      </c>
      <c r="G23" s="402"/>
      <c r="H23" s="398">
        <f>SUMIF(85:85,G24,86:86)-SUMIF(85:85,C24,86:86)+100</f>
        <v>101</v>
      </c>
      <c r="I23" s="402"/>
      <c r="J23" s="398">
        <f>SUMIF(85:85,I24,86:86)-SUMIF(85:85,C24,86:86)+100</f>
        <v>101</v>
      </c>
      <c r="K23" s="560">
        <v>1</v>
      </c>
      <c r="L23" s="2714"/>
      <c r="M23" s="2708"/>
      <c r="N23" s="2708"/>
      <c r="O23" s="2708"/>
      <c r="P23" s="3751"/>
      <c r="Q23" s="1344" t="str">
        <f>B23</f>
        <v>环境质量</v>
      </c>
      <c r="R23" s="701" t="s">
        <v>14</v>
      </c>
      <c r="S23" s="702">
        <f>F23</f>
        <v>101</v>
      </c>
      <c r="T23" s="701" t="s">
        <v>14</v>
      </c>
      <c r="U23" s="702">
        <f>H23</f>
        <v>101</v>
      </c>
      <c r="V23" s="701" t="s">
        <v>14</v>
      </c>
      <c r="W23" s="702">
        <f>J23</f>
        <v>101</v>
      </c>
      <c r="X23" s="1347"/>
      <c r="Y23" s="3753"/>
      <c r="Z23" s="1348" t="str">
        <f>Q23</f>
        <v>环境质量</v>
      </c>
      <c r="AA23" s="1345">
        <f t="shared" si="3"/>
        <v>0.99009900990099009</v>
      </c>
      <c r="AB23" s="1345">
        <f t="shared" si="4"/>
        <v>0.99009900990099009</v>
      </c>
      <c r="AC23" s="1954">
        <f t="shared" si="5"/>
        <v>0.99009900990099009</v>
      </c>
    </row>
    <row r="24" spans="1:29" ht="15">
      <c r="A24" s="376"/>
      <c r="B24" s="578"/>
      <c r="C24" s="1896" t="s">
        <v>3539</v>
      </c>
      <c r="D24" s="396"/>
      <c r="E24" s="1889" t="s">
        <v>3540</v>
      </c>
      <c r="F24" s="396"/>
      <c r="G24" s="1889" t="s">
        <v>3540</v>
      </c>
      <c r="H24" s="396"/>
      <c r="I24" s="1889" t="s">
        <v>3540</v>
      </c>
      <c r="J24" s="396"/>
      <c r="K24" s="561"/>
      <c r="L24" s="2714"/>
      <c r="M24" s="2708"/>
      <c r="N24" s="2708"/>
      <c r="O24" s="2708"/>
      <c r="P24" s="3751"/>
      <c r="Q24" s="1344"/>
      <c r="R24" s="701"/>
      <c r="S24" s="702"/>
      <c r="T24" s="701"/>
      <c r="U24" s="702"/>
      <c r="V24" s="701"/>
      <c r="W24" s="702"/>
      <c r="X24" s="1347"/>
      <c r="Y24" s="3753"/>
      <c r="Z24" s="1348"/>
      <c r="AA24" s="1345">
        <v>1</v>
      </c>
      <c r="AB24" s="1345">
        <v>1</v>
      </c>
      <c r="AC24" s="1954">
        <v>1</v>
      </c>
    </row>
    <row r="25" spans="1:29" ht="27">
      <c r="A25" s="355"/>
      <c r="B25" s="576" t="s">
        <v>1815</v>
      </c>
      <c r="C25" s="1900"/>
      <c r="D25" s="383">
        <v>100</v>
      </c>
      <c r="E25" s="382"/>
      <c r="F25" s="383">
        <f>SUMIF(87:87,E26,88:88)-SUMIF(87:87,C26,88:88)+100</f>
        <v>100</v>
      </c>
      <c r="G25" s="1900"/>
      <c r="H25" s="383">
        <f>SUMIF(87:87,G26,88:88)-SUMIF(87:87,C26,88:88)+100</f>
        <v>100</v>
      </c>
      <c r="I25" s="382"/>
      <c r="J25" s="383">
        <f>SUMIF(87:87,I26,88:88)-SUMIF(87:87,C26,88:88)+100</f>
        <v>100</v>
      </c>
      <c r="K25" s="560">
        <v>1</v>
      </c>
      <c r="L25" s="2714"/>
      <c r="M25" s="2708"/>
      <c r="N25" s="2708"/>
      <c r="O25" s="2708"/>
      <c r="P25" s="3751"/>
      <c r="Q25" s="1344" t="str">
        <f>B25</f>
        <v>毗邻道路的类型与等级</v>
      </c>
      <c r="R25" s="701" t="s">
        <v>14</v>
      </c>
      <c r="S25" s="702">
        <f>F25</f>
        <v>100</v>
      </c>
      <c r="T25" s="701" t="s">
        <v>14</v>
      </c>
      <c r="U25" s="702">
        <f>H25</f>
        <v>100</v>
      </c>
      <c r="V25" s="701" t="s">
        <v>14</v>
      </c>
      <c r="W25" s="702">
        <f>J25</f>
        <v>100</v>
      </c>
      <c r="X25" s="1347"/>
      <c r="Y25" s="3753"/>
      <c r="Z25" s="1348" t="str">
        <f>Q25</f>
        <v>毗邻道路的类型与等级</v>
      </c>
      <c r="AA25" s="1345">
        <f t="shared" si="3"/>
        <v>1</v>
      </c>
      <c r="AB25" s="1345">
        <f t="shared" si="4"/>
        <v>1</v>
      </c>
      <c r="AC25" s="1954">
        <f t="shared" si="5"/>
        <v>1</v>
      </c>
    </row>
    <row r="26" spans="1:29" ht="15">
      <c r="A26" s="355"/>
      <c r="B26" s="577"/>
      <c r="C26" s="579" t="s">
        <v>3850</v>
      </c>
      <c r="D26" s="383"/>
      <c r="E26" s="579" t="s">
        <v>3850</v>
      </c>
      <c r="F26" s="383"/>
      <c r="G26" s="579" t="s">
        <v>3850</v>
      </c>
      <c r="H26" s="383"/>
      <c r="I26" s="579" t="s">
        <v>3850</v>
      </c>
      <c r="J26" s="383"/>
      <c r="K26" s="561"/>
      <c r="L26" s="2714"/>
      <c r="M26" s="2708"/>
      <c r="N26" s="2708"/>
      <c r="O26" s="2708"/>
      <c r="P26" s="3751"/>
      <c r="Q26" s="1344"/>
      <c r="R26" s="701"/>
      <c r="S26" s="702"/>
      <c r="T26" s="701"/>
      <c r="U26" s="702"/>
      <c r="V26" s="701"/>
      <c r="W26" s="702"/>
      <c r="X26" s="1347"/>
      <c r="Y26" s="3753"/>
      <c r="Z26" s="1348"/>
      <c r="AA26" s="1345">
        <v>1</v>
      </c>
      <c r="AB26" s="1345">
        <v>1</v>
      </c>
      <c r="AC26" s="1954">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751"/>
      <c r="Q27" s="1344" t="str">
        <f t="shared" ref="Q27:Q47" si="11">B27</f>
        <v>楼层</v>
      </c>
      <c r="R27" s="701" t="s">
        <v>14</v>
      </c>
      <c r="S27" s="702">
        <f>F27</f>
        <v>100</v>
      </c>
      <c r="T27" s="701" t="s">
        <v>14</v>
      </c>
      <c r="U27" s="702">
        <f>H27</f>
        <v>100</v>
      </c>
      <c r="V27" s="701" t="s">
        <v>14</v>
      </c>
      <c r="W27" s="702">
        <f>J27</f>
        <v>100</v>
      </c>
      <c r="X27" s="1347"/>
      <c r="Y27" s="3753"/>
      <c r="Z27" s="1348" t="str">
        <f>Q27</f>
        <v>楼层</v>
      </c>
      <c r="AA27" s="1345">
        <f t="shared" si="3"/>
        <v>1</v>
      </c>
      <c r="AB27" s="1345">
        <f t="shared" si="4"/>
        <v>1</v>
      </c>
      <c r="AC27" s="1954">
        <f t="shared" si="5"/>
        <v>1</v>
      </c>
    </row>
    <row r="28" spans="1:29" s="108" customFormat="1" ht="15">
      <c r="A28" s="379"/>
      <c r="B28" s="576" t="s">
        <v>1816</v>
      </c>
      <c r="C28" s="1957"/>
      <c r="D28" s="410">
        <v>100</v>
      </c>
      <c r="E28" s="1948"/>
      <c r="F28" s="410">
        <f>SUMIF(91:91,E28,92:92)-SUMIF(91:91,C28,92:92)+100</f>
        <v>100</v>
      </c>
      <c r="G28" s="1957"/>
      <c r="H28" s="410">
        <f>SUMIF(91:91,G28,92:92)-SUMIF(91:91,C28,92:92)+100</f>
        <v>100</v>
      </c>
      <c r="I28" s="1948"/>
      <c r="J28" s="410">
        <f>SUMIF(91:91,I28,92:92)-SUMIF(91:91,C28,92:92)+100</f>
        <v>100</v>
      </c>
      <c r="K28" s="558"/>
      <c r="L28" s="2709"/>
      <c r="M28" s="2710"/>
      <c r="N28" s="2710"/>
      <c r="O28" s="2710"/>
      <c r="P28" s="3751"/>
      <c r="Q28" s="1335" t="str">
        <f t="shared" si="11"/>
        <v>朝向</v>
      </c>
      <c r="R28" s="697" t="s">
        <v>14</v>
      </c>
      <c r="S28" s="698">
        <f>F28</f>
        <v>100</v>
      </c>
      <c r="T28" s="697" t="s">
        <v>14</v>
      </c>
      <c r="U28" s="698">
        <f>H28</f>
        <v>100</v>
      </c>
      <c r="V28" s="697" t="s">
        <v>14</v>
      </c>
      <c r="W28" s="698">
        <f>J28</f>
        <v>100</v>
      </c>
      <c r="X28" s="699"/>
      <c r="Y28" s="3753"/>
      <c r="Z28" s="52" t="str">
        <f>Q28</f>
        <v>朝向</v>
      </c>
      <c r="AA28" s="1345">
        <f>D28/F28</f>
        <v>1</v>
      </c>
      <c r="AB28" s="1345">
        <f>D28/H28</f>
        <v>1</v>
      </c>
      <c r="AC28" s="1954">
        <f>D28/J28</f>
        <v>1</v>
      </c>
    </row>
    <row r="29" spans="1:29" ht="15">
      <c r="A29" s="376"/>
      <c r="B29" s="1958">
        <v>111</v>
      </c>
      <c r="C29" s="1900"/>
      <c r="D29" s="383">
        <v>100</v>
      </c>
      <c r="E29" s="380"/>
      <c r="F29" s="383">
        <f>SUMIF(93:93,E29,94:94)-SUMIF(93:93,C29,94:94)+100</f>
        <v>100</v>
      </c>
      <c r="G29" s="1952"/>
      <c r="H29" s="383">
        <f>SUMIF(93:93,G29,94:94)-SUMIF(93:93,C29,94:94)+100</f>
        <v>100</v>
      </c>
      <c r="I29" s="380"/>
      <c r="J29" s="383">
        <f>SUMIF(93:93,I29,94:94)-SUMIF(93:93,C29,94:94)+100</f>
        <v>100</v>
      </c>
      <c r="K29" s="559"/>
      <c r="L29" s="2714"/>
      <c r="M29" s="2708"/>
      <c r="N29" s="2708"/>
      <c r="O29" s="2708"/>
      <c r="P29" s="3751"/>
      <c r="Q29" s="1344">
        <f t="shared" si="11"/>
        <v>111</v>
      </c>
      <c r="R29" s="701" t="s">
        <v>14</v>
      </c>
      <c r="S29" s="702">
        <f t="shared" ref="S29:S47" si="12">F29</f>
        <v>100</v>
      </c>
      <c r="T29" s="701" t="s">
        <v>14</v>
      </c>
      <c r="U29" s="702">
        <f t="shared" ref="U29:U47" si="13">H29</f>
        <v>100</v>
      </c>
      <c r="V29" s="701" t="s">
        <v>14</v>
      </c>
      <c r="W29" s="702">
        <f t="shared" ref="W29:W47" si="14">J29</f>
        <v>100</v>
      </c>
      <c r="X29" s="1347"/>
      <c r="Y29" s="3753"/>
      <c r="Z29" s="1348">
        <f t="shared" ref="Z29:Z47" si="15">Q29</f>
        <v>111</v>
      </c>
      <c r="AA29" s="1345">
        <f t="shared" si="3"/>
        <v>1</v>
      </c>
      <c r="AB29" s="1345">
        <f t="shared" si="4"/>
        <v>1</v>
      </c>
      <c r="AC29" s="1954">
        <f t="shared" si="5"/>
        <v>1</v>
      </c>
    </row>
    <row r="30" spans="1:29" ht="15">
      <c r="A30" s="376"/>
      <c r="B30" s="1958">
        <v>111</v>
      </c>
      <c r="C30" s="1900"/>
      <c r="D30" s="383">
        <v>100</v>
      </c>
      <c r="E30" s="380"/>
      <c r="F30" s="383">
        <f>SUMIF(95:95,E30,96:96)-SUMIF(95:95,C30,96:96)+100</f>
        <v>100</v>
      </c>
      <c r="G30" s="1952"/>
      <c r="H30" s="383">
        <f>SUMIF(95:95,G30,96:96)-SUMIF(95:95,C30,96:96)+100</f>
        <v>100</v>
      </c>
      <c r="I30" s="380"/>
      <c r="J30" s="383">
        <f>SUMIF(95:95,I30,96:96)-SUMIF(95:95,C30,96:96)+100</f>
        <v>100</v>
      </c>
      <c r="K30" s="559"/>
      <c r="L30" s="2714"/>
      <c r="M30" s="2708"/>
      <c r="N30" s="2708"/>
      <c r="O30" s="2708"/>
      <c r="P30" s="3751"/>
      <c r="Q30" s="1344">
        <f t="shared" si="11"/>
        <v>111</v>
      </c>
      <c r="R30" s="701" t="s">
        <v>14</v>
      </c>
      <c r="S30" s="702">
        <f t="shared" si="12"/>
        <v>100</v>
      </c>
      <c r="T30" s="701" t="s">
        <v>14</v>
      </c>
      <c r="U30" s="702">
        <f t="shared" si="13"/>
        <v>100</v>
      </c>
      <c r="V30" s="701" t="s">
        <v>14</v>
      </c>
      <c r="W30" s="702">
        <f t="shared" si="14"/>
        <v>100</v>
      </c>
      <c r="X30" s="1347"/>
      <c r="Y30" s="3753"/>
      <c r="Z30" s="1348">
        <f t="shared" si="15"/>
        <v>111</v>
      </c>
      <c r="AA30" s="1345">
        <f t="shared" si="3"/>
        <v>1</v>
      </c>
      <c r="AB30" s="1345">
        <f t="shared" si="4"/>
        <v>1</v>
      </c>
      <c r="AC30" s="1954">
        <f t="shared" si="5"/>
        <v>1</v>
      </c>
    </row>
    <row r="31" spans="1:29" ht="15">
      <c r="A31" s="376"/>
      <c r="B31" s="1958">
        <v>111</v>
      </c>
      <c r="C31" s="1900"/>
      <c r="D31" s="383">
        <v>100</v>
      </c>
      <c r="E31" s="380"/>
      <c r="F31" s="383">
        <f>SUMIF(97:97,E31,98:98)-SUMIF(97:97,C31,98:98)+100</f>
        <v>100</v>
      </c>
      <c r="G31" s="1952"/>
      <c r="H31" s="383">
        <f>SUMIF(97:97,G31,98:98)-SUMIF(97:97,C31,98:98)+100</f>
        <v>100</v>
      </c>
      <c r="I31" s="380"/>
      <c r="J31" s="383">
        <f>SUMIF(97:97,I31,98:98)-SUMIF(97:97,C31,98:98)+100</f>
        <v>100</v>
      </c>
      <c r="K31" s="559"/>
      <c r="L31" s="2714"/>
      <c r="M31" s="2708"/>
      <c r="N31" s="2708"/>
      <c r="O31" s="2708"/>
      <c r="P31" s="3751"/>
      <c r="Q31" s="1344">
        <f t="shared" si="11"/>
        <v>111</v>
      </c>
      <c r="R31" s="701" t="s">
        <v>14</v>
      </c>
      <c r="S31" s="702">
        <f t="shared" si="12"/>
        <v>100</v>
      </c>
      <c r="T31" s="701" t="s">
        <v>14</v>
      </c>
      <c r="U31" s="702">
        <f t="shared" si="13"/>
        <v>100</v>
      </c>
      <c r="V31" s="701" t="s">
        <v>14</v>
      </c>
      <c r="W31" s="702">
        <f t="shared" si="14"/>
        <v>100</v>
      </c>
      <c r="X31" s="1347"/>
      <c r="Y31" s="3753"/>
      <c r="Z31" s="1348">
        <f t="shared" si="15"/>
        <v>111</v>
      </c>
      <c r="AA31" s="1345">
        <f t="shared" si="3"/>
        <v>1</v>
      </c>
      <c r="AB31" s="1345">
        <f t="shared" si="4"/>
        <v>1</v>
      </c>
      <c r="AC31" s="1954">
        <f t="shared" si="5"/>
        <v>1</v>
      </c>
    </row>
    <row r="32" spans="1:29" ht="15.75" thickBot="1">
      <c r="A32" s="384"/>
      <c r="B32" s="580">
        <v>111</v>
      </c>
      <c r="C32" s="1901"/>
      <c r="D32" s="386">
        <v>100</v>
      </c>
      <c r="E32" s="573"/>
      <c r="F32" s="386">
        <f>SUMIF(99:99,E32,100:100)-SUMIF(99:99,C32,100:100)+100</f>
        <v>100</v>
      </c>
      <c r="G32" s="1952"/>
      <c r="H32" s="386">
        <f>SUMIF(99:99,G32,100:100)-SUMIF(99:99,C32,100:100)+100</f>
        <v>100</v>
      </c>
      <c r="I32" s="380"/>
      <c r="J32" s="386">
        <f>SUMIF(99:99,I32,100:100)-SUMIF(99:99,C32,100:100)+100</f>
        <v>100</v>
      </c>
      <c r="K32" s="559"/>
      <c r="L32" s="2714"/>
      <c r="M32" s="2708"/>
      <c r="N32" s="2708"/>
      <c r="O32" s="2708"/>
      <c r="P32" s="3751"/>
      <c r="Q32" s="1344">
        <f t="shared" si="11"/>
        <v>111</v>
      </c>
      <c r="R32" s="701" t="s">
        <v>14</v>
      </c>
      <c r="S32" s="702">
        <f t="shared" si="12"/>
        <v>100</v>
      </c>
      <c r="T32" s="701" t="s">
        <v>14</v>
      </c>
      <c r="U32" s="702">
        <f t="shared" si="13"/>
        <v>100</v>
      </c>
      <c r="V32" s="701" t="s">
        <v>14</v>
      </c>
      <c r="W32" s="702">
        <f t="shared" si="14"/>
        <v>100</v>
      </c>
      <c r="X32" s="1347"/>
      <c r="Y32" s="3753"/>
      <c r="Z32" s="1348">
        <f t="shared" si="15"/>
        <v>111</v>
      </c>
      <c r="AA32" s="1345">
        <f t="shared" si="3"/>
        <v>1</v>
      </c>
      <c r="AB32" s="1345">
        <f t="shared" si="4"/>
        <v>1</v>
      </c>
      <c r="AC32" s="1954">
        <f t="shared" si="5"/>
        <v>1</v>
      </c>
    </row>
    <row r="33" spans="1:29" ht="15">
      <c r="A33" s="388" t="s">
        <v>1694</v>
      </c>
      <c r="B33" s="63" t="s">
        <v>1817</v>
      </c>
      <c r="C33" s="1959"/>
      <c r="D33" s="415">
        <v>100</v>
      </c>
      <c r="E33" s="1959"/>
      <c r="F33" s="409">
        <f>SUMIF(101:101,E33,102:102)-SUMIF(101:101,C33,102:102)+100</f>
        <v>100</v>
      </c>
      <c r="G33" s="1959"/>
      <c r="H33" s="383">
        <f>SUMIF(101:101,G33,102:102)-SUMIF(101:101,C33,102:102)+100</f>
        <v>100</v>
      </c>
      <c r="I33" s="1959"/>
      <c r="J33" s="415">
        <f>SUMIF(101:101,I33,102:102)-SUMIF(101:101,C33,102:102)+100</f>
        <v>100</v>
      </c>
      <c r="K33" s="558"/>
      <c r="L33" s="2714"/>
      <c r="M33" s="2708"/>
      <c r="N33" s="2708"/>
      <c r="O33" s="2708"/>
      <c r="P33" s="3754" t="s">
        <v>1696</v>
      </c>
      <c r="Q33" s="1344" t="str">
        <f t="shared" si="11"/>
        <v>建筑类型</v>
      </c>
      <c r="R33" s="701" t="s">
        <v>14</v>
      </c>
      <c r="S33" s="702">
        <f t="shared" si="12"/>
        <v>100</v>
      </c>
      <c r="T33" s="701" t="s">
        <v>14</v>
      </c>
      <c r="U33" s="702">
        <f t="shared" si="13"/>
        <v>100</v>
      </c>
      <c r="V33" s="701" t="s">
        <v>14</v>
      </c>
      <c r="W33" s="702">
        <f t="shared" si="14"/>
        <v>100</v>
      </c>
      <c r="X33" s="1347"/>
      <c r="Y33" s="3757" t="s">
        <v>1696</v>
      </c>
      <c r="Z33" s="1348" t="str">
        <f t="shared" si="15"/>
        <v>建筑类型</v>
      </c>
      <c r="AA33" s="1345">
        <f t="shared" si="3"/>
        <v>1</v>
      </c>
      <c r="AB33" s="1345">
        <f t="shared" si="4"/>
        <v>1</v>
      </c>
      <c r="AC33" s="1954">
        <f t="shared" si="5"/>
        <v>1</v>
      </c>
    </row>
    <row r="34" spans="1:29" s="419" customFormat="1" ht="15">
      <c r="A34" s="416"/>
      <c r="B34" s="372" t="s">
        <v>1697</v>
      </c>
      <c r="C34" s="417">
        <f>'数据-汇总表'!F19</f>
        <v>51900.97</v>
      </c>
      <c r="D34" s="124">
        <v>100</v>
      </c>
      <c r="E34" s="378">
        <v>11235.4</v>
      </c>
      <c r="F34" s="373">
        <f>LOOKUP(E34,104:104,105:105)-LOOKUP(C34,104:104,105:105)+100</f>
        <v>102</v>
      </c>
      <c r="G34" s="377">
        <f>Sheet1!J30</f>
        <v>8905</v>
      </c>
      <c r="H34" s="124">
        <f>LOOKUP(G34,104:104,105:105)-LOOKUP(C34,104:104,105:105)+100</f>
        <v>102</v>
      </c>
      <c r="I34" s="377">
        <f>Sheet1!J29</f>
        <v>20714.13</v>
      </c>
      <c r="J34" s="124">
        <f>LOOKUP(I34,104:104,105:105)-LOOKUP(C34,104:104,105:105)+100</f>
        <v>101</v>
      </c>
      <c r="K34" s="559"/>
      <c r="L34" s="2713"/>
      <c r="M34" s="2715"/>
      <c r="N34" s="2715"/>
      <c r="O34" s="2715"/>
      <c r="P34" s="3755"/>
      <c r="Q34" s="703" t="str">
        <f t="shared" si="11"/>
        <v>项目建筑规模</v>
      </c>
      <c r="R34" s="704" t="s">
        <v>14</v>
      </c>
      <c r="S34" s="705">
        <f t="shared" si="12"/>
        <v>102</v>
      </c>
      <c r="T34" s="704" t="s">
        <v>14</v>
      </c>
      <c r="U34" s="705">
        <f t="shared" si="13"/>
        <v>102</v>
      </c>
      <c r="V34" s="704" t="s">
        <v>14</v>
      </c>
      <c r="W34" s="705">
        <f t="shared" si="14"/>
        <v>101</v>
      </c>
      <c r="X34" s="706"/>
      <c r="Y34" s="3757"/>
      <c r="Z34" s="707" t="str">
        <f t="shared" si="15"/>
        <v>项目建筑规模</v>
      </c>
      <c r="AA34" s="1345">
        <f t="shared" si="3"/>
        <v>0.98039215686274506</v>
      </c>
      <c r="AB34" s="1345">
        <f t="shared" si="4"/>
        <v>0.98039215686274506</v>
      </c>
      <c r="AC34" s="1954">
        <f t="shared" si="5"/>
        <v>0.99009900990099009</v>
      </c>
    </row>
    <row r="35" spans="1:29" ht="15">
      <c r="A35" s="420"/>
      <c r="B35" s="372" t="s">
        <v>1698</v>
      </c>
      <c r="C35" s="408" t="s">
        <v>3541</v>
      </c>
      <c r="D35" s="383">
        <v>100</v>
      </c>
      <c r="E35" s="408" t="s">
        <v>3541</v>
      </c>
      <c r="F35" s="409">
        <f>SUMIF(106:106,E35,107:107)-SUMIF(106:106,C35,107:107)+100</f>
        <v>100</v>
      </c>
      <c r="G35" s="408" t="s">
        <v>3541</v>
      </c>
      <c r="H35" s="383">
        <f>SUMIF(106:106,G35,107:107)-SUMIF(106:106,C35,107:107)+100</f>
        <v>100</v>
      </c>
      <c r="I35" s="408" t="s">
        <v>3541</v>
      </c>
      <c r="J35" s="383">
        <f>SUMIF(106:106,I35,107:107)-SUMIF(106:106,C35,107:107)+100</f>
        <v>100</v>
      </c>
      <c r="K35" s="558">
        <v>2</v>
      </c>
      <c r="L35" s="2714"/>
      <c r="M35" s="2708"/>
      <c r="N35" s="2708"/>
      <c r="O35" s="2708"/>
      <c r="P35" s="3755"/>
      <c r="Q35" s="1344" t="str">
        <f t="shared" si="11"/>
        <v>建筑结构</v>
      </c>
      <c r="R35" s="701" t="s">
        <v>14</v>
      </c>
      <c r="S35" s="702">
        <f t="shared" si="12"/>
        <v>100</v>
      </c>
      <c r="T35" s="701" t="s">
        <v>14</v>
      </c>
      <c r="U35" s="702">
        <f t="shared" si="13"/>
        <v>100</v>
      </c>
      <c r="V35" s="701" t="s">
        <v>14</v>
      </c>
      <c r="W35" s="702">
        <f t="shared" si="14"/>
        <v>100</v>
      </c>
      <c r="X35" s="1347"/>
      <c r="Y35" s="3757"/>
      <c r="Z35" s="1348" t="str">
        <f t="shared" si="15"/>
        <v>建筑结构</v>
      </c>
      <c r="AA35" s="1345">
        <f t="shared" si="3"/>
        <v>1</v>
      </c>
      <c r="AB35" s="1345">
        <f t="shared" si="4"/>
        <v>1</v>
      </c>
      <c r="AC35" s="1954">
        <f t="shared" si="5"/>
        <v>1</v>
      </c>
    </row>
    <row r="36" spans="1:29" ht="15">
      <c r="A36" s="420"/>
      <c r="B36" s="372" t="s">
        <v>1785</v>
      </c>
      <c r="C36" s="408" t="s">
        <v>3527</v>
      </c>
      <c r="D36" s="383">
        <v>100</v>
      </c>
      <c r="E36" s="408" t="s">
        <v>3527</v>
      </c>
      <c r="F36" s="409">
        <f>SUMIF(108:108,E36,109:109)-SUMIF(108:108,C36,109:109)+100</f>
        <v>100</v>
      </c>
      <c r="G36" s="408" t="s">
        <v>3527</v>
      </c>
      <c r="H36" s="383">
        <f>SUMIF(108:108,G36,109:109)-SUMIF(108:108,C36,109:109)+100</f>
        <v>100</v>
      </c>
      <c r="I36" s="408" t="s">
        <v>3527</v>
      </c>
      <c r="J36" s="383">
        <f>SUMIF(108:108,I36,109:109)-SUMIF(108:108,C36,109:109)+100</f>
        <v>100</v>
      </c>
      <c r="K36" s="558">
        <v>2</v>
      </c>
      <c r="L36" s="2714"/>
      <c r="M36" s="2708"/>
      <c r="N36" s="2708"/>
      <c r="O36" s="2708"/>
      <c r="P36" s="3755"/>
      <c r="Q36" s="1344" t="str">
        <f t="shared" si="11"/>
        <v>公共部分装修</v>
      </c>
      <c r="R36" s="701" t="s">
        <v>14</v>
      </c>
      <c r="S36" s="702">
        <f t="shared" si="12"/>
        <v>100</v>
      </c>
      <c r="T36" s="701" t="s">
        <v>14</v>
      </c>
      <c r="U36" s="702">
        <f t="shared" si="13"/>
        <v>100</v>
      </c>
      <c r="V36" s="701" t="s">
        <v>14</v>
      </c>
      <c r="W36" s="702">
        <f t="shared" si="14"/>
        <v>100</v>
      </c>
      <c r="X36" s="1347"/>
      <c r="Y36" s="3757"/>
      <c r="Z36" s="1348" t="str">
        <f t="shared" si="15"/>
        <v>公共部分装修</v>
      </c>
      <c r="AA36" s="1345">
        <f t="shared" si="3"/>
        <v>1</v>
      </c>
      <c r="AB36" s="1345">
        <f t="shared" si="4"/>
        <v>1</v>
      </c>
      <c r="AC36" s="1954">
        <f t="shared" si="5"/>
        <v>1</v>
      </c>
    </row>
    <row r="37" spans="1:29" ht="15">
      <c r="A37" s="420"/>
      <c r="B37" s="372" t="s">
        <v>1786</v>
      </c>
      <c r="C37" s="3549">
        <f>1-(2024-C12)/60</f>
        <v>0.96666666666666667</v>
      </c>
      <c r="D37" s="383">
        <v>100</v>
      </c>
      <c r="E37" s="3549">
        <f>1-(2024-E12)/60</f>
        <v>0.95</v>
      </c>
      <c r="F37" s="409">
        <f>LOOKUP(E37,111:111,112:112)-LOOKUP(C37,111:111,112:112)+100</f>
        <v>100</v>
      </c>
      <c r="G37" s="3549">
        <f>1-(2024-G12)/60</f>
        <v>0.95</v>
      </c>
      <c r="H37" s="409">
        <f>LOOKUP(G37,111:111,112:112)-LOOKUP(C37,111:111,112:112)+100</f>
        <v>100</v>
      </c>
      <c r="I37" s="3549">
        <f>1-(2024-I12)/60</f>
        <v>0.85</v>
      </c>
      <c r="J37" s="383">
        <f>LOOKUP(I37,111:111,112:112)-LOOKUP(C37,111:111,112:112)+100</f>
        <v>99</v>
      </c>
      <c r="K37" s="558">
        <v>1</v>
      </c>
      <c r="L37" s="2714"/>
      <c r="M37" s="2708"/>
      <c r="N37" s="2708"/>
      <c r="O37" s="2708"/>
      <c r="P37" s="3755"/>
      <c r="Q37" s="1344" t="str">
        <f t="shared" si="11"/>
        <v>成新度</v>
      </c>
      <c r="R37" s="701" t="s">
        <v>14</v>
      </c>
      <c r="S37" s="702">
        <f t="shared" si="12"/>
        <v>100</v>
      </c>
      <c r="T37" s="701" t="s">
        <v>14</v>
      </c>
      <c r="U37" s="702">
        <f t="shared" si="13"/>
        <v>100</v>
      </c>
      <c r="V37" s="701" t="s">
        <v>14</v>
      </c>
      <c r="W37" s="702">
        <f t="shared" si="14"/>
        <v>99</v>
      </c>
      <c r="X37" s="1347"/>
      <c r="Y37" s="3757"/>
      <c r="Z37" s="1348" t="str">
        <f t="shared" si="15"/>
        <v>成新度</v>
      </c>
      <c r="AA37" s="1345">
        <f t="shared" si="3"/>
        <v>1</v>
      </c>
      <c r="AB37" s="1345">
        <f t="shared" si="4"/>
        <v>1</v>
      </c>
      <c r="AC37" s="1954">
        <f t="shared" si="5"/>
        <v>1.0101010101010102</v>
      </c>
    </row>
    <row r="38" spans="1:29" s="108" customFormat="1" ht="15">
      <c r="A38" s="421"/>
      <c r="B38" s="372" t="s">
        <v>1818</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755"/>
      <c r="Q38" s="1335" t="str">
        <f t="shared" si="11"/>
        <v>写字楼等级</v>
      </c>
      <c r="R38" s="697" t="s">
        <v>14</v>
      </c>
      <c r="S38" s="698">
        <f t="shared" si="12"/>
        <v>100</v>
      </c>
      <c r="T38" s="697" t="s">
        <v>14</v>
      </c>
      <c r="U38" s="698">
        <f t="shared" si="13"/>
        <v>100</v>
      </c>
      <c r="V38" s="697" t="s">
        <v>14</v>
      </c>
      <c r="W38" s="698">
        <f t="shared" si="14"/>
        <v>100</v>
      </c>
      <c r="X38" s="699"/>
      <c r="Y38" s="3757"/>
      <c r="Z38" s="52" t="str">
        <f t="shared" si="15"/>
        <v>写字楼等级</v>
      </c>
      <c r="AA38" s="700">
        <f t="shared" si="3"/>
        <v>1</v>
      </c>
      <c r="AB38" s="700">
        <f t="shared" si="4"/>
        <v>1</v>
      </c>
      <c r="AC38" s="1951">
        <f t="shared" si="5"/>
        <v>1</v>
      </c>
    </row>
    <row r="39" spans="1:29" ht="15">
      <c r="A39" s="420"/>
      <c r="B39" s="372" t="s">
        <v>1819</v>
      </c>
      <c r="C39" s="408" t="s">
        <v>3531</v>
      </c>
      <c r="D39" s="383">
        <v>100</v>
      </c>
      <c r="E39" s="408" t="s">
        <v>3531</v>
      </c>
      <c r="F39" s="409">
        <f>SUMIF(115:115,E39,116:116)-SUMIF(115:115,C39,116:116)+100</f>
        <v>100</v>
      </c>
      <c r="G39" s="408" t="s">
        <v>3531</v>
      </c>
      <c r="H39" s="383">
        <f>SUMIF(115:115,G39,116:116)-SUMIF(115:115,C39,116:116)+100</f>
        <v>100</v>
      </c>
      <c r="I39" s="408" t="s">
        <v>3531</v>
      </c>
      <c r="J39" s="383">
        <f>SUMIF(115:115,I39,116:116)-SUMIF(115:115,C39,116:116)+100</f>
        <v>100</v>
      </c>
      <c r="K39" s="558">
        <v>2</v>
      </c>
      <c r="L39" s="2714"/>
      <c r="M39" s="2708"/>
      <c r="N39" s="2708"/>
      <c r="O39" s="2708"/>
      <c r="P39" s="3755" t="s">
        <v>1696</v>
      </c>
      <c r="Q39" s="1344" t="str">
        <f t="shared" si="11"/>
        <v>物业管理</v>
      </c>
      <c r="R39" s="701" t="s">
        <v>14</v>
      </c>
      <c r="S39" s="702">
        <f t="shared" si="12"/>
        <v>100</v>
      </c>
      <c r="T39" s="701" t="s">
        <v>14</v>
      </c>
      <c r="U39" s="702">
        <f t="shared" si="13"/>
        <v>100</v>
      </c>
      <c r="V39" s="701" t="s">
        <v>14</v>
      </c>
      <c r="W39" s="702">
        <f t="shared" si="14"/>
        <v>100</v>
      </c>
      <c r="X39" s="1347"/>
      <c r="Y39" s="3757" t="s">
        <v>1696</v>
      </c>
      <c r="Z39" s="1348" t="str">
        <f t="shared" si="15"/>
        <v>物业管理</v>
      </c>
      <c r="AA39" s="1345">
        <f t="shared" si="3"/>
        <v>1</v>
      </c>
      <c r="AB39" s="1345">
        <f t="shared" si="4"/>
        <v>1</v>
      </c>
      <c r="AC39" s="1954">
        <f t="shared" si="5"/>
        <v>1</v>
      </c>
    </row>
    <row r="40" spans="1:29" ht="15">
      <c r="A40" s="420"/>
      <c r="B40" s="372" t="s">
        <v>1787</v>
      </c>
      <c r="C40" s="408" t="s">
        <v>3534</v>
      </c>
      <c r="D40" s="383">
        <v>100</v>
      </c>
      <c r="E40" s="408" t="s">
        <v>3534</v>
      </c>
      <c r="F40" s="409">
        <f>SUMIF(117:117,E40,118:118)-SUMIF(117:117,C40,118:118)+100</f>
        <v>100</v>
      </c>
      <c r="G40" s="408" t="s">
        <v>3534</v>
      </c>
      <c r="H40" s="383">
        <f>SUMIF(117:117,G40,118:118)-SUMIF(117:117,C40,118:118)+100</f>
        <v>100</v>
      </c>
      <c r="I40" s="408" t="s">
        <v>3534</v>
      </c>
      <c r="J40" s="383">
        <f>SUMIF(117:117,I40,118:118)-SUMIF(117:117,C40,118:118)+100</f>
        <v>100</v>
      </c>
      <c r="K40" s="558">
        <v>1</v>
      </c>
      <c r="L40" s="2714"/>
      <c r="M40" s="2708"/>
      <c r="N40" s="2708"/>
      <c r="O40" s="2708"/>
      <c r="P40" s="3755"/>
      <c r="Q40" s="1344" t="str">
        <f t="shared" si="11"/>
        <v>市政基础设施</v>
      </c>
      <c r="R40" s="701" t="s">
        <v>14</v>
      </c>
      <c r="S40" s="702">
        <f t="shared" si="12"/>
        <v>100</v>
      </c>
      <c r="T40" s="701" t="s">
        <v>14</v>
      </c>
      <c r="U40" s="702">
        <f t="shared" si="13"/>
        <v>100</v>
      </c>
      <c r="V40" s="701" t="s">
        <v>14</v>
      </c>
      <c r="W40" s="702">
        <f t="shared" si="14"/>
        <v>100</v>
      </c>
      <c r="X40" s="1347"/>
      <c r="Y40" s="3757"/>
      <c r="Z40" s="1348" t="str">
        <f t="shared" si="15"/>
        <v>市政基础设施</v>
      </c>
      <c r="AA40" s="1345">
        <f t="shared" si="3"/>
        <v>1</v>
      </c>
      <c r="AB40" s="1345">
        <f t="shared" si="4"/>
        <v>1</v>
      </c>
      <c r="AC40" s="1954">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755"/>
      <c r="Q41" s="1344" t="str">
        <f t="shared" si="11"/>
        <v>层高</v>
      </c>
      <c r="R41" s="701" t="s">
        <v>14</v>
      </c>
      <c r="S41" s="702">
        <f t="shared" si="12"/>
        <v>100</v>
      </c>
      <c r="T41" s="701" t="s">
        <v>14</v>
      </c>
      <c r="U41" s="702">
        <f t="shared" si="13"/>
        <v>100</v>
      </c>
      <c r="V41" s="701" t="s">
        <v>14</v>
      </c>
      <c r="W41" s="702">
        <f t="shared" si="14"/>
        <v>100</v>
      </c>
      <c r="X41" s="1347"/>
      <c r="Y41" s="3757"/>
      <c r="Z41" s="1348" t="str">
        <f t="shared" si="15"/>
        <v>层高</v>
      </c>
      <c r="AA41" s="1345">
        <f t="shared" si="3"/>
        <v>1</v>
      </c>
      <c r="AB41" s="1345">
        <f t="shared" si="4"/>
        <v>1</v>
      </c>
      <c r="AC41" s="1954">
        <f t="shared" si="5"/>
        <v>1</v>
      </c>
    </row>
    <row r="42" spans="1:29" s="419" customFormat="1" ht="15">
      <c r="A42" s="416"/>
      <c r="B42" s="1346" t="s">
        <v>1820</v>
      </c>
      <c r="C42" s="382">
        <v>0</v>
      </c>
      <c r="D42" s="383">
        <v>100</v>
      </c>
      <c r="E42" s="382">
        <v>0</v>
      </c>
      <c r="F42" s="409">
        <f>SUMIF(121:121,E42,122:122)-SUMIF(121:121,C42,122:122)+100</f>
        <v>100</v>
      </c>
      <c r="G42" s="382">
        <v>0</v>
      </c>
      <c r="H42" s="383">
        <f>SUMIF(121:121,G42,122:122)-SUMIF(121:121,C42,122:122)+100</f>
        <v>100</v>
      </c>
      <c r="I42" s="382">
        <v>0</v>
      </c>
      <c r="J42" s="383">
        <f>SUMIF(121:121,I42,122:122)-SUMIF(121:121,C42,122:122)+100</f>
        <v>100</v>
      </c>
      <c r="K42" s="559"/>
      <c r="L42" s="2713"/>
      <c r="M42" s="2715"/>
      <c r="N42" s="2715"/>
      <c r="O42" s="2715"/>
      <c r="P42" s="3755"/>
      <c r="Q42" s="703" t="str">
        <f t="shared" si="11"/>
        <v>单套建筑面积</v>
      </c>
      <c r="R42" s="704" t="s">
        <v>14</v>
      </c>
      <c r="S42" s="705">
        <f t="shared" si="12"/>
        <v>100</v>
      </c>
      <c r="T42" s="704" t="s">
        <v>14</v>
      </c>
      <c r="U42" s="705">
        <f t="shared" si="13"/>
        <v>100</v>
      </c>
      <c r="V42" s="704" t="s">
        <v>14</v>
      </c>
      <c r="W42" s="705">
        <f t="shared" si="14"/>
        <v>100</v>
      </c>
      <c r="X42" s="706"/>
      <c r="Y42" s="3757"/>
      <c r="Z42" s="707" t="str">
        <f t="shared" si="15"/>
        <v>单套建筑面积</v>
      </c>
      <c r="AA42" s="1345">
        <f t="shared" si="3"/>
        <v>1</v>
      </c>
      <c r="AB42" s="1345">
        <f t="shared" si="4"/>
        <v>1</v>
      </c>
      <c r="AC42" s="1954">
        <f t="shared" si="5"/>
        <v>1</v>
      </c>
    </row>
    <row r="43" spans="1:29" ht="15">
      <c r="A43" s="420"/>
      <c r="B43" s="372" t="s">
        <v>1792</v>
      </c>
      <c r="C43" s="408" t="s">
        <v>3528</v>
      </c>
      <c r="D43" s="383">
        <v>100</v>
      </c>
      <c r="E43" s="408" t="s">
        <v>3528</v>
      </c>
      <c r="F43" s="409">
        <f>SUMIF(123:123,E43,124:124)-SUMIF(123:123,C43,124:124)+100</f>
        <v>100</v>
      </c>
      <c r="G43" s="408" t="s">
        <v>3528</v>
      </c>
      <c r="H43" s="383">
        <f>SUMIF(123:123,G43,124:124)-SUMIF(123:123,C43,124:124)+100</f>
        <v>100</v>
      </c>
      <c r="I43" s="408" t="s">
        <v>3528</v>
      </c>
      <c r="J43" s="383">
        <f>SUMIF(123:123,I43,124:124)-SUMIF(123:123,C43,124:124)+100</f>
        <v>100</v>
      </c>
      <c r="K43" s="558">
        <v>2</v>
      </c>
      <c r="L43" s="2714"/>
      <c r="M43" s="2708"/>
      <c r="N43" s="2708"/>
      <c r="O43" s="2708"/>
      <c r="P43" s="3755"/>
      <c r="Q43" s="1344" t="str">
        <f t="shared" si="11"/>
        <v>内部装修</v>
      </c>
      <c r="R43" s="701" t="s">
        <v>14</v>
      </c>
      <c r="S43" s="702">
        <f t="shared" si="12"/>
        <v>100</v>
      </c>
      <c r="T43" s="701" t="s">
        <v>14</v>
      </c>
      <c r="U43" s="702">
        <f t="shared" si="13"/>
        <v>100</v>
      </c>
      <c r="V43" s="701" t="s">
        <v>14</v>
      </c>
      <c r="W43" s="702">
        <f t="shared" si="14"/>
        <v>100</v>
      </c>
      <c r="X43" s="1347"/>
      <c r="Y43" s="3757"/>
      <c r="Z43" s="1348" t="str">
        <f t="shared" si="15"/>
        <v>内部装修</v>
      </c>
      <c r="AA43" s="1345">
        <f t="shared" si="3"/>
        <v>1</v>
      </c>
      <c r="AB43" s="1345">
        <f t="shared" si="4"/>
        <v>1</v>
      </c>
      <c r="AC43" s="1954">
        <f t="shared" si="5"/>
        <v>1</v>
      </c>
    </row>
    <row r="44" spans="1:29" ht="15">
      <c r="A44" s="420"/>
      <c r="B44" s="372" t="s">
        <v>1707</v>
      </c>
      <c r="C44" s="562" t="s">
        <v>3540</v>
      </c>
      <c r="D44" s="383">
        <v>100</v>
      </c>
      <c r="E44" s="562" t="s">
        <v>3540</v>
      </c>
      <c r="F44" s="409">
        <f>SUMIF(125:125,E44,126:126)-SUMIF(125:125,C44,126:126)+100</f>
        <v>100</v>
      </c>
      <c r="G44" s="562" t="s">
        <v>3540</v>
      </c>
      <c r="H44" s="383">
        <f>SUMIF(125:125,G44,126:126)-SUMIF(125:125,C44,126:126)+100</f>
        <v>100</v>
      </c>
      <c r="I44" s="562" t="s">
        <v>3540</v>
      </c>
      <c r="J44" s="383">
        <f>SUMIF(125:125,I44,126:126)-SUMIF(125:125,C44,126:126)+100</f>
        <v>100</v>
      </c>
      <c r="K44" s="558">
        <v>2</v>
      </c>
      <c r="L44" s="2714"/>
      <c r="M44" s="2708"/>
      <c r="N44" s="2708"/>
      <c r="O44" s="2708"/>
      <c r="P44" s="3755"/>
      <c r="Q44" s="1344" t="str">
        <f t="shared" si="11"/>
        <v>内部装修维护情况</v>
      </c>
      <c r="R44" s="701" t="s">
        <v>14</v>
      </c>
      <c r="S44" s="702">
        <f t="shared" si="12"/>
        <v>100</v>
      </c>
      <c r="T44" s="701" t="s">
        <v>14</v>
      </c>
      <c r="U44" s="702">
        <f t="shared" si="13"/>
        <v>100</v>
      </c>
      <c r="V44" s="701" t="s">
        <v>14</v>
      </c>
      <c r="W44" s="702">
        <f t="shared" si="14"/>
        <v>100</v>
      </c>
      <c r="X44" s="1347"/>
      <c r="Y44" s="3757"/>
      <c r="Z44" s="1348" t="str">
        <f t="shared" si="15"/>
        <v>内部装修维护情况</v>
      </c>
      <c r="AA44" s="1345">
        <f t="shared" si="3"/>
        <v>1</v>
      </c>
      <c r="AB44" s="1345">
        <f t="shared" si="4"/>
        <v>1</v>
      </c>
      <c r="AC44" s="1954">
        <f t="shared" si="5"/>
        <v>1</v>
      </c>
    </row>
    <row r="45" spans="1:29" s="108" customFormat="1" ht="15">
      <c r="A45" s="421"/>
      <c r="B45" s="1125">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09"/>
      <c r="M45" s="2710"/>
      <c r="N45" s="2710"/>
      <c r="O45" s="2710"/>
      <c r="P45" s="3755"/>
      <c r="Q45" s="1335">
        <f t="shared" si="11"/>
        <v>111</v>
      </c>
      <c r="R45" s="697" t="s">
        <v>14</v>
      </c>
      <c r="S45" s="698">
        <f t="shared" si="12"/>
        <v>100</v>
      </c>
      <c r="T45" s="697" t="s">
        <v>14</v>
      </c>
      <c r="U45" s="698">
        <f t="shared" si="13"/>
        <v>100</v>
      </c>
      <c r="V45" s="697" t="s">
        <v>14</v>
      </c>
      <c r="W45" s="698">
        <f t="shared" si="14"/>
        <v>100</v>
      </c>
      <c r="X45" s="699"/>
      <c r="Y45" s="3757"/>
      <c r="Z45" s="52">
        <f t="shared" si="15"/>
        <v>111</v>
      </c>
      <c r="AA45" s="700">
        <f t="shared" si="3"/>
        <v>1</v>
      </c>
      <c r="AB45" s="700">
        <f t="shared" si="4"/>
        <v>1</v>
      </c>
      <c r="AC45" s="1951">
        <f t="shared" si="5"/>
        <v>1</v>
      </c>
    </row>
    <row r="46" spans="1:29" ht="15">
      <c r="A46" s="420"/>
      <c r="B46" s="1125">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755"/>
      <c r="Q46" s="1344">
        <f t="shared" si="11"/>
        <v>111</v>
      </c>
      <c r="R46" s="701" t="s">
        <v>14</v>
      </c>
      <c r="S46" s="702">
        <f t="shared" si="12"/>
        <v>100</v>
      </c>
      <c r="T46" s="701" t="s">
        <v>14</v>
      </c>
      <c r="U46" s="702">
        <f t="shared" si="13"/>
        <v>100</v>
      </c>
      <c r="V46" s="701" t="s">
        <v>14</v>
      </c>
      <c r="W46" s="702">
        <f t="shared" si="14"/>
        <v>100</v>
      </c>
      <c r="X46" s="1347"/>
      <c r="Y46" s="3757"/>
      <c r="Z46" s="1348">
        <f t="shared" si="15"/>
        <v>111</v>
      </c>
      <c r="AA46" s="1345">
        <f t="shared" si="3"/>
        <v>1</v>
      </c>
      <c r="AB46" s="1345">
        <f t="shared" si="4"/>
        <v>1</v>
      </c>
      <c r="AC46" s="1954">
        <f t="shared" si="5"/>
        <v>1</v>
      </c>
    </row>
    <row r="47" spans="1:29" ht="15.75" thickBot="1">
      <c r="A47" s="426"/>
      <c r="B47" s="1887">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756"/>
      <c r="Q47" s="1344">
        <f t="shared" si="11"/>
        <v>111</v>
      </c>
      <c r="R47" s="701" t="s">
        <v>14</v>
      </c>
      <c r="S47" s="702">
        <f t="shared" si="12"/>
        <v>100</v>
      </c>
      <c r="T47" s="701" t="s">
        <v>14</v>
      </c>
      <c r="U47" s="702">
        <f t="shared" si="13"/>
        <v>100</v>
      </c>
      <c r="V47" s="701" t="s">
        <v>14</v>
      </c>
      <c r="W47" s="702">
        <f t="shared" si="14"/>
        <v>100</v>
      </c>
      <c r="X47" s="1347"/>
      <c r="Y47" s="3758"/>
      <c r="Z47" s="1348">
        <f t="shared" si="15"/>
        <v>111</v>
      </c>
      <c r="AA47" s="1345">
        <f t="shared" si="3"/>
        <v>1</v>
      </c>
      <c r="AB47" s="1345">
        <f t="shared" si="4"/>
        <v>1</v>
      </c>
      <c r="AC47" s="1954">
        <f t="shared" si="5"/>
        <v>1</v>
      </c>
    </row>
    <row r="48" spans="1:29" ht="15">
      <c r="A48" s="427" t="s">
        <v>1708</v>
      </c>
      <c r="B48" s="428"/>
      <c r="C48" s="1146" t="s">
        <v>0</v>
      </c>
      <c r="D48" s="1147"/>
      <c r="E48" s="1148">
        <v>38000</v>
      </c>
      <c r="F48" s="1149"/>
      <c r="G48" s="3550">
        <f>Sheet1!N30</f>
        <v>38000</v>
      </c>
      <c r="H48" s="1151"/>
      <c r="I48" s="3551">
        <f>Sheet1!N29</f>
        <v>44999.997586188751</v>
      </c>
      <c r="J48" s="433"/>
      <c r="K48" s="710"/>
      <c r="L48" s="2716"/>
      <c r="M48" s="2708"/>
      <c r="N48" s="2708"/>
      <c r="O48" s="2708"/>
      <c r="P48" s="3744" t="str">
        <f>A48</f>
        <v>成交单价（元/平方米）</v>
      </c>
      <c r="Q48" s="3745"/>
      <c r="R48" s="3746">
        <f>E48</f>
        <v>38000</v>
      </c>
      <c r="S48" s="3746"/>
      <c r="T48" s="3746">
        <f>G48</f>
        <v>38000</v>
      </c>
      <c r="U48" s="3746"/>
      <c r="V48" s="3746">
        <f>I48</f>
        <v>44999.997586188751</v>
      </c>
      <c r="W48" s="3746"/>
      <c r="X48" s="394"/>
      <c r="Y48" s="708"/>
      <c r="Z48" s="394"/>
      <c r="AA48" s="394"/>
      <c r="AB48" s="394"/>
      <c r="AC48" s="575"/>
    </row>
    <row r="49" spans="1:29" ht="15.75" thickBot="1">
      <c r="A49" s="434" t="s">
        <v>1793</v>
      </c>
      <c r="B49" s="435"/>
      <c r="C49" s="1152">
        <f>R50</f>
        <v>39445</v>
      </c>
      <c r="D49" s="2309" t="s">
        <v>2138</v>
      </c>
      <c r="E49" s="1153">
        <f>R49</f>
        <v>36886</v>
      </c>
      <c r="F49" s="2310"/>
      <c r="G49" s="1152">
        <f>T49</f>
        <v>36886</v>
      </c>
      <c r="H49" s="2310"/>
      <c r="I49" s="1153">
        <f>V49</f>
        <v>44563</v>
      </c>
      <c r="J49" s="2310"/>
      <c r="K49" s="2312">
        <f>F49+H49+J49</f>
        <v>0</v>
      </c>
      <c r="L49" s="2716"/>
      <c r="M49" s="2708"/>
      <c r="N49" s="2708"/>
      <c r="O49" s="2708"/>
      <c r="P49" s="3744" t="str">
        <f>A49</f>
        <v>比较价值（元/平方米）</v>
      </c>
      <c r="Q49" s="3745"/>
      <c r="R49" s="3746">
        <f>IF(F1="售价",ROUND(PRODUCT(R48,AA7:AA47),0),ROUND(PRODUCT(R48,AA7:AA47),1))</f>
        <v>36886</v>
      </c>
      <c r="S49" s="3746"/>
      <c r="T49" s="3746">
        <f>IF(F1="售价",ROUND(PRODUCT(T48,AB7:AB47),0),ROUND(PRODUCT(T48,AB7:AB47),1))</f>
        <v>36886</v>
      </c>
      <c r="U49" s="3746"/>
      <c r="V49" s="3746">
        <f>IF(F1="售价",ROUND(PRODUCT(V48,AC7:AC47),0),ROUND(PRODUCT(V48,AC7:AC47),1))</f>
        <v>44563</v>
      </c>
      <c r="W49" s="3746"/>
      <c r="X49" s="394"/>
      <c r="Y49" s="394"/>
      <c r="Z49" s="394"/>
      <c r="AA49" s="394"/>
      <c r="AB49" s="394"/>
      <c r="AC49" s="575"/>
    </row>
    <row r="50" spans="1:29" ht="15.75" thickBot="1">
      <c r="A50" s="438" t="s">
        <v>1794</v>
      </c>
      <c r="B50" s="439"/>
      <c r="C50" s="1155">
        <f>R50</f>
        <v>39445</v>
      </c>
      <c r="D50" s="1155"/>
      <c r="E50" s="1155"/>
      <c r="F50" s="1155"/>
      <c r="G50" s="1155"/>
      <c r="H50" s="1155"/>
      <c r="I50" s="1155"/>
      <c r="J50" s="440"/>
      <c r="K50" s="711"/>
      <c r="L50" s="2716"/>
      <c r="M50" s="2708"/>
      <c r="N50" s="2708"/>
      <c r="O50" s="2708"/>
      <c r="P50" s="3747" t="str">
        <f>A50</f>
        <v>估价对象XX用房的比较价值（楼面单价，元/平方米）</v>
      </c>
      <c r="Q50" s="3748"/>
      <c r="R50" s="3749">
        <f>IF(F1="售价",ROUND(IF(D49="简单平均",AVERAGE(R49:V49),R49*F49+T49*H49+V49*J49),0),ROUND(IF(D49="简单平均",AVERAGE(R49:V49),R49*F49+T49*H49+V49*J49),1))</f>
        <v>39445</v>
      </c>
      <c r="S50" s="3749"/>
      <c r="T50" s="3749"/>
      <c r="U50" s="3749"/>
      <c r="V50" s="3749"/>
      <c r="W50" s="3749"/>
      <c r="X50" s="1938"/>
      <c r="Y50" s="1938"/>
      <c r="Z50" s="1938"/>
      <c r="AA50" s="1938"/>
      <c r="AB50" s="1938"/>
      <c r="AC50" s="1939"/>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f>IF(E48&lt;E49,E49/E48-1,E48/E49-1)</f>
        <v>3.0201160331833288E-2</v>
      </c>
      <c r="F53" s="446" t="str">
        <f>IF(OR(E53&gt;=0.3,E53&lt;=-0.3),"超过30%","")</f>
        <v/>
      </c>
      <c r="G53" s="445">
        <f>IF(G48&lt;G49,G49/G48-1,G48/G49-1)</f>
        <v>3.0201160331833288E-2</v>
      </c>
      <c r="H53" s="446" t="str">
        <f>IF(OR(G53&gt;=0.3,G53&lt;=-0.3),"超过30%","")</f>
        <v/>
      </c>
      <c r="I53" s="445">
        <f>IF(I48&lt;I49,I49/I48-1,I48/I49-1)</f>
        <v>9.8062874175606218E-3</v>
      </c>
      <c r="J53" s="446"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f>IF(E49&lt;G49,G49/E49-1,E49/G49-1)</f>
        <v>0</v>
      </c>
      <c r="F54" s="446" t="str">
        <f>IF(OR(E54&gt;=0.2,E54&lt;=-0.2),"超过20%","")</f>
        <v/>
      </c>
      <c r="G54" s="445">
        <f>IF(G49&lt;I49,I49/G49-1,G49/I49-1)</f>
        <v>0.2081277449438812</v>
      </c>
      <c r="H54" s="446" t="str">
        <f>IF(OR(G54&gt;=0.2,G54&lt;=-0.2),"超过20%","")</f>
        <v>超过20%</v>
      </c>
      <c r="I54" s="445">
        <f>IF(I49&lt;E49,E49/I49-1,I49/E49-1)</f>
        <v>0.2081277449438812</v>
      </c>
      <c r="J54" s="446" t="str">
        <f>IF(OR(I54&gt;=0.2,I54&lt;=-0.2),"超过20%","")</f>
        <v>超过20%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f>IF(E48&lt;G48,G48/E48-1,E48/G48-1)</f>
        <v>0</v>
      </c>
      <c r="F55" s="446" t="str">
        <f>IF(OR(E55&gt;=0.3,E55&lt;=-0.3),"超过30%","")</f>
        <v/>
      </c>
      <c r="G55" s="445">
        <f>IF(G48&lt;I48,I48/G48-1,G48/I48-1)</f>
        <v>0.18421046279444075</v>
      </c>
      <c r="H55" s="446" t="str">
        <f>IF(OR(G55&gt;=0.3,G55&lt;=-0.3),"超过30%","")</f>
        <v/>
      </c>
      <c r="I55" s="445">
        <f>IF(I48&lt;E48,E48/I48-1,I48/E48-1)</f>
        <v>0.18421046279444075</v>
      </c>
      <c r="J55" s="446"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4"/>
      <c r="M58" s="932"/>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76" t="str">
        <f>YEAR(C7)&amp;"-"&amp;MONTH(C7)</f>
        <v>2024-4</v>
      </c>
      <c r="D59" s="1177">
        <f>EDATE(C59,-1)</f>
        <v>45352</v>
      </c>
      <c r="E59" s="1177">
        <f>EDATE(D59,-1)</f>
        <v>45323</v>
      </c>
      <c r="F59" s="1177">
        <f t="shared" ref="F59:O59" si="16">EDATE(E59,-1)</f>
        <v>45292</v>
      </c>
      <c r="G59" s="1177">
        <f t="shared" si="16"/>
        <v>45261</v>
      </c>
      <c r="H59" s="1177">
        <f t="shared" si="16"/>
        <v>45231</v>
      </c>
      <c r="I59" s="1177">
        <f t="shared" si="16"/>
        <v>45200</v>
      </c>
      <c r="J59" s="1177">
        <f t="shared" si="16"/>
        <v>45170</v>
      </c>
      <c r="K59" s="1177">
        <f t="shared" si="16"/>
        <v>45139</v>
      </c>
      <c r="L59" s="1177">
        <f t="shared" si="16"/>
        <v>45108</v>
      </c>
      <c r="M59" s="1177">
        <f t="shared" si="16"/>
        <v>45078</v>
      </c>
      <c r="N59" s="1177">
        <f t="shared" si="16"/>
        <v>45047</v>
      </c>
      <c r="O59" s="1177">
        <f t="shared" si="16"/>
        <v>45017</v>
      </c>
      <c r="P59" s="3552">
        <f t="shared" ref="P59" si="17">EDATE(O59,-1)</f>
        <v>44986</v>
      </c>
      <c r="Q59" s="3552">
        <f t="shared" ref="Q59" si="18">EDATE(P59,-1)</f>
        <v>44958</v>
      </c>
      <c r="R59" s="3552">
        <f t="shared" ref="R59" si="19">EDATE(Q59,-1)</f>
        <v>44927</v>
      </c>
      <c r="S59" s="3552">
        <f t="shared" ref="S59" si="20">EDATE(R59,-1)</f>
        <v>44896</v>
      </c>
      <c r="T59" s="3552">
        <f t="shared" ref="T59" si="21">EDATE(S59,-1)</f>
        <v>44866</v>
      </c>
      <c r="U59" s="3552">
        <f t="shared" ref="U59" si="22">EDATE(T59,-1)</f>
        <v>44835</v>
      </c>
      <c r="V59" s="3552">
        <f t="shared" ref="V59" si="23">EDATE(U59,-1)</f>
        <v>44805</v>
      </c>
      <c r="W59" s="3552">
        <f t="shared" ref="W59" si="24">EDATE(V59,-1)</f>
        <v>44774</v>
      </c>
      <c r="X59" s="3552">
        <f t="shared" ref="X59" si="25">EDATE(W59,-1)</f>
        <v>44743</v>
      </c>
      <c r="Y59" s="3552">
        <f t="shared" ref="Y59" si="26">EDATE(X59,-1)</f>
        <v>44713</v>
      </c>
      <c r="Z59" s="3552">
        <f t="shared" ref="Z59" si="27">EDATE(Y59,-1)</f>
        <v>44682</v>
      </c>
      <c r="AA59" s="3552">
        <f t="shared" ref="AA59" si="28">EDATE(Z59,-1)</f>
        <v>44652</v>
      </c>
      <c r="AB59" s="2733"/>
      <c r="AC59" s="2733"/>
    </row>
    <row r="60" spans="1:29" s="108" customFormat="1" ht="15">
      <c r="A60" s="455"/>
      <c r="B60" s="456"/>
      <c r="C60" s="1175">
        <v>100</v>
      </c>
      <c r="D60" s="458">
        <v>100</v>
      </c>
      <c r="E60" s="458">
        <v>100</v>
      </c>
      <c r="F60" s="458">
        <v>100</v>
      </c>
      <c r="G60" s="458">
        <v>100</v>
      </c>
      <c r="H60" s="458">
        <v>100</v>
      </c>
      <c r="I60" s="458">
        <v>100</v>
      </c>
      <c r="J60" s="458">
        <v>100</v>
      </c>
      <c r="K60" s="458">
        <v>100</v>
      </c>
      <c r="L60" s="458">
        <v>100</v>
      </c>
      <c r="M60" s="458">
        <v>100</v>
      </c>
      <c r="N60" s="458">
        <v>100</v>
      </c>
      <c r="O60" s="458">
        <v>100</v>
      </c>
      <c r="P60" s="458">
        <v>100</v>
      </c>
      <c r="Q60" s="458">
        <v>100</v>
      </c>
      <c r="R60" s="458">
        <v>100</v>
      </c>
      <c r="S60" s="458">
        <v>100</v>
      </c>
      <c r="T60" s="458">
        <v>100</v>
      </c>
      <c r="U60" s="458">
        <v>100</v>
      </c>
      <c r="V60" s="458">
        <v>100</v>
      </c>
      <c r="W60" s="458">
        <v>100</v>
      </c>
      <c r="X60" s="458">
        <v>100</v>
      </c>
      <c r="Y60" s="458">
        <v>100</v>
      </c>
      <c r="Z60" s="458">
        <v>100</v>
      </c>
      <c r="AA60" s="458">
        <v>100</v>
      </c>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t="str">
        <f>C9</f>
        <v>科研办公</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t="s">
        <v>3521</v>
      </c>
      <c r="D66" s="529" t="s">
        <v>3522</v>
      </c>
      <c r="E66" s="529" t="s">
        <v>3523</v>
      </c>
      <c r="F66" s="3509" t="s">
        <v>3524</v>
      </c>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v>100</v>
      </c>
      <c r="D67" s="482">
        <f>C67-1</f>
        <v>99</v>
      </c>
      <c r="E67" s="482">
        <f t="shared" ref="E67:F67" si="29">D67-1</f>
        <v>98</v>
      </c>
      <c r="F67" s="482">
        <f t="shared" si="29"/>
        <v>97</v>
      </c>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30">D69&amp;"（含）"&amp;"-"&amp;E69</f>
        <v>3（含）-</v>
      </c>
      <c r="E68" s="493" t="str">
        <f t="shared" si="30"/>
        <v>（含）-</v>
      </c>
      <c r="F68" s="493" t="str">
        <f t="shared" si="30"/>
        <v>（含）-</v>
      </c>
      <c r="G68" s="493" t="str">
        <f t="shared" si="30"/>
        <v>（含）-</v>
      </c>
      <c r="H68" s="493" t="str">
        <f t="shared" si="30"/>
        <v>（含）-</v>
      </c>
      <c r="I68" s="493" t="str">
        <f t="shared" si="30"/>
        <v>（含）-</v>
      </c>
      <c r="J68" s="493" t="str">
        <f t="shared" si="30"/>
        <v>（含）-</v>
      </c>
      <c r="K68" s="493" t="str">
        <f t="shared" si="30"/>
        <v>（含）-</v>
      </c>
      <c r="L68" s="493" t="str">
        <f t="shared" si="30"/>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31">C70-$K11</f>
        <v>100</v>
      </c>
      <c r="E70" s="490">
        <f t="shared" si="31"/>
        <v>100</v>
      </c>
      <c r="F70" s="490">
        <f t="shared" si="31"/>
        <v>100</v>
      </c>
      <c r="G70" s="490">
        <f t="shared" si="31"/>
        <v>100</v>
      </c>
      <c r="H70" s="490">
        <f t="shared" si="31"/>
        <v>100</v>
      </c>
      <c r="I70" s="490">
        <f t="shared" si="31"/>
        <v>100</v>
      </c>
      <c r="J70" s="490">
        <f t="shared" si="31"/>
        <v>100</v>
      </c>
      <c r="K70" s="490">
        <f t="shared" si="31"/>
        <v>100</v>
      </c>
      <c r="L70" s="490">
        <f t="shared" si="31"/>
        <v>100</v>
      </c>
      <c r="M70" s="491">
        <f t="shared" si="31"/>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98</v>
      </c>
      <c r="E78" s="490">
        <f>D78-$K15</f>
        <v>96</v>
      </c>
      <c r="F78" s="490">
        <f>E78-$K15</f>
        <v>94</v>
      </c>
      <c r="G78" s="490">
        <f>F78-$K15</f>
        <v>92</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99</v>
      </c>
      <c r="E80" s="490">
        <f>D80-$K17</f>
        <v>98</v>
      </c>
      <c r="F80" s="490">
        <f>E80-$K17</f>
        <v>97</v>
      </c>
      <c r="G80" s="490">
        <f>F80-$K17</f>
        <v>96</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98</v>
      </c>
      <c r="E82" s="490">
        <f>D82-$K19</f>
        <v>96</v>
      </c>
      <c r="F82" s="490">
        <f>E82-$K19</f>
        <v>94</v>
      </c>
      <c r="G82" s="490">
        <f>F82-$K19</f>
        <v>92</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1"/>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99</v>
      </c>
      <c r="E84" s="490">
        <f>D84-$K21</f>
        <v>98</v>
      </c>
      <c r="F84" s="490">
        <f>E84-$K21</f>
        <v>97</v>
      </c>
      <c r="G84" s="490">
        <f>F84-$K21</f>
        <v>96</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99</v>
      </c>
      <c r="E86" s="490">
        <f>D86-$K23</f>
        <v>98</v>
      </c>
      <c r="F86" s="490">
        <f>E86-$K23</f>
        <v>97</v>
      </c>
      <c r="G86" s="490">
        <f>F86-$K23</f>
        <v>96</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3511" t="s">
        <v>3853</v>
      </c>
      <c r="D87" s="3511" t="s">
        <v>3848</v>
      </c>
      <c r="E87" s="3511" t="s">
        <v>3849</v>
      </c>
      <c r="F87" s="3511" t="s">
        <v>3851</v>
      </c>
      <c r="G87" s="3511" t="s">
        <v>3852</v>
      </c>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32">C88-$K25</f>
        <v>99</v>
      </c>
      <c r="E88" s="490">
        <f t="shared" si="32"/>
        <v>98</v>
      </c>
      <c r="F88" s="490">
        <f t="shared" si="32"/>
        <v>97</v>
      </c>
      <c r="G88" s="490">
        <f t="shared" si="32"/>
        <v>96</v>
      </c>
      <c r="H88" s="490">
        <f t="shared" si="32"/>
        <v>95</v>
      </c>
      <c r="I88" s="490">
        <f t="shared" si="32"/>
        <v>94</v>
      </c>
      <c r="J88" s="490">
        <f t="shared" si="32"/>
        <v>93</v>
      </c>
      <c r="K88" s="490">
        <f t="shared" si="32"/>
        <v>92</v>
      </c>
      <c r="L88" s="490">
        <f t="shared" si="32"/>
        <v>91</v>
      </c>
      <c r="M88" s="490">
        <f t="shared" si="32"/>
        <v>90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19"/>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33">D90-$K27</f>
        <v>100</v>
      </c>
      <c r="F90" s="490">
        <f t="shared" si="33"/>
        <v>100</v>
      </c>
      <c r="G90" s="490">
        <f t="shared" si="33"/>
        <v>100</v>
      </c>
      <c r="H90" s="490">
        <f t="shared" si="33"/>
        <v>100</v>
      </c>
      <c r="I90" s="490">
        <f t="shared" si="33"/>
        <v>100</v>
      </c>
      <c r="J90" s="490">
        <f t="shared" si="33"/>
        <v>100</v>
      </c>
      <c r="K90" s="490">
        <f t="shared" si="33"/>
        <v>100</v>
      </c>
      <c r="L90" s="490">
        <f t="shared" si="33"/>
        <v>100</v>
      </c>
      <c r="M90" s="490">
        <f t="shared" si="33"/>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34">C92-$K28</f>
        <v>100</v>
      </c>
      <c r="E92" s="490">
        <f t="shared" si="34"/>
        <v>100</v>
      </c>
      <c r="F92" s="490">
        <f t="shared" si="34"/>
        <v>100</v>
      </c>
      <c r="G92" s="490">
        <f t="shared" si="34"/>
        <v>100</v>
      </c>
      <c r="H92" s="490">
        <f t="shared" si="34"/>
        <v>100</v>
      </c>
      <c r="I92" s="490">
        <f t="shared" si="34"/>
        <v>100</v>
      </c>
      <c r="J92" s="490">
        <f t="shared" si="34"/>
        <v>100</v>
      </c>
      <c r="K92" s="490">
        <f t="shared" si="34"/>
        <v>100</v>
      </c>
      <c r="L92" s="490">
        <f t="shared" si="34"/>
        <v>100</v>
      </c>
      <c r="M92" s="490">
        <f t="shared" si="34"/>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0"/>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3510" t="s">
        <v>3525</v>
      </c>
      <c r="D101" s="3510" t="s">
        <v>3526</v>
      </c>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35">C102-$K33</f>
        <v>100</v>
      </c>
      <c r="E102" s="490">
        <f t="shared" si="35"/>
        <v>100</v>
      </c>
      <c r="F102" s="490">
        <f t="shared" si="35"/>
        <v>100</v>
      </c>
      <c r="G102" s="490">
        <f t="shared" si="35"/>
        <v>100</v>
      </c>
      <c r="H102" s="490">
        <f t="shared" si="35"/>
        <v>100</v>
      </c>
      <c r="I102" s="490">
        <f t="shared" si="35"/>
        <v>100</v>
      </c>
      <c r="J102" s="490">
        <f t="shared" si="35"/>
        <v>100</v>
      </c>
      <c r="K102" s="490">
        <f t="shared" si="35"/>
        <v>100</v>
      </c>
      <c r="L102" s="490">
        <f t="shared" si="35"/>
        <v>100</v>
      </c>
      <c r="M102" s="491">
        <f t="shared" si="35"/>
        <v>100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0"/>
      <c r="B103" s="484" t="s">
        <v>1737</v>
      </c>
      <c r="C103" s="524" t="str">
        <f>C104&amp;"(含)"&amp;"-"&amp;D104</f>
        <v>0(含)-20000</v>
      </c>
      <c r="D103" s="524" t="str">
        <f t="shared" ref="D103:L103" si="36">D104&amp;"(含)"&amp;"-"&amp;E104</f>
        <v>20000(含)-50000</v>
      </c>
      <c r="E103" s="524" t="str">
        <f t="shared" si="36"/>
        <v>50000(含)-100000</v>
      </c>
      <c r="F103" s="524" t="str">
        <f t="shared" si="36"/>
        <v>100000(含)-</v>
      </c>
      <c r="G103" s="524" t="str">
        <f t="shared" si="36"/>
        <v>(含)-</v>
      </c>
      <c r="H103" s="524" t="str">
        <f t="shared" si="36"/>
        <v>(含)-</v>
      </c>
      <c r="I103" s="524" t="str">
        <f t="shared" si="36"/>
        <v>(含)-</v>
      </c>
      <c r="J103" s="524" t="str">
        <f t="shared" si="36"/>
        <v>(含)-</v>
      </c>
      <c r="K103" s="524" t="str">
        <f t="shared" si="36"/>
        <v>(含)-</v>
      </c>
      <c r="L103" s="524" t="str">
        <f t="shared" si="36"/>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v>0</v>
      </c>
      <c r="D104" s="541">
        <v>20000</v>
      </c>
      <c r="E104" s="541">
        <v>50000</v>
      </c>
      <c r="F104" s="541">
        <v>100000</v>
      </c>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482">
        <v>100</v>
      </c>
      <c r="D105" s="482">
        <f>C105-1</f>
        <v>99</v>
      </c>
      <c r="E105" s="482">
        <f t="shared" ref="E105:F105" si="37">D105-1</f>
        <v>98</v>
      </c>
      <c r="F105" s="482">
        <f t="shared" si="37"/>
        <v>97</v>
      </c>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3511" t="s">
        <v>3527</v>
      </c>
      <c r="D106" s="3511" t="s">
        <v>3528</v>
      </c>
      <c r="E106" s="3511" t="s">
        <v>3529</v>
      </c>
      <c r="F106" s="3512" t="s">
        <v>3530</v>
      </c>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38">C107-$K35</f>
        <v>98</v>
      </c>
      <c r="E107" s="490">
        <f t="shared" si="38"/>
        <v>96</v>
      </c>
      <c r="F107" s="490">
        <f t="shared" si="38"/>
        <v>94</v>
      </c>
      <c r="G107" s="490">
        <f t="shared" si="38"/>
        <v>92</v>
      </c>
      <c r="H107" s="490">
        <f t="shared" si="38"/>
        <v>90</v>
      </c>
      <c r="I107" s="490">
        <f t="shared" si="38"/>
        <v>88</v>
      </c>
      <c r="J107" s="490">
        <f t="shared" si="38"/>
        <v>86</v>
      </c>
      <c r="K107" s="490">
        <f t="shared" si="38"/>
        <v>84</v>
      </c>
      <c r="L107" s="490">
        <f t="shared" si="38"/>
        <v>82</v>
      </c>
      <c r="M107" s="491">
        <f t="shared" si="38"/>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3511"/>
      <c r="D108" s="3511"/>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39">C109-$K36</f>
        <v>98</v>
      </c>
      <c r="E109" s="490">
        <f t="shared" si="39"/>
        <v>96</v>
      </c>
      <c r="F109" s="490">
        <f t="shared" si="39"/>
        <v>94</v>
      </c>
      <c r="G109" s="490">
        <f t="shared" si="39"/>
        <v>92</v>
      </c>
      <c r="H109" s="490">
        <f t="shared" si="39"/>
        <v>90</v>
      </c>
      <c r="I109" s="490">
        <f t="shared" si="39"/>
        <v>88</v>
      </c>
      <c r="J109" s="490">
        <f t="shared" si="39"/>
        <v>86</v>
      </c>
      <c r="K109" s="490">
        <f t="shared" si="39"/>
        <v>84</v>
      </c>
      <c r="L109" s="490">
        <f t="shared" si="39"/>
        <v>82</v>
      </c>
      <c r="M109" s="491">
        <f t="shared" si="39"/>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101</v>
      </c>
      <c r="E112" s="490">
        <f t="shared" ref="E112:M112" si="40">D112+$K37</f>
        <v>102</v>
      </c>
      <c r="F112" s="490">
        <f t="shared" si="40"/>
        <v>103</v>
      </c>
      <c r="G112" s="490">
        <f t="shared" si="40"/>
        <v>104</v>
      </c>
      <c r="H112" s="490">
        <f t="shared" si="40"/>
        <v>105</v>
      </c>
      <c r="I112" s="490">
        <f t="shared" si="40"/>
        <v>106</v>
      </c>
      <c r="J112" s="490">
        <f t="shared" si="40"/>
        <v>107</v>
      </c>
      <c r="K112" s="490">
        <f t="shared" si="40"/>
        <v>108</v>
      </c>
      <c r="L112" s="490">
        <f t="shared" si="40"/>
        <v>109</v>
      </c>
      <c r="M112" s="490">
        <f t="shared" si="40"/>
        <v>110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41">D114-$K38</f>
        <v>100</v>
      </c>
      <c r="F114" s="490">
        <f t="shared" si="41"/>
        <v>100</v>
      </c>
      <c r="G114" s="490">
        <f t="shared" si="41"/>
        <v>100</v>
      </c>
      <c r="H114" s="490">
        <f t="shared" si="41"/>
        <v>100</v>
      </c>
      <c r="I114" s="490">
        <f t="shared" si="41"/>
        <v>100</v>
      </c>
      <c r="J114" s="490">
        <f t="shared" si="41"/>
        <v>100</v>
      </c>
      <c r="K114" s="490">
        <f t="shared" si="41"/>
        <v>100</v>
      </c>
      <c r="L114" s="490">
        <f t="shared" si="41"/>
        <v>100</v>
      </c>
      <c r="M114" s="490">
        <f t="shared" si="41"/>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3511" t="s">
        <v>3531</v>
      </c>
      <c r="D115" s="3511" t="s">
        <v>3532</v>
      </c>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42">C116-$K39</f>
        <v>98</v>
      </c>
      <c r="E116" s="490">
        <f t="shared" si="42"/>
        <v>96</v>
      </c>
      <c r="F116" s="490">
        <f t="shared" si="42"/>
        <v>94</v>
      </c>
      <c r="G116" s="490">
        <f t="shared" si="42"/>
        <v>92</v>
      </c>
      <c r="H116" s="490">
        <f t="shared" si="42"/>
        <v>90</v>
      </c>
      <c r="I116" s="490">
        <f t="shared" si="42"/>
        <v>88</v>
      </c>
      <c r="J116" s="490">
        <f t="shared" si="42"/>
        <v>86</v>
      </c>
      <c r="K116" s="490">
        <f t="shared" si="42"/>
        <v>84</v>
      </c>
      <c r="L116" s="490">
        <f t="shared" si="42"/>
        <v>82</v>
      </c>
      <c r="M116" s="491">
        <f t="shared" si="42"/>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t="s">
        <v>3533</v>
      </c>
      <c r="D117" s="500" t="s">
        <v>3534</v>
      </c>
      <c r="E117" s="500" t="s">
        <v>3535</v>
      </c>
      <c r="F117" s="500" t="s">
        <v>3536</v>
      </c>
      <c r="G117" s="500" t="s">
        <v>3537</v>
      </c>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0"/>
      <c r="M119" s="1961"/>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43">D120-$K41</f>
        <v>100</v>
      </c>
      <c r="F120" s="490">
        <f t="shared" si="43"/>
        <v>100</v>
      </c>
      <c r="G120" s="490">
        <f t="shared" si="43"/>
        <v>100</v>
      </c>
      <c r="H120" s="490">
        <f t="shared" si="43"/>
        <v>100</v>
      </c>
      <c r="I120" s="490">
        <f t="shared" si="43"/>
        <v>100</v>
      </c>
      <c r="J120" s="490">
        <f t="shared" si="43"/>
        <v>100</v>
      </c>
      <c r="K120" s="490">
        <f t="shared" si="43"/>
        <v>100</v>
      </c>
      <c r="L120" s="490">
        <f t="shared" si="43"/>
        <v>100</v>
      </c>
      <c r="M120" s="490">
        <f t="shared" si="43"/>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44">C124-$K43</f>
        <v>98</v>
      </c>
      <c r="E124" s="490">
        <f t="shared" si="44"/>
        <v>96</v>
      </c>
      <c r="F124" s="490">
        <f t="shared" si="44"/>
        <v>94</v>
      </c>
      <c r="G124" s="490">
        <f t="shared" si="44"/>
        <v>92</v>
      </c>
      <c r="H124" s="490">
        <f t="shared" si="44"/>
        <v>90</v>
      </c>
      <c r="I124" s="490">
        <f t="shared" si="44"/>
        <v>88</v>
      </c>
      <c r="J124" s="490">
        <f t="shared" si="44"/>
        <v>86</v>
      </c>
      <c r="K124" s="490">
        <f t="shared" si="44"/>
        <v>84</v>
      </c>
      <c r="L124" s="490">
        <f t="shared" si="44"/>
        <v>82</v>
      </c>
      <c r="M124" s="491">
        <f t="shared" si="44"/>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0"/>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2"/>
      <c r="C1" s="1851" t="s">
        <v>1563</v>
      </c>
      <c r="D1" s="195"/>
      <c r="E1" s="195"/>
      <c r="F1" s="195"/>
      <c r="G1" s="1118">
        <f>MATCH(B1,'数据-取费表'!A6:A16,0)+5</f>
        <v>8</v>
      </c>
      <c r="H1" s="1053" t="str">
        <f>IF(ISERROR(FIND("住宅",B1)),"非住宅","住宅")</f>
        <v>非住宅</v>
      </c>
    </row>
    <row r="2" spans="1:8" s="197" customFormat="1" ht="18" customHeight="1">
      <c r="A2" s="198" t="s">
        <v>1462</v>
      </c>
      <c r="B2" s="3416">
        <f ca="1">ROUND(IF(D2="——",C52/10000,C52/10000-E2),4)</f>
        <v>109732.3772</v>
      </c>
      <c r="C2" s="196" t="s">
        <v>1463</v>
      </c>
      <c r="D2" s="1845" t="s">
        <v>43</v>
      </c>
      <c r="E2" s="1161" t="e">
        <f ca="1">SUMIF(INDIRECT("'"&amp;G2&amp;"'"&amp;"!A:A"),"承租人权益价值",INDIRECT("'"&amp;G2&amp;"'"&amp;"!c:c"))</f>
        <v>#REF!</v>
      </c>
      <c r="F2" s="1846" t="s">
        <v>1463</v>
      </c>
      <c r="G2" s="1847"/>
    </row>
    <row r="3" spans="1:8" s="197" customFormat="1" ht="18" customHeight="1" thickBot="1">
      <c r="A3" s="200" t="s">
        <v>1464</v>
      </c>
      <c r="B3" s="201">
        <f ca="1">ROUND(B2*10000/(IF(B1="",'数据-汇总表'!E3,INDIRECT("'数据-取费表'!k"&amp;$G$1))),0)</f>
        <v>10585</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16586259</v>
      </c>
      <c r="D5" s="208" t="s">
        <v>1469</v>
      </c>
      <c r="E5" s="209" t="s">
        <v>1470</v>
      </c>
      <c r="F5" s="209" t="s">
        <v>1471</v>
      </c>
      <c r="G5" s="210"/>
    </row>
    <row r="6" spans="1:8" s="211" customFormat="1" ht="13.5" customHeight="1">
      <c r="A6" s="770" t="s">
        <v>1472</v>
      </c>
      <c r="B6" s="212" t="s">
        <v>1473</v>
      </c>
      <c r="C6" s="213"/>
      <c r="D6" s="214"/>
      <c r="E6" s="215"/>
      <c r="F6" s="215"/>
      <c r="G6" s="216"/>
    </row>
    <row r="7" spans="1:8" s="211" customFormat="1" ht="13.5" customHeight="1">
      <c r="A7" s="770" t="s">
        <v>1474</v>
      </c>
      <c r="B7" s="212" t="s">
        <v>1475</v>
      </c>
      <c r="C7" s="217">
        <f>ROUND(C6*F7,0)</f>
        <v>0</v>
      </c>
      <c r="D7" s="217"/>
      <c r="E7" s="215"/>
      <c r="F7" s="218">
        <f>IF(项目基本情况!B8="出让",0,'数据-取费表'!B48+'数据-取费表'!B49)</f>
        <v>3.0499999999999999E-2</v>
      </c>
      <c r="G7" s="216"/>
    </row>
    <row r="8" spans="1:8" s="220" customFormat="1">
      <c r="A8" s="770" t="s">
        <v>1476</v>
      </c>
      <c r="B8" s="212" t="s">
        <v>1477</v>
      </c>
      <c r="C8" s="217">
        <f ca="1">IF(G8="已包含在土地购买价格中",0,C9+C10)</f>
        <v>16586259</v>
      </c>
      <c r="D8" s="219"/>
      <c r="E8" s="217"/>
      <c r="F8" s="218"/>
      <c r="G8" s="1848"/>
    </row>
    <row r="9" spans="1:8" s="211" customFormat="1" ht="13.5" customHeight="1">
      <c r="A9" s="771" t="s">
        <v>355</v>
      </c>
      <c r="B9" s="221" t="s">
        <v>1478</v>
      </c>
      <c r="C9" s="222">
        <f ca="1">ROUND(D9*E9,0)</f>
        <v>0</v>
      </c>
      <c r="D9" s="837">
        <f ca="1">IF(B1="",'数据-汇总表'!E5,IF(INDIRECT("'数据-取费表'!c"&amp;$G$1)="住宅",INDIRECT("'数据-取费表'!k"&amp;$G$1),0))</f>
        <v>0</v>
      </c>
      <c r="E9" s="222">
        <f>'数据-取费表'!B27</f>
        <v>200</v>
      </c>
      <c r="F9" s="218"/>
      <c r="G9" s="223"/>
    </row>
    <row r="10" spans="1:8" s="211" customFormat="1" ht="13.5" customHeight="1">
      <c r="A10" s="771" t="s">
        <v>356</v>
      </c>
      <c r="B10" s="221" t="s">
        <v>1480</v>
      </c>
      <c r="C10" s="222">
        <f ca="1">ROUND(D10*E10,0)</f>
        <v>16586259</v>
      </c>
      <c r="D10" s="837">
        <f ca="1">IF(B1="",'数据-汇总表'!E6,IF(INDIRECT("'数据-取费表'!c"&amp;$G$1)="住宅",INDIRECT("'数据-取费表'!s"&amp;$G$1),INDIRECT("'数据-取费表'!k"&amp;$G$1)+INDIRECT("'数据-取费表'!s"&amp;$G$1)))</f>
        <v>103664.12</v>
      </c>
      <c r="E10" s="222">
        <f>'数据-取费表'!B28</f>
        <v>160</v>
      </c>
      <c r="F10" s="218"/>
      <c r="G10" s="223"/>
    </row>
    <row r="11" spans="1:8" s="211" customFormat="1" ht="13.5" hidden="1" customHeight="1">
      <c r="A11" s="224" t="s">
        <v>4</v>
      </c>
      <c r="B11" s="212" t="s">
        <v>1481</v>
      </c>
      <c r="C11" s="208"/>
      <c r="D11" s="839"/>
      <c r="E11" s="215"/>
      <c r="F11" s="215"/>
      <c r="G11" s="216"/>
    </row>
    <row r="12" spans="1:8" s="211" customFormat="1" ht="13.5" hidden="1" customHeight="1">
      <c r="A12" s="224" t="s">
        <v>5</v>
      </c>
      <c r="B12" s="212" t="s">
        <v>1564</v>
      </c>
      <c r="C12" s="208">
        <v>0</v>
      </c>
      <c r="D12" s="839"/>
      <c r="E12" s="225"/>
      <c r="F12" s="218">
        <v>3.0499999999999999E-2</v>
      </c>
      <c r="G12" s="216"/>
    </row>
    <row r="13" spans="1:8" s="211" customFormat="1" ht="13.5" hidden="1" customHeight="1">
      <c r="A13" s="224" t="s">
        <v>6</v>
      </c>
      <c r="B13" s="212" t="s">
        <v>1565</v>
      </c>
      <c r="C13" s="208"/>
      <c r="D13" s="839"/>
      <c r="E13" s="215"/>
      <c r="F13" s="215"/>
      <c r="G13" s="216"/>
    </row>
    <row r="14" spans="1:8" s="211" customFormat="1" ht="13.5" hidden="1" customHeight="1">
      <c r="A14" s="224" t="s">
        <v>7</v>
      </c>
      <c r="B14" s="212" t="s">
        <v>1477</v>
      </c>
      <c r="C14" s="208"/>
      <c r="D14" s="839"/>
      <c r="E14" s="215"/>
      <c r="F14" s="215"/>
      <c r="G14" s="216" t="s">
        <v>1566</v>
      </c>
    </row>
    <row r="15" spans="1:8" s="211" customFormat="1" ht="13.5" hidden="1" customHeight="1">
      <c r="A15" s="224" t="s">
        <v>8</v>
      </c>
      <c r="B15" s="212" t="s">
        <v>1567</v>
      </c>
      <c r="C15" s="217"/>
      <c r="D15" s="839"/>
      <c r="E15" s="215"/>
      <c r="F15" s="215"/>
      <c r="G15" s="216" t="s">
        <v>1568</v>
      </c>
    </row>
    <row r="16" spans="1:8" s="211" customFormat="1" ht="13.5" hidden="1" customHeight="1">
      <c r="A16" s="224" t="s">
        <v>9</v>
      </c>
      <c r="B16" s="212" t="s">
        <v>1477</v>
      </c>
      <c r="C16" s="217"/>
      <c r="D16" s="839"/>
      <c r="E16" s="215"/>
      <c r="F16" s="215"/>
      <c r="G16" s="216"/>
    </row>
    <row r="17" spans="1:7" s="211" customFormat="1" ht="13.5" hidden="1" customHeight="1">
      <c r="A17" s="224" t="s">
        <v>10</v>
      </c>
      <c r="B17" s="212" t="s">
        <v>1569</v>
      </c>
      <c r="C17" s="226"/>
      <c r="D17" s="840"/>
      <c r="E17" s="226"/>
      <c r="F17" s="226"/>
      <c r="G17" s="216" t="s">
        <v>1568</v>
      </c>
    </row>
    <row r="18" spans="1:7" s="211" customFormat="1" ht="13.5" hidden="1" customHeight="1">
      <c r="A18" s="224" t="s">
        <v>11</v>
      </c>
      <c r="B18" s="212" t="s">
        <v>1570</v>
      </c>
      <c r="C18" s="217">
        <v>0</v>
      </c>
      <c r="D18" s="839"/>
      <c r="E18" s="215"/>
      <c r="F18" s="218">
        <v>3.0499999999999999E-2</v>
      </c>
      <c r="G18" s="216" t="s">
        <v>1571</v>
      </c>
    </row>
    <row r="19" spans="1:7" s="220" customFormat="1" ht="13.5" customHeight="1">
      <c r="A19" s="252" t="s">
        <v>1572</v>
      </c>
      <c r="B19" s="207" t="s">
        <v>1573</v>
      </c>
      <c r="C19" s="208">
        <f ca="1">IF(G19="已包含在土地取得成本中","0",ROUND(D19*E19,0))</f>
        <v>20732824</v>
      </c>
      <c r="D19" s="841">
        <f ca="1">D9+D10</f>
        <v>103664.12</v>
      </c>
      <c r="E19" s="208">
        <f>'数据-取费表'!B31</f>
        <v>200</v>
      </c>
      <c r="F19" s="228"/>
      <c r="G19" s="1848"/>
    </row>
    <row r="20" spans="1:7" s="211" customFormat="1" ht="13.5" customHeight="1">
      <c r="A20" s="252" t="s">
        <v>1574</v>
      </c>
      <c r="B20" s="207" t="s">
        <v>1575</v>
      </c>
      <c r="C20" s="229">
        <f ca="1">ROUND((C5+C19)*F20,0)</f>
        <v>1119572</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19">
        <f ca="1">ROUND(SUM(C23:C25),0)</f>
        <v>4055749</v>
      </c>
      <c r="D22" s="232">
        <f ca="1">C26</f>
        <v>1E-3</v>
      </c>
      <c r="E22" s="233" t="s">
        <v>1579</v>
      </c>
      <c r="F22" s="234">
        <f ca="1">'数据-取费表'!B40</f>
        <v>3.4500000000000003E-2</v>
      </c>
      <c r="G22" s="231" t="str">
        <f>IF('数据-取费表'!B22&lt;=1,"单利计息","复利计息")</f>
        <v>复利计息</v>
      </c>
    </row>
    <row r="23" spans="1:7" s="211" customFormat="1" ht="13.5" customHeight="1">
      <c r="A23" s="772" t="s">
        <v>1472</v>
      </c>
      <c r="B23" s="212" t="s">
        <v>1583</v>
      </c>
      <c r="C23" s="1120">
        <f ca="1">ROUND(IF('数据-取费表'!B22&lt;=1,C5*F22*'数据-取费表'!B22,C5*(POWER((1+F22),'数据-取费表'!B22)-1)),0)</f>
        <v>1776584</v>
      </c>
      <c r="D23" s="235"/>
      <c r="E23" s="235"/>
      <c r="F23" s="236"/>
      <c r="G23" s="237" t="s">
        <v>1584</v>
      </c>
    </row>
    <row r="24" spans="1:7" s="211" customFormat="1" ht="13.5" customHeight="1">
      <c r="A24" s="772" t="s">
        <v>1474</v>
      </c>
      <c r="B24" s="212" t="s">
        <v>1585</v>
      </c>
      <c r="C24" s="1120">
        <f ca="1">ROUND(IF('数据-取费表'!B22&lt;=1,C19*F22*('数据-取费表'!B19/2+'数据-取费表'!B20),C19*(POWER((1+F22),('数据-取费表'!B19/2+'数据-取费表'!B20))-1)),0)</f>
        <v>2220730</v>
      </c>
      <c r="D24" s="235"/>
      <c r="E24" s="235"/>
      <c r="F24" s="236"/>
      <c r="G24" s="237" t="s">
        <v>1586</v>
      </c>
    </row>
    <row r="25" spans="1:7" s="211" customFormat="1" ht="24">
      <c r="A25" s="772" t="s">
        <v>1476</v>
      </c>
      <c r="B25" s="212" t="s">
        <v>1587</v>
      </c>
      <c r="C25" s="1120">
        <f ca="1">ROUND(IF('数据-取费表'!B22&lt;=1,C20*F22*'数据-取费表'!B22/2,C20*(POWER((1+F22),'数据-取费表'!B22/2)-1)),0)</f>
        <v>58435</v>
      </c>
      <c r="D25" s="235"/>
      <c r="E25" s="238"/>
      <c r="F25" s="236"/>
      <c r="G25" s="239" t="s">
        <v>1588</v>
      </c>
    </row>
    <row r="26" spans="1:7" s="211" customFormat="1">
      <c r="A26" s="772" t="s">
        <v>350</v>
      </c>
      <c r="B26" s="212" t="s">
        <v>1511</v>
      </c>
      <c r="C26" s="235">
        <f ca="1">ROUND(IF('数据-取费表'!B22&lt;=1,F21*F22*'数据-取费表'!B22/2,F21*(POWER((1+F22),'数据-取费表'!B22/2)-1)),4)</f>
        <v>1E-3</v>
      </c>
      <c r="D26" s="235"/>
      <c r="E26" s="238"/>
      <c r="F26" s="236"/>
      <c r="G26" s="240"/>
    </row>
    <row r="27" spans="1:7" s="211" customFormat="1" ht="24.75">
      <c r="A27" s="252" t="s">
        <v>1512</v>
      </c>
      <c r="B27" s="241" t="s">
        <v>1513</v>
      </c>
      <c r="C27" s="242">
        <f ca="1">C28</f>
        <v>7303344</v>
      </c>
      <c r="D27" s="232">
        <f ca="1">C29</f>
        <v>3.8E-3</v>
      </c>
      <c r="E27" s="233" t="s">
        <v>1514</v>
      </c>
      <c r="F27" s="243">
        <f ca="1">IF(B1="",'数据-取费表'!Q16,INDIRECT("'数据-取费表'!q"&amp;$G$1))</f>
        <v>0.19</v>
      </c>
      <c r="G27" s="244" t="s">
        <v>1515</v>
      </c>
    </row>
    <row r="28" spans="1:7" s="211" customFormat="1" ht="13.5" customHeight="1">
      <c r="A28" s="772" t="s">
        <v>346</v>
      </c>
      <c r="B28" s="245" t="s">
        <v>1516</v>
      </c>
      <c r="C28" s="246">
        <f ca="1">ROUND((C5+C19+C20)*F27,0)</f>
        <v>7303344</v>
      </c>
      <c r="D28" s="232"/>
      <c r="E28" s="233"/>
      <c r="F28" s="243"/>
      <c r="G28" s="244"/>
    </row>
    <row r="29" spans="1:7" s="211" customFormat="1" ht="13.5" customHeight="1">
      <c r="A29" s="772" t="s">
        <v>347</v>
      </c>
      <c r="B29" s="245" t="s">
        <v>1517</v>
      </c>
      <c r="C29" s="235">
        <f ca="1">ROUND(C21*F27,4)</f>
        <v>3.8E-3</v>
      </c>
      <c r="D29" s="232"/>
      <c r="E29" s="233"/>
      <c r="F29" s="243"/>
      <c r="G29" s="244"/>
    </row>
    <row r="30" spans="1:7" s="211" customFormat="1" ht="13.5" customHeight="1">
      <c r="A30" s="252" t="s">
        <v>1518</v>
      </c>
      <c r="B30" s="207" t="s">
        <v>1519</v>
      </c>
      <c r="C30" s="232">
        <f>ROUND(F30/(1+'数据-取费表'!C42),4)</f>
        <v>5.33E-2</v>
      </c>
      <c r="D30" s="233" t="s">
        <v>1514</v>
      </c>
      <c r="E30" s="238"/>
      <c r="F30" s="234">
        <f>'数据-取费表'!B41</f>
        <v>5.6000000000000001E-2</v>
      </c>
      <c r="G30" s="231" t="s">
        <v>1520</v>
      </c>
    </row>
    <row r="31" spans="1:7" ht="16.5" customHeight="1">
      <c r="A31" s="206">
        <v>1</v>
      </c>
      <c r="B31" s="207" t="s">
        <v>1521</v>
      </c>
      <c r="C31" s="208">
        <f ca="1">ROUND((C5+C19+C20+C22+C27)/(1-C21-D22-D27-C30),0)</f>
        <v>54016431</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774992961</v>
      </c>
      <c r="D33" s="229"/>
      <c r="E33" s="209"/>
      <c r="F33" s="238"/>
      <c r="G33" s="231"/>
    </row>
    <row r="34" spans="1:7" s="255" customFormat="1" ht="13.5" customHeight="1">
      <c r="A34" s="772" t="s">
        <v>346</v>
      </c>
      <c r="B34" s="212" t="s">
        <v>1525</v>
      </c>
      <c r="C34" s="217">
        <f ca="1">ROUND(IF(B1="",SUMPRODUCT('数据-取费表'!K6:K14,'数据-取费表'!L6:L14),INDIRECT("'数据-取费表'!l"&amp;$G$1)*INDIRECT("'数据-取费表'!k"&amp;$G$1)+'数据-取费表'!L14*INDIRECT("'数据-取费表'!S"&amp;$G$1)),0)</f>
        <v>704916016</v>
      </c>
      <c r="D34" s="214"/>
      <c r="E34" s="217"/>
      <c r="F34" s="254"/>
      <c r="G34" s="216"/>
    </row>
    <row r="35" spans="1:7" ht="13.5" customHeight="1">
      <c r="A35" s="772" t="s">
        <v>351</v>
      </c>
      <c r="B35" s="212" t="s">
        <v>1527</v>
      </c>
      <c r="C35" s="217">
        <f ca="1">ROUND(C34*F35,0)</f>
        <v>35245801</v>
      </c>
      <c r="D35" s="217"/>
      <c r="E35" s="217"/>
      <c r="F35" s="256">
        <f>'数据-取费表'!B33</f>
        <v>0.05</v>
      </c>
      <c r="G35" s="216" t="s">
        <v>1528</v>
      </c>
    </row>
    <row r="36" spans="1:7" ht="24">
      <c r="A36" s="772"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2" t="s">
        <v>353</v>
      </c>
      <c r="B37" s="212" t="s">
        <v>1531</v>
      </c>
      <c r="C37" s="246">
        <f ca="1">ROUND(E37*D37,0)</f>
        <v>20732824</v>
      </c>
      <c r="D37" s="214">
        <f ca="1">D19</f>
        <v>103664.12</v>
      </c>
      <c r="E37" s="246">
        <f>'数据-取费表'!B35</f>
        <v>200</v>
      </c>
      <c r="F37" s="256"/>
      <c r="G37" s="258"/>
    </row>
    <row r="38" spans="1:7" ht="13.5" customHeight="1">
      <c r="A38" s="772" t="s">
        <v>354</v>
      </c>
      <c r="B38" s="212" t="s">
        <v>1533</v>
      </c>
      <c r="C38" s="217">
        <f ca="1">ROUND(C34*F38,0)</f>
        <v>14098320</v>
      </c>
      <c r="D38" s="217"/>
      <c r="E38" s="217"/>
      <c r="F38" s="256">
        <f>'数据-取费表'!B36</f>
        <v>0.02</v>
      </c>
      <c r="G38" s="216" t="s">
        <v>1528</v>
      </c>
    </row>
    <row r="39" spans="1:7" s="211" customFormat="1" ht="13.5" customHeight="1">
      <c r="A39" s="252" t="s">
        <v>1534</v>
      </c>
      <c r="B39" s="207" t="s">
        <v>1535</v>
      </c>
      <c r="C39" s="229">
        <f ca="1">ROUND(C33*F20,0)</f>
        <v>23249789</v>
      </c>
      <c r="D39" s="229"/>
      <c r="E39" s="229"/>
      <c r="F39" s="230">
        <f>F20</f>
        <v>0.03</v>
      </c>
      <c r="G39" s="231" t="s">
        <v>1536</v>
      </c>
    </row>
    <row r="40" spans="1:7" s="211" customFormat="1" ht="13.5" customHeight="1">
      <c r="A40" s="252" t="s">
        <v>1537</v>
      </c>
      <c r="B40" s="207" t="s">
        <v>1538</v>
      </c>
      <c r="C40" s="1319">
        <f>F21</f>
        <v>0.02</v>
      </c>
      <c r="D40" s="233" t="s">
        <v>1539</v>
      </c>
      <c r="E40" s="229"/>
      <c r="F40" s="230">
        <f>F21</f>
        <v>0.02</v>
      </c>
      <c r="G40" s="231" t="s">
        <v>1540</v>
      </c>
    </row>
    <row r="41" spans="1:7" s="211" customFormat="1" ht="13.5" customHeight="1">
      <c r="A41" s="252" t="s">
        <v>1541</v>
      </c>
      <c r="B41" s="207" t="s">
        <v>1542</v>
      </c>
      <c r="C41" s="229">
        <f ca="1">ROUND(SUM(C42:C43),0)</f>
        <v>41663330</v>
      </c>
      <c r="D41" s="232">
        <f ca="1">C44</f>
        <v>1E-3</v>
      </c>
      <c r="E41" s="233" t="s">
        <v>1539</v>
      </c>
      <c r="F41" s="234">
        <f ca="1">F22</f>
        <v>3.4500000000000003E-2</v>
      </c>
      <c r="G41" s="231" t="str">
        <f>IF('数据-取费表'!B22&lt;=1,"单利计息","复利计息")</f>
        <v>复利计息</v>
      </c>
    </row>
    <row r="42" spans="1:7" ht="13.5" customHeight="1">
      <c r="A42" s="772" t="s">
        <v>346</v>
      </c>
      <c r="B42" s="212" t="s">
        <v>1543</v>
      </c>
      <c r="C42" s="235">
        <f ca="1">ROUND(IF('数据-取费表'!B22&lt;=1,C33*F22*'数据-取费表'!B20/2,C33*(POWER((1+F22),'数据-取费表'!B20/2)-1)),0)</f>
        <v>40449835</v>
      </c>
      <c r="D42" s="235"/>
      <c r="E42" s="235"/>
      <c r="F42" s="236"/>
      <c r="G42" s="3795" t="s">
        <v>1591</v>
      </c>
    </row>
    <row r="43" spans="1:7" ht="13.5" customHeight="1">
      <c r="A43" s="772" t="s">
        <v>347</v>
      </c>
      <c r="B43" s="212" t="s">
        <v>1545</v>
      </c>
      <c r="C43" s="235">
        <f ca="1">ROUND(IF('数据-取费表'!B22&lt;=1,C39*F22*'数据-取费表'!B20/2,C39*(POWER((1+F22),'数据-取费表'!B20/2)-1)),0)</f>
        <v>1213495</v>
      </c>
      <c r="D43" s="235"/>
      <c r="E43" s="235"/>
      <c r="F43" s="236"/>
      <c r="G43" s="3796"/>
    </row>
    <row r="44" spans="1:7" ht="13.5" customHeight="1">
      <c r="A44" s="772" t="s">
        <v>348</v>
      </c>
      <c r="B44" s="212" t="s">
        <v>1546</v>
      </c>
      <c r="C44" s="235">
        <f ca="1">ROUND(IF('数据-取费表'!B22&lt;=1,C40*F22*'数据-取费表'!B20/2,C40*(POWER((1+F22),'数据-取费表'!B20/2)-1)),4)</f>
        <v>1E-3</v>
      </c>
      <c r="D44" s="235"/>
      <c r="E44" s="235"/>
      <c r="F44" s="236"/>
      <c r="G44" s="3797"/>
    </row>
    <row r="45" spans="1:7" s="211" customFormat="1" ht="13.5" customHeight="1">
      <c r="A45" s="252" t="s">
        <v>1547</v>
      </c>
      <c r="B45" s="241" t="s">
        <v>1513</v>
      </c>
      <c r="C45" s="242">
        <f ca="1">C46</f>
        <v>151666123</v>
      </c>
      <c r="D45" s="232">
        <f ca="1">C47</f>
        <v>3.8E-3</v>
      </c>
      <c r="E45" s="233" t="s">
        <v>1539</v>
      </c>
      <c r="F45" s="243">
        <f ca="1">F27</f>
        <v>0.19</v>
      </c>
      <c r="G45" s="244" t="s">
        <v>1548</v>
      </c>
    </row>
    <row r="46" spans="1:7" s="211" customFormat="1" ht="13.5" customHeight="1">
      <c r="A46" s="772" t="s">
        <v>346</v>
      </c>
      <c r="B46" s="245" t="s">
        <v>1549</v>
      </c>
      <c r="C46" s="246">
        <f ca="1">ROUND((C33+C39)*F27,0)</f>
        <v>151666123</v>
      </c>
      <c r="D46" s="260"/>
      <c r="E46" s="233"/>
      <c r="F46" s="243"/>
      <c r="G46" s="244"/>
    </row>
    <row r="47" spans="1:7" s="211" customFormat="1" ht="13.5" customHeight="1">
      <c r="A47" s="772" t="s">
        <v>347</v>
      </c>
      <c r="B47" s="245" t="s">
        <v>1550</v>
      </c>
      <c r="C47" s="235">
        <f ca="1">ROUND(C40*F27,4)</f>
        <v>3.8E-3</v>
      </c>
      <c r="D47" s="260"/>
      <c r="E47" s="233"/>
      <c r="F47" s="243"/>
      <c r="G47" s="244"/>
    </row>
    <row r="48" spans="1:7" s="211" customFormat="1" ht="13.5" customHeight="1">
      <c r="A48" s="252" t="s">
        <v>1512</v>
      </c>
      <c r="B48" s="207" t="s">
        <v>1551</v>
      </c>
      <c r="C48" s="259">
        <f>ROUND(F30/(1+'数据-取费表'!C42),4)</f>
        <v>5.33E-2</v>
      </c>
      <c r="D48" s="233" t="s">
        <v>1539</v>
      </c>
      <c r="E48" s="229"/>
      <c r="F48" s="234">
        <f>F30</f>
        <v>5.6000000000000001E-2</v>
      </c>
      <c r="G48" s="231" t="s">
        <v>1552</v>
      </c>
    </row>
    <row r="49" spans="1:7" ht="16.5" customHeight="1">
      <c r="A49" s="252" t="s">
        <v>1518</v>
      </c>
      <c r="B49" s="207" t="s">
        <v>1592</v>
      </c>
      <c r="C49" s="229">
        <f ca="1">ROUND((C33+C39+C41+C45)/(1-C40-D41-D45-C48),0)</f>
        <v>1075574578</v>
      </c>
      <c r="D49" s="229"/>
      <c r="E49" s="229"/>
      <c r="F49" s="261"/>
      <c r="G49" s="231" t="s">
        <v>1554</v>
      </c>
    </row>
    <row r="50" spans="1:7" s="255" customFormat="1">
      <c r="A50" s="252" t="s">
        <v>1555</v>
      </c>
      <c r="B50" s="207" t="s">
        <v>1556</v>
      </c>
      <c r="C50" s="229"/>
      <c r="D50" s="229"/>
      <c r="E50" s="229"/>
      <c r="F50" s="261">
        <f>IF('数据-取费表'!B24=0,'数据-取费表'!N16,1)</f>
        <v>0.97</v>
      </c>
      <c r="G50" s="244"/>
    </row>
    <row r="51" spans="1:7" ht="16.5" customHeight="1">
      <c r="A51" s="252" t="s">
        <v>1558</v>
      </c>
      <c r="B51" s="207" t="s">
        <v>1593</v>
      </c>
      <c r="C51" s="229">
        <f ca="1">ROUND(C49*F50,0)</f>
        <v>1043307341</v>
      </c>
      <c r="D51" s="229"/>
      <c r="E51" s="229"/>
      <c r="F51" s="261"/>
      <c r="G51" s="231" t="s">
        <v>1560</v>
      </c>
    </row>
    <row r="52" spans="1:7" s="205" customFormat="1" ht="16.5" thickBot="1">
      <c r="A52" s="262" t="s">
        <v>1561</v>
      </c>
      <c r="B52" s="263"/>
      <c r="C52" s="264">
        <f ca="1">C31+C51</f>
        <v>1097323772</v>
      </c>
      <c r="D52" s="263"/>
      <c r="E52" s="263"/>
      <c r="F52" s="263"/>
      <c r="G52" s="265"/>
    </row>
    <row r="55" spans="1:7" ht="15">
      <c r="B55" s="267" t="s">
        <v>1562</v>
      </c>
      <c r="C55" s="268"/>
    </row>
    <row r="56" spans="1:7">
      <c r="B56" s="270" t="s">
        <v>802</v>
      </c>
      <c r="C56" s="272">
        <f ca="1">1-C57</f>
        <v>4.9000000000000044E-2</v>
      </c>
    </row>
    <row r="57" spans="1:7">
      <c r="B57" s="270" t="s">
        <v>803</v>
      </c>
      <c r="C57" s="271">
        <f ca="1">ROUND(C51/C52,3)</f>
        <v>0.95099999999999996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4" customWidth="1"/>
    <col min="2" max="2" width="25.75" style="773" customWidth="1"/>
    <col min="3" max="3" width="10.375" style="815" customWidth="1"/>
    <col min="4" max="4" width="9.875" style="773" customWidth="1"/>
    <col min="5" max="5" width="9.5" style="724"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3" t="s">
        <v>1594</v>
      </c>
      <c r="B1" s="1183"/>
      <c r="C1" s="1184"/>
      <c r="D1" s="1182"/>
      <c r="E1" s="2798"/>
      <c r="F1" s="2798"/>
      <c r="G1" s="2663"/>
      <c r="H1" s="2798"/>
      <c r="I1" s="2798"/>
      <c r="J1" s="2798"/>
      <c r="K1" s="2799">
        <f>MATCH(C1,'数据-取费表'!A6:A16,0)+5</f>
        <v>8</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2"/>
      <c r="D5" s="1852"/>
      <c r="E5" s="1852"/>
      <c r="F5" s="1852"/>
      <c r="G5" s="1852"/>
      <c r="H5" s="1852"/>
      <c r="I5" s="1852"/>
      <c r="J5" s="1852"/>
      <c r="K5" s="1852"/>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28"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3" t="s">
        <v>1603</v>
      </c>
      <c r="B8" s="161"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6">
        <f ca="1">IF(C1="",'数据-取费表'!P16,INDIRECT("'数据-取费表'!p"&amp;$K$1)+INDIRECT("'数据-取费表'!ar"&amp;$K$1))</f>
        <v>0</v>
      </c>
      <c r="D11" s="794"/>
      <c r="E11" s="326"/>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6"/>
      <c r="F12" s="804">
        <f>'数据-取费表'!B33</f>
        <v>0.05</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6"/>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103664.12</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0.02</v>
      </c>
      <c r="G15" s="128"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28"/>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103664.12</v>
      </c>
      <c r="E17" s="21">
        <f>'数据-取费表'!B32</f>
        <v>0</v>
      </c>
      <c r="F17" s="798"/>
      <c r="G17" s="128"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0</v>
      </c>
      <c r="D18" s="838"/>
      <c r="E18" s="21"/>
      <c r="F18" s="796"/>
      <c r="G18" s="1854"/>
      <c r="H18" s="1179"/>
      <c r="I18" s="1855"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200</v>
      </c>
      <c r="F19" s="796"/>
      <c r="G19" s="12"/>
      <c r="H19" s="1181"/>
      <c r="I19" s="801"/>
      <c r="J19" s="801"/>
      <c r="K19" s="802"/>
    </row>
    <row r="20" spans="1:33" s="795" customFormat="1" ht="13.5" customHeight="1">
      <c r="A20" s="792" t="s">
        <v>361</v>
      </c>
      <c r="B20" s="793" t="s">
        <v>1627</v>
      </c>
      <c r="C20" s="21">
        <f ca="1">ROUND(D20*E20/10000,0)</f>
        <v>1659</v>
      </c>
      <c r="D20" s="838">
        <f ca="1">IF(C1="",'数据-汇总表'!E6,IF(INDIRECT("'数据-取费表'!c"&amp;$K$1)="住宅",INDIRECT("'数据-取费表'!s"&amp;$K$1),INDIRECT("'数据-取费表'!k"&amp;$K$1)+INDIRECT("'数据-取费表'!s"&amp;$K$1)))</f>
        <v>103664.12</v>
      </c>
      <c r="E20" s="21">
        <f>'数据-取费表'!B28</f>
        <v>160</v>
      </c>
      <c r="F20" s="796"/>
      <c r="G20" s="12"/>
      <c r="H20" s="801"/>
      <c r="I20" s="801"/>
      <c r="J20" s="801"/>
      <c r="K20" s="802"/>
    </row>
    <row r="21" spans="1:33" s="795" customFormat="1" ht="13.5" customHeight="1">
      <c r="A21" s="782" t="s">
        <v>357</v>
      </c>
      <c r="B21" s="805" t="s">
        <v>1628</v>
      </c>
      <c r="C21" s="806">
        <f ca="1">C16+C17+C18</f>
        <v>0</v>
      </c>
      <c r="D21" s="807"/>
      <c r="E21" s="278"/>
      <c r="F21" s="278"/>
      <c r="G21" s="128" t="s">
        <v>1629</v>
      </c>
      <c r="H21" s="799"/>
      <c r="I21" s="799"/>
      <c r="J21" s="799"/>
      <c r="K21" s="800"/>
    </row>
    <row r="22" spans="1:33" s="795" customFormat="1" ht="13.5" customHeight="1">
      <c r="A22" s="782" t="s">
        <v>1601</v>
      </c>
      <c r="B22" s="805" t="s">
        <v>1630</v>
      </c>
      <c r="C22" s="806">
        <f ca="1">ROUND(C21*F22,0)</f>
        <v>0</v>
      </c>
      <c r="D22" s="278"/>
      <c r="E22" s="278"/>
      <c r="F22" s="808">
        <f>'数据-取费表'!B37</f>
        <v>0.03</v>
      </c>
      <c r="G22" s="5" t="s">
        <v>1631</v>
      </c>
      <c r="H22" s="789"/>
      <c r="I22" s="789"/>
      <c r="J22" s="789"/>
      <c r="K22" s="790"/>
    </row>
    <row r="23" spans="1:33" s="795" customFormat="1" ht="13.5" customHeight="1">
      <c r="A23" s="782" t="s">
        <v>1603</v>
      </c>
      <c r="B23" s="805" t="s">
        <v>1632</v>
      </c>
      <c r="C23" s="806">
        <f ca="1">ROUND(C4*F23*F11,0)</f>
        <v>0</v>
      </c>
      <c r="D23" s="278"/>
      <c r="E23" s="278"/>
      <c r="F23" s="808">
        <f>'数据-取费表'!B38</f>
        <v>0.02</v>
      </c>
      <c r="G23" s="5" t="s">
        <v>1633</v>
      </c>
      <c r="H23" s="789"/>
      <c r="I23" s="789"/>
      <c r="J23" s="789"/>
      <c r="K23" s="790"/>
    </row>
    <row r="24" spans="1:33" s="795" customFormat="1" ht="13.5" customHeight="1">
      <c r="A24" s="782" t="s">
        <v>1634</v>
      </c>
      <c r="B24" s="805" t="s">
        <v>1635</v>
      </c>
      <c r="C24" s="277">
        <f>ROUND(F24/(1+'数据-取费表'!C42),4)</f>
        <v>2.9000000000000001E-2</v>
      </c>
      <c r="D24" s="278" t="s">
        <v>12</v>
      </c>
      <c r="E24" s="278"/>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77">
        <f ca="1">C26</f>
        <v>0</v>
      </c>
      <c r="E25" s="279" t="s">
        <v>12</v>
      </c>
      <c r="F25" s="280">
        <f ca="1">'数据-取费表'!B40</f>
        <v>3.4500000000000003E-2</v>
      </c>
      <c r="G25" s="128"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1"/>
      <c r="E26" s="282"/>
      <c r="F26" s="283"/>
      <c r="G26" s="1856"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1"/>
      <c r="E27" s="282"/>
      <c r="F27" s="283"/>
      <c r="G27" s="1856" t="str">
        <f>IF('数据-取费表'!B22&lt;=1,"（1）-（3）项×年利率×建设期÷2","（1）-（3）项×((1+年利率)^(建设期÷2)-1)")</f>
        <v>（1）-（3）项×((1+年利率)^(建设期÷2)-1)</v>
      </c>
      <c r="H27" s="799"/>
      <c r="I27" s="799"/>
      <c r="J27" s="799"/>
      <c r="K27" s="800"/>
    </row>
    <row r="28" spans="1:33" s="286" customFormat="1" ht="13.5" customHeight="1">
      <c r="A28" s="782" t="s">
        <v>1641</v>
      </c>
      <c r="B28" s="1857" t="s">
        <v>1642</v>
      </c>
      <c r="C28" s="284">
        <f ca="1">C30</f>
        <v>0</v>
      </c>
      <c r="D28" s="277">
        <f ca="1">C29</f>
        <v>0</v>
      </c>
      <c r="E28" s="279" t="s">
        <v>12</v>
      </c>
      <c r="F28" s="285">
        <f ca="1">IF(C1="",'数据-取费表'!Q16,INDIRECT("'数据-取费表'!q"&amp;$K$1))</f>
        <v>0.19</v>
      </c>
      <c r="G28" s="809"/>
      <c r="H28" s="810"/>
      <c r="I28" s="810"/>
      <c r="J28" s="810"/>
      <c r="K28" s="811"/>
    </row>
    <row r="29" spans="1:33" s="288" customFormat="1" ht="13.5" customHeight="1">
      <c r="A29" s="792" t="s">
        <v>358</v>
      </c>
      <c r="B29" s="814" t="s">
        <v>1643</v>
      </c>
      <c r="C29" s="281">
        <f ca="1">ROUND((1+C24)*F28*'数据-取费表'!B24/'数据-取费表'!B20,4)</f>
        <v>0</v>
      </c>
      <c r="D29" s="281"/>
      <c r="E29" s="282"/>
      <c r="F29" s="287"/>
      <c r="G29" s="128" t="s">
        <v>1644</v>
      </c>
      <c r="H29" s="799"/>
      <c r="I29" s="799"/>
      <c r="J29" s="799"/>
      <c r="K29" s="800"/>
    </row>
    <row r="30" spans="1:33" s="288" customFormat="1" ht="13.5" customHeight="1">
      <c r="A30" s="792" t="s">
        <v>359</v>
      </c>
      <c r="B30" s="814" t="s">
        <v>1645</v>
      </c>
      <c r="C30" s="289">
        <f ca="1">ROUND((C21+C22+C23)*F28,0)</f>
        <v>0</v>
      </c>
      <c r="D30" s="281"/>
      <c r="E30" s="282"/>
      <c r="F30" s="287"/>
      <c r="G30" s="128"/>
      <c r="H30" s="799"/>
      <c r="I30" s="799"/>
      <c r="J30" s="799"/>
      <c r="K30" s="800"/>
    </row>
    <row r="31" spans="1:33" s="795" customFormat="1" ht="13.5" customHeight="1" thickBot="1">
      <c r="A31" s="1858" t="s">
        <v>1646</v>
      </c>
      <c r="B31" s="825" t="s">
        <v>1647</v>
      </c>
      <c r="C31" s="826">
        <f>ROUND(C4*F31/(1+'数据-取费表'!C42),0)</f>
        <v>0</v>
      </c>
      <c r="D31" s="827"/>
      <c r="E31" s="828"/>
      <c r="F31" s="829">
        <f>'数据-取费表'!B41</f>
        <v>5.6000000000000001E-2</v>
      </c>
      <c r="G31" s="830" t="s">
        <v>1648</v>
      </c>
      <c r="H31" s="831"/>
      <c r="I31" s="831"/>
      <c r="J31" s="831"/>
      <c r="K31" s="832"/>
    </row>
    <row r="32" spans="1:33" s="791" customFormat="1" ht="13.5" customHeight="1" thickBot="1">
      <c r="A32" s="820" t="s">
        <v>1649</v>
      </c>
      <c r="B32" s="821"/>
      <c r="C32" s="822">
        <f ca="1">ROUND((C4-C21-C22-C23-C25-C28-C31)/(1+C24+D25+D28),0)</f>
        <v>0</v>
      </c>
      <c r="D32" s="821"/>
      <c r="E32" s="821"/>
      <c r="F32" s="821"/>
      <c r="G32" s="823" t="s">
        <v>1650</v>
      </c>
      <c r="H32" s="821"/>
      <c r="I32" s="821"/>
      <c r="J32" s="821"/>
      <c r="K32" s="82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1"/>
  <sheetViews>
    <sheetView workbookViewId="0">
      <pane xSplit="3" ySplit="1" topLeftCell="D29" activePane="bottomRight" state="frozen"/>
      <selection pane="topRight" activeCell="D1" sqref="D1"/>
      <selection pane="bottomLeft" activeCell="A2" sqref="A2"/>
      <selection pane="bottomRight" activeCell="F32" sqref="F32"/>
    </sheetView>
  </sheetViews>
  <sheetFormatPr defaultRowHeight="13.5"/>
  <cols>
    <col min="1" max="15" width="9" style="3517"/>
    <col min="16" max="16" width="13.5" style="3517" customWidth="1"/>
    <col min="17" max="17" width="14.5" style="3517" customWidth="1"/>
    <col min="18" max="16384" width="9" style="3517"/>
  </cols>
  <sheetData>
    <row r="1" spans="1:23" ht="48">
      <c r="A1" s="3514" t="s">
        <v>3542</v>
      </c>
      <c r="B1" s="3514" t="s">
        <v>3543</v>
      </c>
      <c r="C1" s="3514" t="s">
        <v>3544</v>
      </c>
      <c r="D1" s="3514" t="s">
        <v>3545</v>
      </c>
      <c r="E1" s="3514" t="s">
        <v>3546</v>
      </c>
      <c r="F1" s="3514" t="s">
        <v>3547</v>
      </c>
      <c r="G1" s="3514" t="s">
        <v>3548</v>
      </c>
      <c r="H1" s="3514" t="s">
        <v>3549</v>
      </c>
      <c r="I1" s="3514" t="s">
        <v>3550</v>
      </c>
      <c r="J1" s="3515" t="s">
        <v>3551</v>
      </c>
      <c r="K1" s="3514" t="s">
        <v>3552</v>
      </c>
      <c r="L1" s="3514" t="s">
        <v>3553</v>
      </c>
      <c r="M1" s="3514" t="s">
        <v>3554</v>
      </c>
      <c r="N1" s="3514" t="s">
        <v>3555</v>
      </c>
      <c r="O1" s="3514" t="s">
        <v>3556</v>
      </c>
      <c r="P1" s="3516" t="s">
        <v>3557</v>
      </c>
      <c r="Q1" s="3514" t="s">
        <v>3558</v>
      </c>
      <c r="R1" s="3514" t="s">
        <v>3559</v>
      </c>
      <c r="S1" s="3514" t="s">
        <v>3560</v>
      </c>
      <c r="T1" s="3514" t="s">
        <v>3561</v>
      </c>
      <c r="U1" s="3514" t="s">
        <v>3562</v>
      </c>
      <c r="V1" s="3514" t="s">
        <v>3563</v>
      </c>
      <c r="W1" s="3514" t="s">
        <v>3564</v>
      </c>
    </row>
    <row r="2" spans="1:23" ht="60">
      <c r="A2" s="3514">
        <v>374</v>
      </c>
      <c r="B2" s="3514" t="s">
        <v>3565</v>
      </c>
      <c r="C2" s="3514" t="s">
        <v>3566</v>
      </c>
      <c r="D2" s="3514" t="s">
        <v>3567</v>
      </c>
      <c r="E2" s="3518" t="s">
        <v>3568</v>
      </c>
      <c r="F2" s="3518" t="s">
        <v>3569</v>
      </c>
      <c r="G2" s="3514" t="s">
        <v>3570</v>
      </c>
      <c r="H2" s="3518"/>
      <c r="I2" s="3518">
        <v>8593.369999999999</v>
      </c>
      <c r="J2" s="3519">
        <v>6760.7019999999993</v>
      </c>
      <c r="K2" s="3519">
        <v>1832.6679999999997</v>
      </c>
      <c r="L2" s="3518">
        <v>17186.740000000002</v>
      </c>
      <c r="M2" s="3520">
        <v>20000</v>
      </c>
      <c r="N2" s="3521">
        <v>25421.5316693444</v>
      </c>
      <c r="O2" s="3518" t="s">
        <v>3571</v>
      </c>
      <c r="P2" s="3522">
        <v>44562</v>
      </c>
      <c r="Q2" s="3523" t="s">
        <v>3572</v>
      </c>
      <c r="R2" s="3518" t="s">
        <v>3573</v>
      </c>
      <c r="S2" s="3518"/>
      <c r="T2" s="3524">
        <v>0</v>
      </c>
      <c r="U2" s="3518"/>
      <c r="V2" s="3525" t="e">
        <v>#DIV/0!</v>
      </c>
      <c r="W2" s="3518"/>
    </row>
    <row r="3" spans="1:23" ht="36">
      <c r="A3" s="3514">
        <v>377</v>
      </c>
      <c r="B3" s="3514" t="s">
        <v>3574</v>
      </c>
      <c r="C3" s="3514" t="s">
        <v>3575</v>
      </c>
      <c r="D3" s="3514" t="s">
        <v>3576</v>
      </c>
      <c r="E3" s="3518" t="s">
        <v>3577</v>
      </c>
      <c r="F3" s="3514" t="s">
        <v>3578</v>
      </c>
      <c r="G3" s="3514" t="s">
        <v>3579</v>
      </c>
      <c r="H3" s="3518"/>
      <c r="I3" s="3519">
        <v>24629.24</v>
      </c>
      <c r="J3" s="3519">
        <v>21550.585000000003</v>
      </c>
      <c r="K3" s="3519">
        <v>3078.6549999999988</v>
      </c>
      <c r="L3" s="3518">
        <v>64775</v>
      </c>
      <c r="M3" s="3514">
        <v>26300</v>
      </c>
      <c r="N3" s="3518">
        <v>30057</v>
      </c>
      <c r="O3" s="3514" t="s">
        <v>3571</v>
      </c>
      <c r="P3" s="3526">
        <v>44573</v>
      </c>
      <c r="Q3" s="3527" t="s">
        <v>3580</v>
      </c>
      <c r="R3" s="3528" t="s">
        <v>3581</v>
      </c>
      <c r="S3" s="3518"/>
      <c r="T3" s="3518"/>
      <c r="U3" s="3518"/>
      <c r="V3" s="3518"/>
      <c r="W3" s="3518"/>
    </row>
    <row r="4" spans="1:23" ht="132">
      <c r="A4" s="3514">
        <v>378</v>
      </c>
      <c r="B4" s="3514" t="s">
        <v>3582</v>
      </c>
      <c r="C4" s="3514" t="s">
        <v>3583</v>
      </c>
      <c r="D4" s="3518" t="s">
        <v>3584</v>
      </c>
      <c r="E4" s="3514" t="s">
        <v>3585</v>
      </c>
      <c r="F4" s="3518" t="s">
        <v>3586</v>
      </c>
      <c r="G4" s="3514" t="s">
        <v>3587</v>
      </c>
      <c r="H4" s="3518"/>
      <c r="I4" s="3518">
        <v>6383.22</v>
      </c>
      <c r="J4" s="3519">
        <v>6383.22</v>
      </c>
      <c r="K4" s="3518"/>
      <c r="L4" s="3518">
        <v>28086.17</v>
      </c>
      <c r="M4" s="3520">
        <v>44000</v>
      </c>
      <c r="N4" s="3521">
        <v>44000.003133214894</v>
      </c>
      <c r="O4" s="3518" t="s">
        <v>3571</v>
      </c>
      <c r="P4" s="3526" t="s">
        <v>3588</v>
      </c>
      <c r="Q4" s="3529" t="s">
        <v>3589</v>
      </c>
      <c r="R4" s="3518" t="s">
        <v>3590</v>
      </c>
      <c r="S4" s="3518"/>
      <c r="T4" s="3524">
        <v>0</v>
      </c>
      <c r="U4" s="3518"/>
      <c r="V4" s="3525" t="e">
        <v>#DIV/0!</v>
      </c>
      <c r="W4" s="3518"/>
    </row>
    <row r="5" spans="1:23" ht="60">
      <c r="A5" s="3514">
        <v>382</v>
      </c>
      <c r="B5" s="3514" t="s">
        <v>3591</v>
      </c>
      <c r="C5" s="3514" t="s">
        <v>3592</v>
      </c>
      <c r="D5" s="3514" t="s">
        <v>3593</v>
      </c>
      <c r="E5" s="3518" t="s">
        <v>3568</v>
      </c>
      <c r="F5" s="3518" t="s">
        <v>3569</v>
      </c>
      <c r="G5" s="3514" t="s">
        <v>3570</v>
      </c>
      <c r="H5" s="3518"/>
      <c r="I5" s="3518">
        <v>2279.88</v>
      </c>
      <c r="J5" s="3519">
        <v>1709.91</v>
      </c>
      <c r="K5" s="3519">
        <v>569.97</v>
      </c>
      <c r="L5" s="3518">
        <v>4559.76</v>
      </c>
      <c r="M5" s="3520">
        <v>20000</v>
      </c>
      <c r="N5" s="3521">
        <v>26666.666666666664</v>
      </c>
      <c r="O5" s="3518" t="s">
        <v>3571</v>
      </c>
      <c r="P5" s="3526">
        <v>44580</v>
      </c>
      <c r="Q5" s="3523" t="s">
        <v>3594</v>
      </c>
      <c r="R5" s="3518" t="s">
        <v>3573</v>
      </c>
      <c r="S5" s="3518"/>
      <c r="T5" s="3524">
        <v>0</v>
      </c>
      <c r="U5" s="3518"/>
      <c r="V5" s="3525" t="e">
        <v>#DIV/0!</v>
      </c>
      <c r="W5" s="3518"/>
    </row>
    <row r="6" spans="1:23" ht="84">
      <c r="A6" s="3514">
        <v>390</v>
      </c>
      <c r="B6" s="3514" t="s">
        <v>3595</v>
      </c>
      <c r="C6" s="3514" t="s">
        <v>3596</v>
      </c>
      <c r="D6" s="3518" t="s">
        <v>3597</v>
      </c>
      <c r="E6" s="3518" t="s">
        <v>3598</v>
      </c>
      <c r="F6" s="3518" t="s">
        <v>3599</v>
      </c>
      <c r="G6" s="3514" t="s">
        <v>3600</v>
      </c>
      <c r="H6" s="3518"/>
      <c r="I6" s="3518">
        <v>1693.08</v>
      </c>
      <c r="J6" s="3519">
        <v>1495.49</v>
      </c>
      <c r="K6" s="3519">
        <v>197.58999999999992</v>
      </c>
      <c r="L6" s="3518">
        <v>1727.712</v>
      </c>
      <c r="M6" s="3520">
        <v>10205</v>
      </c>
      <c r="N6" s="3521">
        <v>11552.815465165262</v>
      </c>
      <c r="O6" s="3514" t="s">
        <v>3601</v>
      </c>
      <c r="P6" s="3526">
        <v>44631</v>
      </c>
      <c r="Q6" s="3514" t="s">
        <v>3602</v>
      </c>
      <c r="R6" s="3518" t="s">
        <v>3603</v>
      </c>
      <c r="S6" s="3518">
        <v>2879.52</v>
      </c>
      <c r="T6" s="3524">
        <v>19254.692441942105</v>
      </c>
      <c r="U6" s="3518"/>
      <c r="V6" s="3525">
        <v>0.6</v>
      </c>
      <c r="W6" s="3518" t="s">
        <v>3604</v>
      </c>
    </row>
    <row r="7" spans="1:23" ht="132">
      <c r="A7" s="3514">
        <v>401</v>
      </c>
      <c r="B7" s="3514" t="s">
        <v>3605</v>
      </c>
      <c r="C7" s="3514" t="s">
        <v>3605</v>
      </c>
      <c r="D7" s="3518" t="s">
        <v>3606</v>
      </c>
      <c r="E7" s="3518" t="s">
        <v>3606</v>
      </c>
      <c r="F7" s="3518" t="s">
        <v>3571</v>
      </c>
      <c r="G7" s="3514" t="s">
        <v>3607</v>
      </c>
      <c r="H7" s="3518">
        <v>6089.36</v>
      </c>
      <c r="I7" s="3518">
        <v>5474.29</v>
      </c>
      <c r="J7" s="3519">
        <v>5474.29</v>
      </c>
      <c r="K7" s="3518"/>
      <c r="L7" s="3518">
        <v>2801.8130000000001</v>
      </c>
      <c r="M7" s="3520">
        <v>5118</v>
      </c>
      <c r="N7" s="3521">
        <v>5118.1303876849779</v>
      </c>
      <c r="O7" s="3518" t="s">
        <v>3608</v>
      </c>
      <c r="P7" s="3526">
        <v>44656</v>
      </c>
      <c r="Q7" s="3514" t="s">
        <v>3609</v>
      </c>
      <c r="R7" s="3518" t="s">
        <v>3603</v>
      </c>
      <c r="S7" s="3518">
        <v>2072.59</v>
      </c>
      <c r="T7" s="3524">
        <v>3786.043486917938</v>
      </c>
      <c r="U7" s="3518"/>
      <c r="V7" s="3525">
        <v>1.3518414158130647</v>
      </c>
      <c r="W7" s="3518" t="s">
        <v>3604</v>
      </c>
    </row>
    <row r="8" spans="1:23" ht="60">
      <c r="A8" s="3514">
        <v>443</v>
      </c>
      <c r="B8" s="3514" t="s">
        <v>3610</v>
      </c>
      <c r="C8" s="3514" t="s">
        <v>3611</v>
      </c>
      <c r="D8" s="3514" t="s">
        <v>3612</v>
      </c>
      <c r="E8" s="3514" t="s">
        <v>3612</v>
      </c>
      <c r="F8" s="3514" t="s">
        <v>3613</v>
      </c>
      <c r="G8" s="3514" t="s">
        <v>3614</v>
      </c>
      <c r="H8" s="3514"/>
      <c r="I8" s="3514">
        <v>3972.93</v>
      </c>
      <c r="J8" s="3515">
        <v>2983.89</v>
      </c>
      <c r="K8" s="3515">
        <v>989.04</v>
      </c>
      <c r="L8" s="3514">
        <v>15693</v>
      </c>
      <c r="M8" s="3514">
        <v>39500</v>
      </c>
      <c r="N8" s="3530">
        <v>52592.421302393857</v>
      </c>
      <c r="O8" s="3514" t="s">
        <v>3615</v>
      </c>
      <c r="P8" s="3516">
        <v>44659</v>
      </c>
      <c r="Q8" s="3514" t="s">
        <v>3616</v>
      </c>
      <c r="R8" s="3514" t="s">
        <v>3617</v>
      </c>
      <c r="S8" s="3514"/>
      <c r="T8" s="3514"/>
      <c r="U8" s="3514"/>
      <c r="V8" s="3514"/>
      <c r="W8" s="3514"/>
    </row>
    <row r="9" spans="1:23" ht="72">
      <c r="A9" s="3514">
        <v>449</v>
      </c>
      <c r="B9" s="3514" t="s">
        <v>3618</v>
      </c>
      <c r="C9" s="3514" t="s">
        <v>3619</v>
      </c>
      <c r="D9" s="3514" t="s">
        <v>3620</v>
      </c>
      <c r="E9" s="3518" t="s">
        <v>3621</v>
      </c>
      <c r="F9" s="3514" t="s">
        <v>3622</v>
      </c>
      <c r="G9" s="3514" t="s">
        <v>3614</v>
      </c>
      <c r="H9" s="3518"/>
      <c r="I9" s="3518">
        <v>3644.4</v>
      </c>
      <c r="J9" s="3519"/>
      <c r="K9" s="3518"/>
      <c r="L9" s="3518">
        <v>4178.9776000000002</v>
      </c>
      <c r="M9" s="3520">
        <v>11467</v>
      </c>
      <c r="N9" s="3521" t="e">
        <v>#DIV/0!</v>
      </c>
      <c r="O9" s="3514" t="s">
        <v>3623</v>
      </c>
      <c r="P9" s="3526">
        <v>44744</v>
      </c>
      <c r="Q9" s="3514" t="s">
        <v>3624</v>
      </c>
      <c r="R9" s="3518" t="s">
        <v>3625</v>
      </c>
      <c r="S9" s="3518">
        <v>7462.46</v>
      </c>
      <c r="T9" s="3524">
        <v>20476.511908681812</v>
      </c>
      <c r="U9" s="3518"/>
      <c r="V9" s="3525">
        <v>0.56000000000000005</v>
      </c>
      <c r="W9" s="3514" t="s">
        <v>3626</v>
      </c>
    </row>
    <row r="10" spans="1:23" ht="36">
      <c r="A10" s="3514">
        <v>450</v>
      </c>
      <c r="B10" s="3514" t="s">
        <v>3627</v>
      </c>
      <c r="C10" s="3514" t="s">
        <v>3628</v>
      </c>
      <c r="D10" s="3518" t="s">
        <v>3629</v>
      </c>
      <c r="E10" s="3518" t="s">
        <v>3630</v>
      </c>
      <c r="F10" s="3518" t="s">
        <v>3631</v>
      </c>
      <c r="G10" s="3514" t="s">
        <v>3632</v>
      </c>
      <c r="H10" s="3518"/>
      <c r="I10" s="3518">
        <v>5738.59</v>
      </c>
      <c r="J10" s="3519">
        <v>4782.1583333333338</v>
      </c>
      <c r="K10" s="3519">
        <v>956.43166666666639</v>
      </c>
      <c r="L10" s="3518">
        <v>9259.2099999999991</v>
      </c>
      <c r="M10" s="3520">
        <v>16135</v>
      </c>
      <c r="N10" s="3521">
        <v>19361.989617658692</v>
      </c>
      <c r="O10" s="3518" t="s">
        <v>3615</v>
      </c>
      <c r="P10" s="3526">
        <v>44739</v>
      </c>
      <c r="Q10" s="3518" t="s">
        <v>3633</v>
      </c>
      <c r="R10" s="3518" t="s">
        <v>3634</v>
      </c>
      <c r="S10" s="3518"/>
      <c r="T10" s="3524">
        <v>0</v>
      </c>
      <c r="U10" s="3518"/>
      <c r="V10" s="3525" t="e">
        <v>#DIV/0!</v>
      </c>
      <c r="W10" s="3518"/>
    </row>
    <row r="11" spans="1:23" ht="60">
      <c r="A11" s="3514">
        <v>451</v>
      </c>
      <c r="B11" s="3514" t="s">
        <v>3635</v>
      </c>
      <c r="C11" s="3514" t="s">
        <v>3636</v>
      </c>
      <c r="D11" s="3518" t="s">
        <v>3637</v>
      </c>
      <c r="E11" s="3518" t="s">
        <v>3621</v>
      </c>
      <c r="F11" s="3518" t="s">
        <v>3638</v>
      </c>
      <c r="G11" s="3514" t="s">
        <v>3639</v>
      </c>
      <c r="H11" s="3518"/>
      <c r="I11" s="3518">
        <v>2488.9499999999998</v>
      </c>
      <c r="J11" s="3519">
        <v>1989.8799999999999</v>
      </c>
      <c r="K11" s="3518">
        <v>499.07</v>
      </c>
      <c r="L11" s="3518">
        <v>5033.47</v>
      </c>
      <c r="M11" s="3520">
        <v>20223</v>
      </c>
      <c r="N11" s="3521">
        <v>25295.344442880982</v>
      </c>
      <c r="O11" s="3518" t="s">
        <v>3615</v>
      </c>
      <c r="P11" s="3526">
        <v>44740</v>
      </c>
      <c r="Q11" s="3518" t="s">
        <v>3640</v>
      </c>
      <c r="R11" s="3518" t="s">
        <v>3617</v>
      </c>
      <c r="S11" s="3518"/>
      <c r="T11" s="3524">
        <v>0</v>
      </c>
      <c r="U11" s="3518"/>
      <c r="V11" s="3525" t="e">
        <v>#DIV/0!</v>
      </c>
      <c r="W11" s="3518"/>
    </row>
    <row r="12" spans="1:23" ht="48">
      <c r="A12" s="3514">
        <v>456</v>
      </c>
      <c r="B12" s="3514" t="s">
        <v>3641</v>
      </c>
      <c r="C12" s="3514" t="s">
        <v>3642</v>
      </c>
      <c r="D12" s="3518" t="s">
        <v>3643</v>
      </c>
      <c r="E12" s="3518" t="s">
        <v>3644</v>
      </c>
      <c r="F12" s="3518" t="s">
        <v>3645</v>
      </c>
      <c r="G12" s="3514" t="s">
        <v>3646</v>
      </c>
      <c r="H12" s="3518">
        <v>179.4</v>
      </c>
      <c r="I12" s="3518">
        <v>1228.5899999999999</v>
      </c>
      <c r="J12" s="3519">
        <v>1228.5899999999999</v>
      </c>
      <c r="K12" s="3518"/>
      <c r="L12" s="3518">
        <v>2440</v>
      </c>
      <c r="M12" s="3520">
        <v>19860</v>
      </c>
      <c r="N12" s="3521">
        <v>19860.164904484005</v>
      </c>
      <c r="O12" s="3518" t="s">
        <v>3615</v>
      </c>
      <c r="P12" s="3526">
        <v>44571</v>
      </c>
      <c r="Q12" s="3514" t="s">
        <v>3647</v>
      </c>
      <c r="R12" s="3518" t="s">
        <v>3625</v>
      </c>
      <c r="S12" s="3518">
        <v>4431.55</v>
      </c>
      <c r="T12" s="3524">
        <v>36070.210566584465</v>
      </c>
      <c r="U12" s="3518"/>
      <c r="V12" s="3525">
        <v>0.55059742076700025</v>
      </c>
      <c r="W12" s="3518" t="s">
        <v>3626</v>
      </c>
    </row>
    <row r="13" spans="1:23" ht="108">
      <c r="A13" s="3514">
        <v>463</v>
      </c>
      <c r="B13" s="3514" t="s">
        <v>3648</v>
      </c>
      <c r="C13" s="3514" t="s">
        <v>3649</v>
      </c>
      <c r="D13" s="3518" t="s">
        <v>3650</v>
      </c>
      <c r="E13" s="3518" t="s">
        <v>3651</v>
      </c>
      <c r="F13" s="3518" t="s">
        <v>3652</v>
      </c>
      <c r="G13" s="3514" t="s">
        <v>3653</v>
      </c>
      <c r="H13" s="3518"/>
      <c r="I13" s="3518">
        <v>61606.26</v>
      </c>
      <c r="J13" s="3519">
        <v>42096.020000000004</v>
      </c>
      <c r="K13" s="3518">
        <v>19510.239999999998</v>
      </c>
      <c r="L13" s="3518">
        <v>175005.77</v>
      </c>
      <c r="M13" s="3520">
        <v>28407</v>
      </c>
      <c r="N13" s="3521">
        <v>41572.99668709773</v>
      </c>
      <c r="O13" s="3518" t="s">
        <v>3654</v>
      </c>
      <c r="P13" s="3526">
        <v>44771</v>
      </c>
      <c r="Q13" s="3514" t="s">
        <v>3655</v>
      </c>
      <c r="R13" s="3518" t="s">
        <v>3656</v>
      </c>
      <c r="S13" s="3518"/>
      <c r="T13" s="3524">
        <v>0</v>
      </c>
      <c r="U13" s="3518"/>
      <c r="V13" s="3525" t="e">
        <v>#DIV/0!</v>
      </c>
      <c r="W13" s="3518"/>
    </row>
    <row r="14" spans="1:23" ht="240">
      <c r="A14" s="3514">
        <v>467</v>
      </c>
      <c r="B14" s="3514" t="s">
        <v>3657</v>
      </c>
      <c r="C14" s="3514" t="s">
        <v>3658</v>
      </c>
      <c r="D14" s="3518" t="s">
        <v>3650</v>
      </c>
      <c r="E14" s="3518" t="s">
        <v>3659</v>
      </c>
      <c r="F14" s="3514" t="s">
        <v>3660</v>
      </c>
      <c r="G14" s="3514" t="s">
        <v>3661</v>
      </c>
      <c r="H14" s="3518">
        <v>19305.400000000001</v>
      </c>
      <c r="I14" s="3518">
        <v>14584.58</v>
      </c>
      <c r="J14" s="3519">
        <v>10919.396666666667</v>
      </c>
      <c r="K14" s="3531">
        <v>3665.1833333333329</v>
      </c>
      <c r="L14" s="3518">
        <v>29363.146400000001</v>
      </c>
      <c r="M14" s="3520">
        <v>20133</v>
      </c>
      <c r="N14" s="3521">
        <v>26890.813930806311</v>
      </c>
      <c r="O14" s="3514" t="s">
        <v>3662</v>
      </c>
      <c r="P14" s="3526">
        <v>44779</v>
      </c>
      <c r="Q14" s="3514" t="s">
        <v>3663</v>
      </c>
      <c r="R14" s="3518">
        <v>2004</v>
      </c>
      <c r="S14" s="3518">
        <v>52434.19</v>
      </c>
      <c r="T14" s="3524">
        <v>48019.310590725552</v>
      </c>
      <c r="U14" s="3518"/>
      <c r="V14" s="3525">
        <v>0.56000000000000005</v>
      </c>
      <c r="W14" s="3518" t="s">
        <v>3626</v>
      </c>
    </row>
    <row r="15" spans="1:23" ht="60">
      <c r="A15" s="3514">
        <v>473</v>
      </c>
      <c r="B15" s="3514" t="s">
        <v>3664</v>
      </c>
      <c r="C15" s="3514" t="s">
        <v>3665</v>
      </c>
      <c r="D15" s="3514" t="s">
        <v>3637</v>
      </c>
      <c r="E15" s="3518" t="s">
        <v>3666</v>
      </c>
      <c r="F15" s="3518" t="s">
        <v>3667</v>
      </c>
      <c r="G15" s="3514" t="s">
        <v>3668</v>
      </c>
      <c r="H15" s="3518"/>
      <c r="I15" s="3518">
        <v>3382.65</v>
      </c>
      <c r="J15" s="3519">
        <v>2706.12</v>
      </c>
      <c r="K15" s="3519">
        <v>676.5300000000002</v>
      </c>
      <c r="L15" s="3518">
        <v>5151.78</v>
      </c>
      <c r="M15" s="3520">
        <v>15230</v>
      </c>
      <c r="N15" s="3521">
        <v>19037.514966076891</v>
      </c>
      <c r="O15" s="3518" t="s">
        <v>3615</v>
      </c>
      <c r="P15" s="3522">
        <v>44781</v>
      </c>
      <c r="Q15" s="3523" t="s">
        <v>3669</v>
      </c>
      <c r="R15" s="3518" t="s">
        <v>3670</v>
      </c>
      <c r="S15" s="3518"/>
      <c r="T15" s="3524">
        <v>0</v>
      </c>
      <c r="U15" s="3518"/>
      <c r="V15" s="3525" t="e">
        <v>#DIV/0!</v>
      </c>
      <c r="W15" s="3518"/>
    </row>
    <row r="16" spans="1:23" ht="36">
      <c r="A16" s="3514">
        <v>479</v>
      </c>
      <c r="B16" s="3514" t="s">
        <v>3671</v>
      </c>
      <c r="C16" s="3514" t="s">
        <v>3672</v>
      </c>
      <c r="D16" s="3514" t="s">
        <v>3673</v>
      </c>
      <c r="E16" s="3518" t="s">
        <v>3674</v>
      </c>
      <c r="F16" s="3514" t="s">
        <v>3675</v>
      </c>
      <c r="G16" s="3514" t="s">
        <v>3676</v>
      </c>
      <c r="H16" s="3518"/>
      <c r="I16" s="3519">
        <v>28179.63</v>
      </c>
      <c r="J16" s="3519">
        <v>22543.704000000002</v>
      </c>
      <c r="K16" s="3519">
        <v>5635.9259999999995</v>
      </c>
      <c r="L16" s="3518">
        <v>59177.22</v>
      </c>
      <c r="M16" s="3514">
        <v>21000</v>
      </c>
      <c r="N16" s="3521">
        <v>26249.998669251512</v>
      </c>
      <c r="O16" s="3514" t="s">
        <v>3677</v>
      </c>
      <c r="P16" s="3526">
        <v>44795</v>
      </c>
      <c r="Q16" s="3527" t="s">
        <v>3678</v>
      </c>
      <c r="R16" s="3528" t="s">
        <v>3625</v>
      </c>
      <c r="S16" s="3518"/>
      <c r="T16" s="3518"/>
      <c r="U16" s="3532"/>
      <c r="V16" s="3518"/>
      <c r="W16" s="3518" t="s">
        <v>3679</v>
      </c>
    </row>
    <row r="17" spans="1:23" ht="156">
      <c r="A17" s="3514">
        <v>504</v>
      </c>
      <c r="B17" s="3514" t="s">
        <v>3680</v>
      </c>
      <c r="C17" s="3514" t="s">
        <v>3681</v>
      </c>
      <c r="D17" s="3518" t="s">
        <v>3682</v>
      </c>
      <c r="E17" s="3518" t="s">
        <v>3683</v>
      </c>
      <c r="F17" s="3518" t="s">
        <v>3684</v>
      </c>
      <c r="G17" s="3514" t="s">
        <v>3614</v>
      </c>
      <c r="H17" s="3518">
        <v>23400</v>
      </c>
      <c r="I17" s="3518">
        <v>135500</v>
      </c>
      <c r="J17" s="3519">
        <v>93500</v>
      </c>
      <c r="K17" s="3519">
        <v>42000</v>
      </c>
      <c r="L17" s="3518">
        <v>452000</v>
      </c>
      <c r="M17" s="3520">
        <v>33358</v>
      </c>
      <c r="N17" s="3521">
        <v>48342.245989304807</v>
      </c>
      <c r="O17" s="3518" t="s">
        <v>3685</v>
      </c>
      <c r="P17" s="3526">
        <v>44891</v>
      </c>
      <c r="Q17" s="3514" t="s">
        <v>3686</v>
      </c>
      <c r="R17" s="3518" t="s">
        <v>3687</v>
      </c>
      <c r="S17" s="3518"/>
      <c r="T17" s="3524">
        <v>0</v>
      </c>
      <c r="U17" s="3518"/>
      <c r="V17" s="3525" t="e">
        <v>#DIV/0!</v>
      </c>
      <c r="W17" s="3518" t="s">
        <v>3688</v>
      </c>
    </row>
    <row r="18" spans="1:23" ht="48">
      <c r="A18" s="3514">
        <v>505</v>
      </c>
      <c r="B18" s="3514" t="s">
        <v>3689</v>
      </c>
      <c r="C18" s="3514" t="s">
        <v>3690</v>
      </c>
      <c r="D18" s="3518" t="s">
        <v>3691</v>
      </c>
      <c r="E18" s="3518" t="s">
        <v>3692</v>
      </c>
      <c r="F18" s="3518" t="s">
        <v>3693</v>
      </c>
      <c r="G18" s="3514" t="s">
        <v>3694</v>
      </c>
      <c r="H18" s="3518"/>
      <c r="I18" s="3518">
        <v>1187.81</v>
      </c>
      <c r="J18" s="3519">
        <v>1187.71</v>
      </c>
      <c r="K18" s="3518"/>
      <c r="L18" s="3518">
        <v>2154</v>
      </c>
      <c r="M18" s="3520">
        <v>18134</v>
      </c>
      <c r="N18" s="3521">
        <v>18135.740205942529</v>
      </c>
      <c r="O18" s="3514" t="s">
        <v>3695</v>
      </c>
      <c r="P18" s="3526">
        <v>44919</v>
      </c>
      <c r="Q18" s="3514" t="s">
        <v>3696</v>
      </c>
      <c r="R18" s="3518" t="s">
        <v>3697</v>
      </c>
      <c r="S18" s="3518">
        <v>3361.92</v>
      </c>
      <c r="T18" s="3524">
        <v>28305.899588283333</v>
      </c>
      <c r="U18" s="3518"/>
      <c r="V18" s="3525">
        <v>0.64070531125071384</v>
      </c>
      <c r="W18" s="3518" t="s">
        <v>3698</v>
      </c>
    </row>
    <row r="19" spans="1:23" ht="72.75">
      <c r="A19" s="3514">
        <v>507</v>
      </c>
      <c r="B19" s="3514" t="s">
        <v>3699</v>
      </c>
      <c r="C19" s="3514" t="s">
        <v>3700</v>
      </c>
      <c r="D19" s="3518" t="s">
        <v>3701</v>
      </c>
      <c r="E19" s="3518" t="s">
        <v>3702</v>
      </c>
      <c r="F19" s="3518" t="s">
        <v>3703</v>
      </c>
      <c r="G19" s="3514" t="s">
        <v>3704</v>
      </c>
      <c r="H19" s="3518"/>
      <c r="I19" s="3518">
        <v>8671.6</v>
      </c>
      <c r="J19" s="3519">
        <v>8671.6</v>
      </c>
      <c r="K19" s="3518"/>
      <c r="L19" s="3518">
        <v>29483.439999999999</v>
      </c>
      <c r="M19" s="3520">
        <v>34000</v>
      </c>
      <c r="N19" s="3521">
        <v>34000</v>
      </c>
      <c r="O19" s="3518" t="s">
        <v>3705</v>
      </c>
      <c r="P19" s="3526">
        <v>44917</v>
      </c>
      <c r="Q19" s="3518" t="s">
        <v>3706</v>
      </c>
      <c r="R19" s="3518" t="s">
        <v>3707</v>
      </c>
      <c r="S19" s="3518"/>
      <c r="T19" s="3524">
        <v>0</v>
      </c>
      <c r="U19" s="3518"/>
      <c r="V19" s="3525" t="e">
        <v>#DIV/0!</v>
      </c>
      <c r="W19" s="3518" t="s">
        <v>3708</v>
      </c>
    </row>
    <row r="20" spans="1:23" ht="48">
      <c r="A20" s="3514">
        <v>508</v>
      </c>
      <c r="B20" s="3518" t="s">
        <v>3709</v>
      </c>
      <c r="C20" s="3514" t="s">
        <v>3710</v>
      </c>
      <c r="D20" s="3518" t="s">
        <v>3711</v>
      </c>
      <c r="E20" s="3518" t="s">
        <v>3712</v>
      </c>
      <c r="F20" s="3518" t="s">
        <v>3705</v>
      </c>
      <c r="G20" s="3514" t="s">
        <v>3713</v>
      </c>
      <c r="H20" s="3518"/>
      <c r="I20" s="3518">
        <v>470.01</v>
      </c>
      <c r="J20" s="3519">
        <v>352.50749999999999</v>
      </c>
      <c r="K20" s="3519">
        <v>117.5025</v>
      </c>
      <c r="L20" s="3518">
        <v>1921</v>
      </c>
      <c r="M20" s="3520">
        <v>40871</v>
      </c>
      <c r="N20" s="3521">
        <v>54495.294426359724</v>
      </c>
      <c r="O20" s="3518" t="s">
        <v>3714</v>
      </c>
      <c r="P20" s="3526">
        <v>44930</v>
      </c>
      <c r="Q20" s="3518" t="s">
        <v>3715</v>
      </c>
      <c r="R20" s="3518" t="s">
        <v>3716</v>
      </c>
      <c r="S20" s="3518">
        <v>1500</v>
      </c>
      <c r="T20" s="3524">
        <v>42552.28612157188</v>
      </c>
      <c r="U20" s="3518"/>
      <c r="V20" s="3525">
        <v>1.2806666666666666</v>
      </c>
      <c r="W20" s="3518" t="s">
        <v>3698</v>
      </c>
    </row>
    <row r="21" spans="1:23" ht="48">
      <c r="A21" s="3514">
        <v>511</v>
      </c>
      <c r="B21" s="3514" t="s">
        <v>3717</v>
      </c>
      <c r="C21" s="3518" t="s">
        <v>3718</v>
      </c>
      <c r="D21" s="3518" t="s">
        <v>3719</v>
      </c>
      <c r="E21" s="3514" t="s">
        <v>3720</v>
      </c>
      <c r="F21" s="3518" t="s">
        <v>3721</v>
      </c>
      <c r="G21" s="3514" t="s">
        <v>3722</v>
      </c>
      <c r="H21" s="3518"/>
      <c r="I21" s="3518">
        <v>36279.259999999995</v>
      </c>
      <c r="J21" s="3519">
        <v>36279.259999999995</v>
      </c>
      <c r="K21" s="3518"/>
      <c r="L21" s="3518">
        <v>58046.82</v>
      </c>
      <c r="M21" s="3520">
        <v>16000</v>
      </c>
      <c r="N21" s="3521">
        <v>16000.001102558323</v>
      </c>
      <c r="O21" s="3518" t="s">
        <v>3723</v>
      </c>
      <c r="P21" s="3522">
        <v>44866</v>
      </c>
      <c r="Q21" s="3518" t="s">
        <v>3724</v>
      </c>
      <c r="R21" s="3518" t="s">
        <v>3725</v>
      </c>
      <c r="S21" s="3518"/>
      <c r="T21" s="3524">
        <v>0</v>
      </c>
      <c r="U21" s="3518"/>
      <c r="V21" s="3525" t="e">
        <v>#DIV/0!</v>
      </c>
      <c r="W21" s="3518" t="s">
        <v>3726</v>
      </c>
    </row>
    <row r="22" spans="1:23" ht="84">
      <c r="A22" s="3514">
        <v>524</v>
      </c>
      <c r="B22" s="3533" t="s">
        <v>3727</v>
      </c>
      <c r="C22" s="3533" t="s">
        <v>3728</v>
      </c>
      <c r="D22" s="3533" t="s">
        <v>3711</v>
      </c>
      <c r="E22" s="3533" t="s">
        <v>3729</v>
      </c>
      <c r="F22" s="3533" t="s">
        <v>3730</v>
      </c>
      <c r="G22" s="3533" t="s">
        <v>3731</v>
      </c>
      <c r="H22" s="3533"/>
      <c r="I22" s="3533">
        <v>4831.22</v>
      </c>
      <c r="J22" s="3533">
        <v>4177.5700000000006</v>
      </c>
      <c r="K22" s="3533">
        <v>653.65</v>
      </c>
      <c r="L22" s="3533">
        <v>17086.28</v>
      </c>
      <c r="M22" s="3533">
        <v>35366</v>
      </c>
      <c r="N22" s="3533">
        <v>40900</v>
      </c>
      <c r="O22" s="3533" t="s">
        <v>3705</v>
      </c>
      <c r="P22" s="3534">
        <v>44994</v>
      </c>
      <c r="Q22" s="3533" t="s">
        <v>3732</v>
      </c>
      <c r="R22" s="3533" t="s">
        <v>3733</v>
      </c>
      <c r="S22" s="3533"/>
      <c r="T22" s="3524"/>
      <c r="U22" s="3533"/>
      <c r="V22" s="3525"/>
      <c r="W22" s="3518" t="s">
        <v>3734</v>
      </c>
    </row>
    <row r="23" spans="1:23" ht="96">
      <c r="A23" s="3514">
        <v>526</v>
      </c>
      <c r="B23" s="3514" t="s">
        <v>3735</v>
      </c>
      <c r="C23" s="3514" t="s">
        <v>3736</v>
      </c>
      <c r="D23" s="3518" t="s">
        <v>3701</v>
      </c>
      <c r="E23" s="3518" t="s">
        <v>3702</v>
      </c>
      <c r="F23" s="3518" t="s">
        <v>3703</v>
      </c>
      <c r="G23" s="3514" t="s">
        <v>3704</v>
      </c>
      <c r="H23" s="3518"/>
      <c r="I23" s="3518">
        <v>35216.400000000001</v>
      </c>
      <c r="J23" s="3519">
        <v>35216.400000000001</v>
      </c>
      <c r="K23" s="3518"/>
      <c r="L23" s="3518">
        <v>119735.76</v>
      </c>
      <c r="M23" s="3520">
        <v>34000</v>
      </c>
      <c r="N23" s="3521">
        <v>34000</v>
      </c>
      <c r="O23" s="3518" t="s">
        <v>3705</v>
      </c>
      <c r="P23" s="3534">
        <v>44986</v>
      </c>
      <c r="Q23" s="3518" t="s">
        <v>3737</v>
      </c>
      <c r="R23" s="3518" t="s">
        <v>3707</v>
      </c>
      <c r="S23" s="3518"/>
      <c r="T23" s="3524">
        <v>0</v>
      </c>
      <c r="U23" s="3518"/>
      <c r="V23" s="3525" t="e">
        <v>#DIV/0!</v>
      </c>
      <c r="W23" s="3518" t="s">
        <v>3708</v>
      </c>
    </row>
    <row r="24" spans="1:23" ht="48">
      <c r="A24" s="3514">
        <v>543</v>
      </c>
      <c r="B24" s="3514" t="s">
        <v>3738</v>
      </c>
      <c r="C24" s="3518" t="s">
        <v>3739</v>
      </c>
      <c r="D24" s="3518" t="s">
        <v>3740</v>
      </c>
      <c r="E24" s="3518" t="s">
        <v>3741</v>
      </c>
      <c r="F24" s="3518" t="s">
        <v>3742</v>
      </c>
      <c r="G24" s="3514" t="s">
        <v>3743</v>
      </c>
      <c r="H24" s="3518"/>
      <c r="I24" s="3518">
        <v>16577.27</v>
      </c>
      <c r="J24" s="3519">
        <v>16577.27</v>
      </c>
      <c r="K24" s="3518"/>
      <c r="L24" s="3518">
        <v>22911.439999999999</v>
      </c>
      <c r="M24" s="3520">
        <v>13821</v>
      </c>
      <c r="N24" s="3521">
        <v>13820.997064052162</v>
      </c>
      <c r="O24" s="3518" t="s">
        <v>3744</v>
      </c>
      <c r="P24" s="3534">
        <v>45078</v>
      </c>
      <c r="Q24" s="3518" t="s">
        <v>3737</v>
      </c>
      <c r="R24" s="3518" t="s">
        <v>3745</v>
      </c>
      <c r="S24" s="3518"/>
      <c r="T24" s="3524">
        <v>0</v>
      </c>
      <c r="U24" s="3518"/>
      <c r="V24" s="3525" t="e">
        <v>#DIV/0!</v>
      </c>
      <c r="W24" s="3518" t="s">
        <v>3734</v>
      </c>
    </row>
    <row r="25" spans="1:23" ht="132">
      <c r="A25" s="3514">
        <v>553</v>
      </c>
      <c r="B25" s="3518" t="s">
        <v>3746</v>
      </c>
      <c r="C25" s="3514" t="s">
        <v>3747</v>
      </c>
      <c r="D25" s="3518" t="s">
        <v>3691</v>
      </c>
      <c r="E25" s="3514" t="s">
        <v>3692</v>
      </c>
      <c r="F25" s="3514" t="s">
        <v>3748</v>
      </c>
      <c r="G25" s="3514" t="s">
        <v>3749</v>
      </c>
      <c r="H25" s="3518"/>
      <c r="I25" s="3518">
        <v>2230.1799999999998</v>
      </c>
      <c r="J25" s="3519">
        <v>2230.1799999999998</v>
      </c>
      <c r="K25" s="3518"/>
      <c r="L25" s="3518">
        <v>4231.7056000000002</v>
      </c>
      <c r="M25" s="3520">
        <v>18975</v>
      </c>
      <c r="N25" s="3521">
        <v>18974.726703674147</v>
      </c>
      <c r="O25" s="3514" t="s">
        <v>3750</v>
      </c>
      <c r="P25" s="3526">
        <v>45115</v>
      </c>
      <c r="Q25" s="3514" t="s">
        <v>3751</v>
      </c>
      <c r="R25" s="3518" t="s">
        <v>3752</v>
      </c>
      <c r="S25" s="3518">
        <v>6612.04</v>
      </c>
      <c r="T25" s="3524">
        <v>29648.010474490849</v>
      </c>
      <c r="U25" s="3518"/>
      <c r="V25" s="3525">
        <v>0.64</v>
      </c>
      <c r="W25" s="3518" t="s">
        <v>3698</v>
      </c>
    </row>
    <row r="26" spans="1:23" ht="60">
      <c r="A26" s="3514">
        <v>555</v>
      </c>
      <c r="B26" s="3518" t="s">
        <v>3753</v>
      </c>
      <c r="C26" s="3514" t="s">
        <v>3754</v>
      </c>
      <c r="D26" s="3518" t="s">
        <v>3691</v>
      </c>
      <c r="E26" s="3514" t="s">
        <v>3692</v>
      </c>
      <c r="F26" s="3514" t="s">
        <v>3755</v>
      </c>
      <c r="G26" s="3514" t="s">
        <v>3749</v>
      </c>
      <c r="H26" s="3518"/>
      <c r="I26" s="3518">
        <v>1187.81</v>
      </c>
      <c r="J26" s="3519">
        <v>1187.81</v>
      </c>
      <c r="K26" s="3518"/>
      <c r="L26" s="3518">
        <v>2550</v>
      </c>
      <c r="M26" s="3520">
        <v>21468</v>
      </c>
      <c r="N26" s="3521">
        <v>21468.079911770405</v>
      </c>
      <c r="O26" s="3514" t="s">
        <v>3756</v>
      </c>
      <c r="P26" s="3526">
        <v>45126</v>
      </c>
      <c r="Q26" s="3514" t="s">
        <v>3757</v>
      </c>
      <c r="R26" s="3518" t="s">
        <v>3758</v>
      </c>
      <c r="S26" s="3518">
        <v>3590.04</v>
      </c>
      <c r="T26" s="3524">
        <v>30224.025728020475</v>
      </c>
      <c r="U26" s="3518"/>
      <c r="V26" s="3525">
        <v>0.71029849249590538</v>
      </c>
      <c r="W26" s="3518" t="s">
        <v>3698</v>
      </c>
    </row>
    <row r="27" spans="1:23" ht="72">
      <c r="A27" s="3514">
        <v>559</v>
      </c>
      <c r="B27" s="3514" t="s">
        <v>3759</v>
      </c>
      <c r="C27" s="3514" t="s">
        <v>3760</v>
      </c>
      <c r="D27" s="3514" t="s">
        <v>3761</v>
      </c>
      <c r="E27" s="3518" t="s">
        <v>3762</v>
      </c>
      <c r="F27" s="3514" t="s">
        <v>3763</v>
      </c>
      <c r="G27" s="3514" t="s">
        <v>3764</v>
      </c>
      <c r="H27" s="3518"/>
      <c r="I27" s="3518">
        <v>2079.25</v>
      </c>
      <c r="J27" s="3519"/>
      <c r="K27" s="3518"/>
      <c r="L27" s="3518">
        <v>3229.33</v>
      </c>
      <c r="M27" s="3520">
        <v>15531</v>
      </c>
      <c r="N27" s="3521" t="e">
        <v>#DIV/0!</v>
      </c>
      <c r="O27" s="3514" t="s">
        <v>3765</v>
      </c>
      <c r="P27" s="3526">
        <v>45146</v>
      </c>
      <c r="Q27" s="3514" t="s">
        <v>3766</v>
      </c>
      <c r="R27" s="3518" t="s">
        <v>3716</v>
      </c>
      <c r="S27" s="3518">
        <v>3799.21</v>
      </c>
      <c r="T27" s="3524">
        <v>18272.021161476496</v>
      </c>
      <c r="U27" s="3518"/>
      <c r="V27" s="3525">
        <v>0.85000039481892287</v>
      </c>
      <c r="W27" s="3514" t="s">
        <v>3698</v>
      </c>
    </row>
    <row r="28" spans="1:23" ht="96">
      <c r="A28" s="3514">
        <v>564</v>
      </c>
      <c r="B28" s="3514" t="s">
        <v>3767</v>
      </c>
      <c r="C28" s="3514" t="s">
        <v>3768</v>
      </c>
      <c r="D28" s="3518" t="s">
        <v>3701</v>
      </c>
      <c r="E28" s="3518" t="s">
        <v>3702</v>
      </c>
      <c r="F28" s="3518" t="s">
        <v>3703</v>
      </c>
      <c r="G28" s="3514" t="s">
        <v>3704</v>
      </c>
      <c r="H28" s="3518"/>
      <c r="I28" s="3518">
        <v>30899.29</v>
      </c>
      <c r="J28" s="3519">
        <v>30899.29</v>
      </c>
      <c r="K28" s="3518"/>
      <c r="L28" s="3518">
        <v>105057.59</v>
      </c>
      <c r="M28" s="3520">
        <v>34000</v>
      </c>
      <c r="N28" s="3521">
        <v>34000.001294528127</v>
      </c>
      <c r="O28" s="3518" t="s">
        <v>3705</v>
      </c>
      <c r="P28" s="3534">
        <v>45139</v>
      </c>
      <c r="Q28" s="3518" t="s">
        <v>3769</v>
      </c>
      <c r="R28" s="3518" t="s">
        <v>3707</v>
      </c>
      <c r="S28" s="3518"/>
      <c r="T28" s="3524">
        <v>0</v>
      </c>
      <c r="U28" s="3518"/>
      <c r="V28" s="3525" t="e">
        <v>#DIV/0!</v>
      </c>
      <c r="W28" s="3518" t="s">
        <v>3708</v>
      </c>
    </row>
    <row r="29" spans="1:23" s="3541" customFormat="1" ht="48">
      <c r="A29" s="3535">
        <v>565</v>
      </c>
      <c r="B29" s="3536" t="s">
        <v>3770</v>
      </c>
      <c r="C29" s="3536" t="s">
        <v>3771</v>
      </c>
      <c r="D29" s="3536" t="s">
        <v>3701</v>
      </c>
      <c r="E29" s="3535" t="s">
        <v>3772</v>
      </c>
      <c r="F29" s="3535" t="s">
        <v>3773</v>
      </c>
      <c r="G29" s="3535" t="s">
        <v>3774</v>
      </c>
      <c r="H29" s="3536"/>
      <c r="I29" s="3536">
        <v>20714.13</v>
      </c>
      <c r="J29" s="3537">
        <v>20714.13</v>
      </c>
      <c r="K29" s="3536"/>
      <c r="L29" s="3536">
        <v>93213.58</v>
      </c>
      <c r="M29" s="3535">
        <v>45000</v>
      </c>
      <c r="N29" s="3538">
        <v>44999.997586188751</v>
      </c>
      <c r="O29" s="3535" t="s">
        <v>3775</v>
      </c>
      <c r="P29" s="3539">
        <v>45139</v>
      </c>
      <c r="Q29" s="3535" t="s">
        <v>3776</v>
      </c>
      <c r="R29" s="3536" t="s">
        <v>3707</v>
      </c>
      <c r="S29" s="3536"/>
      <c r="T29" s="3538">
        <v>0</v>
      </c>
      <c r="U29" s="3536"/>
      <c r="V29" s="3540" t="e">
        <v>#DIV/0!</v>
      </c>
      <c r="W29" s="3536" t="s">
        <v>3777</v>
      </c>
    </row>
    <row r="30" spans="1:23" s="3541" customFormat="1" ht="156">
      <c r="A30" s="3535">
        <v>566</v>
      </c>
      <c r="B30" s="3535" t="s">
        <v>3778</v>
      </c>
      <c r="C30" s="3535" t="s">
        <v>3779</v>
      </c>
      <c r="D30" s="3536" t="s">
        <v>3711</v>
      </c>
      <c r="E30" s="3536" t="s">
        <v>3780</v>
      </c>
      <c r="F30" s="3536" t="s">
        <v>3781</v>
      </c>
      <c r="G30" s="3535" t="s">
        <v>3782</v>
      </c>
      <c r="H30" s="3536"/>
      <c r="I30" s="3536">
        <v>8905</v>
      </c>
      <c r="J30" s="3537">
        <v>8905</v>
      </c>
      <c r="K30" s="3536"/>
      <c r="L30" s="3536">
        <v>33839</v>
      </c>
      <c r="M30" s="3535">
        <v>38000</v>
      </c>
      <c r="N30" s="3538">
        <v>38000</v>
      </c>
      <c r="O30" s="3536" t="s">
        <v>3783</v>
      </c>
      <c r="P30" s="3542">
        <v>45041</v>
      </c>
      <c r="Q30" s="3535" t="s">
        <v>3784</v>
      </c>
      <c r="R30" s="3536" t="s">
        <v>3785</v>
      </c>
      <c r="S30" s="3536"/>
      <c r="T30" s="3538">
        <v>0</v>
      </c>
      <c r="U30" s="3536"/>
      <c r="V30" s="3540" t="e">
        <v>#DIV/0!</v>
      </c>
      <c r="W30" s="3536" t="s">
        <v>3688</v>
      </c>
    </row>
    <row r="31" spans="1:23" ht="36">
      <c r="A31" s="3520">
        <v>568</v>
      </c>
      <c r="B31" s="3520" t="s">
        <v>3786</v>
      </c>
      <c r="C31" s="3520" t="s">
        <v>3787</v>
      </c>
      <c r="D31" s="3520" t="s">
        <v>3740</v>
      </c>
      <c r="E31" s="3543" t="s">
        <v>3788</v>
      </c>
      <c r="F31" s="3520" t="s">
        <v>3742</v>
      </c>
      <c r="G31" s="3520" t="s">
        <v>3764</v>
      </c>
      <c r="H31" s="3543"/>
      <c r="I31" s="3544">
        <v>35283.660000000003</v>
      </c>
      <c r="J31" s="3544">
        <v>29000</v>
      </c>
      <c r="K31" s="3544">
        <v>6283.6600000000035</v>
      </c>
      <c r="L31" s="3543">
        <v>90000</v>
      </c>
      <c r="M31" s="3520">
        <v>25508</v>
      </c>
      <c r="N31" s="3543">
        <v>31034</v>
      </c>
      <c r="O31" s="3520" t="s">
        <v>3789</v>
      </c>
      <c r="P31" s="3545" t="s">
        <v>3790</v>
      </c>
      <c r="Q31" s="3546" t="s">
        <v>3791</v>
      </c>
      <c r="R31" s="3547" t="s">
        <v>3707</v>
      </c>
      <c r="S31" s="3543"/>
      <c r="T31" s="3543"/>
      <c r="U31" s="3543"/>
      <c r="V31" s="3543"/>
      <c r="W31" s="3543" t="s">
        <v>3792</v>
      </c>
    </row>
    <row r="32" spans="1:23" ht="96">
      <c r="A32" s="3514">
        <v>571</v>
      </c>
      <c r="B32" s="3514" t="s">
        <v>3793</v>
      </c>
      <c r="C32" s="3514" t="s">
        <v>3794</v>
      </c>
      <c r="D32" s="3518" t="s">
        <v>3682</v>
      </c>
      <c r="E32" s="3518" t="s">
        <v>3795</v>
      </c>
      <c r="F32" s="3518" t="s">
        <v>3796</v>
      </c>
      <c r="G32" s="3514" t="s">
        <v>3614</v>
      </c>
      <c r="H32" s="3518"/>
      <c r="I32" s="3518">
        <v>4550.4799999999996</v>
      </c>
      <c r="J32" s="3519">
        <v>4550.4799999999996</v>
      </c>
      <c r="K32" s="3518"/>
      <c r="L32" s="3518">
        <v>15471.632</v>
      </c>
      <c r="M32" s="3520">
        <v>34000</v>
      </c>
      <c r="N32" s="3521">
        <v>34000</v>
      </c>
      <c r="O32" s="3518" t="s">
        <v>3615</v>
      </c>
      <c r="P32" s="3534">
        <v>45139</v>
      </c>
      <c r="Q32" s="3518" t="s">
        <v>3797</v>
      </c>
      <c r="R32" s="3518" t="s">
        <v>3798</v>
      </c>
      <c r="S32" s="3518"/>
      <c r="T32" s="3524">
        <v>0</v>
      </c>
      <c r="U32" s="3518"/>
      <c r="V32" s="3525" t="e">
        <v>#DIV/0!</v>
      </c>
      <c r="W32" s="3518" t="s">
        <v>3799</v>
      </c>
    </row>
    <row r="33" spans="1:23" ht="96">
      <c r="A33" s="3514">
        <v>578</v>
      </c>
      <c r="B33" s="3514" t="s">
        <v>3800</v>
      </c>
      <c r="C33" s="3514" t="s">
        <v>3801</v>
      </c>
      <c r="D33" s="3518" t="s">
        <v>3682</v>
      </c>
      <c r="E33" s="3518" t="s">
        <v>3795</v>
      </c>
      <c r="F33" s="3518" t="s">
        <v>3796</v>
      </c>
      <c r="G33" s="3514" t="s">
        <v>3614</v>
      </c>
      <c r="H33" s="3518"/>
      <c r="I33" s="3518">
        <v>20425.009999999998</v>
      </c>
      <c r="J33" s="3519">
        <v>20425.009999999998</v>
      </c>
      <c r="K33" s="3518"/>
      <c r="L33" s="3518">
        <v>69445.03</v>
      </c>
      <c r="M33" s="3520">
        <v>34000</v>
      </c>
      <c r="N33" s="3521">
        <v>33999.998041616629</v>
      </c>
      <c r="O33" s="3518" t="s">
        <v>3615</v>
      </c>
      <c r="P33" s="3534">
        <v>45184</v>
      </c>
      <c r="Q33" s="3518" t="s">
        <v>3802</v>
      </c>
      <c r="R33" s="3518" t="s">
        <v>3798</v>
      </c>
      <c r="S33" s="3518"/>
      <c r="T33" s="3524">
        <v>0</v>
      </c>
      <c r="U33" s="3518"/>
      <c r="V33" s="3525" t="e">
        <v>#DIV/0!</v>
      </c>
      <c r="W33" s="3518" t="s">
        <v>3799</v>
      </c>
    </row>
    <row r="34" spans="1:23" ht="72">
      <c r="A34" s="3514">
        <v>585</v>
      </c>
      <c r="B34" s="3514" t="s">
        <v>3803</v>
      </c>
      <c r="C34" s="3514" t="s">
        <v>3804</v>
      </c>
      <c r="D34" s="3518" t="s">
        <v>3637</v>
      </c>
      <c r="E34" s="3518" t="s">
        <v>3805</v>
      </c>
      <c r="F34" s="3518" t="s">
        <v>3806</v>
      </c>
      <c r="G34" s="3514" t="s">
        <v>3807</v>
      </c>
      <c r="H34" s="3518"/>
      <c r="I34" s="3518">
        <v>1500.64</v>
      </c>
      <c r="J34" s="3519">
        <v>1203.8800000000001</v>
      </c>
      <c r="K34" s="3518">
        <v>296.76</v>
      </c>
      <c r="L34" s="3518">
        <v>1623.6775</v>
      </c>
      <c r="M34" s="3520">
        <v>10820</v>
      </c>
      <c r="N34" s="3521">
        <v>13487.03774462571</v>
      </c>
      <c r="O34" s="3514" t="s">
        <v>3808</v>
      </c>
      <c r="P34" s="3526">
        <v>45216</v>
      </c>
      <c r="Q34" s="3514" t="s">
        <v>3809</v>
      </c>
      <c r="R34" s="3518" t="s">
        <v>3810</v>
      </c>
      <c r="S34" s="3518">
        <v>2319.5392000000002</v>
      </c>
      <c r="T34" s="3524">
        <v>19267.196066053093</v>
      </c>
      <c r="U34" s="3518"/>
      <c r="V34" s="3525">
        <v>0.70000002586720667</v>
      </c>
      <c r="W34" s="3518" t="s">
        <v>3626</v>
      </c>
    </row>
    <row r="35" spans="1:23" ht="72">
      <c r="A35" s="3514">
        <v>586</v>
      </c>
      <c r="B35" s="3518" t="s">
        <v>3811</v>
      </c>
      <c r="C35" s="3514" t="s">
        <v>3812</v>
      </c>
      <c r="D35" s="3518" t="s">
        <v>3612</v>
      </c>
      <c r="E35" s="3518" t="s">
        <v>3813</v>
      </c>
      <c r="F35" s="3518" t="s">
        <v>3814</v>
      </c>
      <c r="G35" s="3514" t="s">
        <v>3614</v>
      </c>
      <c r="H35" s="3518"/>
      <c r="I35" s="3518">
        <v>12280.94</v>
      </c>
      <c r="J35" s="3519">
        <v>12280.94</v>
      </c>
      <c r="K35" s="3518"/>
      <c r="L35" s="3524">
        <v>32716.42</v>
      </c>
      <c r="M35" s="3520">
        <v>26640</v>
      </c>
      <c r="N35" s="3521">
        <v>26639.99661263714</v>
      </c>
      <c r="O35" s="3518" t="s">
        <v>3615</v>
      </c>
      <c r="P35" s="3526">
        <v>45217</v>
      </c>
      <c r="Q35" s="3518" t="s">
        <v>3815</v>
      </c>
      <c r="R35" s="3518" t="s">
        <v>3816</v>
      </c>
      <c r="S35" s="3518">
        <v>42983.29</v>
      </c>
      <c r="T35" s="3524">
        <v>35000</v>
      </c>
      <c r="U35" s="3518" t="s">
        <v>3817</v>
      </c>
      <c r="V35" s="3525">
        <v>0.76114276036106121</v>
      </c>
      <c r="W35" s="3518" t="s">
        <v>3799</v>
      </c>
    </row>
    <row r="36" spans="1:23" ht="168">
      <c r="A36" s="3514">
        <v>589</v>
      </c>
      <c r="B36" s="3514" t="s">
        <v>3818</v>
      </c>
      <c r="C36" s="3514" t="s">
        <v>3819</v>
      </c>
      <c r="D36" s="3514" t="s">
        <v>3761</v>
      </c>
      <c r="E36" s="3518" t="s">
        <v>3762</v>
      </c>
      <c r="F36" s="3514" t="s">
        <v>3820</v>
      </c>
      <c r="G36" s="3514" t="s">
        <v>3821</v>
      </c>
      <c r="H36" s="3518"/>
      <c r="I36" s="3518">
        <v>11369.28</v>
      </c>
      <c r="J36" s="3519"/>
      <c r="K36" s="3518"/>
      <c r="L36" s="3548">
        <v>6336.32</v>
      </c>
      <c r="M36" s="3520">
        <v>5573</v>
      </c>
      <c r="N36" s="3521" t="e">
        <v>#DIV/0!</v>
      </c>
      <c r="O36" s="3514" t="s">
        <v>3822</v>
      </c>
      <c r="P36" s="3526">
        <v>45249</v>
      </c>
      <c r="Q36" s="3514" t="s">
        <v>3823</v>
      </c>
      <c r="R36" s="3518" t="s">
        <v>3824</v>
      </c>
      <c r="S36" s="3518">
        <v>11047</v>
      </c>
      <c r="T36" s="3524" t="e">
        <v>#DIV/0!</v>
      </c>
      <c r="U36" s="3518"/>
      <c r="V36" s="3525">
        <v>0.57357834706255084</v>
      </c>
      <c r="W36" s="3518" t="s">
        <v>3698</v>
      </c>
    </row>
    <row r="37" spans="1:23" ht="60">
      <c r="A37" s="3514">
        <v>590</v>
      </c>
      <c r="B37" s="3514" t="s">
        <v>3825</v>
      </c>
      <c r="C37" s="3514" t="s">
        <v>3826</v>
      </c>
      <c r="D37" s="3518" t="s">
        <v>3827</v>
      </c>
      <c r="E37" s="3518" t="s">
        <v>3828</v>
      </c>
      <c r="F37" s="3514" t="s">
        <v>3829</v>
      </c>
      <c r="G37" s="3514" t="s">
        <v>3830</v>
      </c>
      <c r="H37" s="3518"/>
      <c r="I37" s="3518">
        <v>2772.84</v>
      </c>
      <c r="J37" s="3519">
        <v>2772.84</v>
      </c>
      <c r="K37" s="3518"/>
      <c r="L37" s="3518">
        <v>1537.2144000000001</v>
      </c>
      <c r="M37" s="3520">
        <v>5544</v>
      </c>
      <c r="N37" s="3521">
        <v>5543.8265460682915</v>
      </c>
      <c r="O37" s="3514" t="s">
        <v>3831</v>
      </c>
      <c r="P37" s="3526">
        <v>45150</v>
      </c>
      <c r="Q37" s="3518" t="s">
        <v>3832</v>
      </c>
      <c r="R37" s="3518"/>
      <c r="S37" s="3518">
        <v>2347.21</v>
      </c>
      <c r="T37" s="3524">
        <v>8465.0033900261096</v>
      </c>
      <c r="U37" s="3518"/>
      <c r="V37" s="3525">
        <v>0.65491132024829479</v>
      </c>
      <c r="W37" s="3518" t="s">
        <v>3698</v>
      </c>
    </row>
    <row r="38" spans="1:23" ht="72">
      <c r="A38" s="3514">
        <v>591</v>
      </c>
      <c r="B38" s="3514" t="s">
        <v>3833</v>
      </c>
      <c r="C38" s="3518" t="s">
        <v>3718</v>
      </c>
      <c r="D38" s="3518" t="s">
        <v>3719</v>
      </c>
      <c r="E38" s="3514" t="s">
        <v>3720</v>
      </c>
      <c r="F38" s="3518" t="s">
        <v>3721</v>
      </c>
      <c r="G38" s="3514" t="s">
        <v>3722</v>
      </c>
      <c r="H38" s="3518"/>
      <c r="I38" s="3518">
        <v>57617.54</v>
      </c>
      <c r="J38" s="3519">
        <v>51245.68</v>
      </c>
      <c r="K38" s="3519">
        <v>6371.8600000000006</v>
      </c>
      <c r="L38" s="3518">
        <v>81377.37</v>
      </c>
      <c r="M38" s="3520">
        <v>14124</v>
      </c>
      <c r="N38" s="3521">
        <v>15879.849774654176</v>
      </c>
      <c r="O38" s="3518" t="s">
        <v>3705</v>
      </c>
      <c r="P38" s="3522">
        <v>45231</v>
      </c>
      <c r="Q38" s="3518" t="s">
        <v>3834</v>
      </c>
      <c r="R38" s="3518" t="s">
        <v>3725</v>
      </c>
      <c r="S38" s="3518"/>
      <c r="T38" s="3524">
        <v>0</v>
      </c>
      <c r="U38" s="3518"/>
      <c r="V38" s="3525" t="e">
        <v>#DIV/0!</v>
      </c>
      <c r="W38" s="3518" t="s">
        <v>3708</v>
      </c>
    </row>
    <row r="39" spans="1:23" ht="120">
      <c r="A39" s="3514">
        <v>596</v>
      </c>
      <c r="B39" s="3514" t="s">
        <v>3835</v>
      </c>
      <c r="C39" s="3514" t="s">
        <v>3836</v>
      </c>
      <c r="D39" s="3518" t="s">
        <v>3711</v>
      </c>
      <c r="E39" s="3518" t="s">
        <v>3837</v>
      </c>
      <c r="F39" s="3518" t="s">
        <v>3838</v>
      </c>
      <c r="G39" s="3514" t="s">
        <v>3704</v>
      </c>
      <c r="H39" s="3518"/>
      <c r="I39" s="3518">
        <v>19158.28</v>
      </c>
      <c r="J39" s="3519">
        <v>19158.28</v>
      </c>
      <c r="K39" s="3518"/>
      <c r="L39" s="3518">
        <v>167194.31</v>
      </c>
      <c r="M39" s="3520">
        <v>87270</v>
      </c>
      <c r="N39" s="3521">
        <v>87270.000229665719</v>
      </c>
      <c r="O39" s="3518" t="s">
        <v>3705</v>
      </c>
      <c r="P39" s="3522">
        <v>45280</v>
      </c>
      <c r="Q39" s="3514" t="s">
        <v>3839</v>
      </c>
      <c r="R39" s="3518" t="s">
        <v>3840</v>
      </c>
      <c r="S39" s="3518">
        <v>186026.87964172001</v>
      </c>
      <c r="T39" s="3524">
        <v>97099.99000000002</v>
      </c>
      <c r="U39" s="3518"/>
      <c r="V39" s="3525">
        <v>0.89876425558504902</v>
      </c>
      <c r="W39" s="3518" t="s">
        <v>3708</v>
      </c>
    </row>
    <row r="40" spans="1:23" ht="120">
      <c r="A40" s="3514">
        <v>600</v>
      </c>
      <c r="B40" s="3514" t="s">
        <v>3841</v>
      </c>
      <c r="C40" s="3514" t="s">
        <v>3836</v>
      </c>
      <c r="D40" s="3518" t="s">
        <v>3711</v>
      </c>
      <c r="E40" s="3518" t="s">
        <v>3837</v>
      </c>
      <c r="F40" s="3518" t="s">
        <v>3838</v>
      </c>
      <c r="G40" s="3514" t="s">
        <v>3704</v>
      </c>
      <c r="H40" s="3518"/>
      <c r="I40" s="3518">
        <v>9290.6</v>
      </c>
      <c r="J40" s="3519">
        <v>9290.6</v>
      </c>
      <c r="K40" s="3518"/>
      <c r="L40" s="3518">
        <v>81079.070000000007</v>
      </c>
      <c r="M40" s="3520">
        <v>87270</v>
      </c>
      <c r="N40" s="3521">
        <v>87270.004090155649</v>
      </c>
      <c r="O40" s="3518" t="s">
        <v>3705</v>
      </c>
      <c r="P40" s="3522">
        <v>45300</v>
      </c>
      <c r="Q40" s="3514" t="s">
        <v>3842</v>
      </c>
      <c r="R40" s="3518" t="s">
        <v>3840</v>
      </c>
      <c r="S40" s="3518">
        <v>90211.716709400003</v>
      </c>
      <c r="T40" s="3524">
        <v>97099.99</v>
      </c>
      <c r="U40" s="3518"/>
      <c r="V40" s="3525">
        <v>0.89876429534293101</v>
      </c>
      <c r="W40" s="3518" t="s">
        <v>3708</v>
      </c>
    </row>
    <row r="41" spans="1:23" ht="48">
      <c r="A41" s="3514">
        <v>613</v>
      </c>
      <c r="B41" s="3514" t="s">
        <v>3843</v>
      </c>
      <c r="C41" s="3514" t="s">
        <v>3844</v>
      </c>
      <c r="D41" s="3514" t="s">
        <v>3761</v>
      </c>
      <c r="E41" s="3518" t="s">
        <v>3762</v>
      </c>
      <c r="F41" s="3518" t="s">
        <v>3845</v>
      </c>
      <c r="G41" s="3514" t="s">
        <v>3782</v>
      </c>
      <c r="H41" s="3518"/>
      <c r="I41" s="3518">
        <v>5791.2</v>
      </c>
      <c r="J41" s="3519"/>
      <c r="K41" s="3518"/>
      <c r="L41" s="3518">
        <v>9265.92</v>
      </c>
      <c r="M41" s="3520">
        <v>16000</v>
      </c>
      <c r="N41" s="3521" t="e">
        <v>#DIV/0!</v>
      </c>
      <c r="O41" s="3518" t="s">
        <v>3705</v>
      </c>
      <c r="P41" s="3522">
        <v>45292</v>
      </c>
      <c r="Q41" s="3518" t="s">
        <v>3846</v>
      </c>
      <c r="R41" s="3518" t="s">
        <v>3847</v>
      </c>
      <c r="S41" s="3518">
        <v>12740.640000000001</v>
      </c>
      <c r="T41" s="3524" t="e">
        <v>#DIV/0!</v>
      </c>
      <c r="U41" s="3518"/>
      <c r="V41" s="3525">
        <v>0.72727272727272718</v>
      </c>
      <c r="W41" s="3518" t="s">
        <v>3734</v>
      </c>
    </row>
  </sheetData>
  <autoFilter ref="A1:W41"/>
  <phoneticPr fontId="135"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I1" workbookViewId="0">
      <selection activeCell="B30" sqref="B30"/>
    </sheetView>
  </sheetViews>
  <sheetFormatPr defaultColWidth="9" defaultRowHeight="13.5"/>
  <cols>
    <col min="1" max="1" width="9" style="3503"/>
    <col min="2" max="2" width="21.125" style="3503" customWidth="1"/>
    <col min="3" max="6" width="9" style="3503"/>
    <col min="7" max="7" width="18.625" style="3503" customWidth="1"/>
    <col min="8" max="11" width="9" style="3503"/>
    <col min="12" max="12" width="9.5" style="3503" bestFit="1" customWidth="1"/>
    <col min="13" max="15" width="9" style="3503"/>
    <col min="16" max="16" width="15.5" style="3503" customWidth="1"/>
    <col min="17" max="17" width="9.25" style="3503" customWidth="1"/>
    <col min="18" max="16384" width="9" style="3503"/>
  </cols>
  <sheetData>
    <row r="1" spans="1:23" s="3485" customFormat="1">
      <c r="A1" s="3484" t="s">
        <v>3427</v>
      </c>
      <c r="B1" s="3484" t="s">
        <v>3428</v>
      </c>
      <c r="C1" s="3484" t="s">
        <v>3429</v>
      </c>
      <c r="D1" s="3484" t="s">
        <v>3430</v>
      </c>
      <c r="E1" s="3484" t="s">
        <v>3431</v>
      </c>
      <c r="F1" s="3484" t="s">
        <v>3432</v>
      </c>
      <c r="G1" s="3484" t="s">
        <v>672</v>
      </c>
      <c r="H1" s="3484" t="s">
        <v>3433</v>
      </c>
      <c r="I1" s="3484" t="s">
        <v>3434</v>
      </c>
      <c r="J1" s="3484" t="s">
        <v>3435</v>
      </c>
      <c r="K1" s="3484" t="s">
        <v>3436</v>
      </c>
      <c r="L1" s="3484" t="s">
        <v>3437</v>
      </c>
      <c r="M1" s="3484" t="s">
        <v>3438</v>
      </c>
      <c r="N1" s="3484" t="s">
        <v>3439</v>
      </c>
      <c r="O1" s="3484" t="s">
        <v>3440</v>
      </c>
      <c r="P1" s="3484" t="s">
        <v>3441</v>
      </c>
      <c r="Q1" s="3484" t="s">
        <v>3442</v>
      </c>
      <c r="R1" s="3484" t="s">
        <v>3443</v>
      </c>
      <c r="S1" s="3484" t="s">
        <v>3444</v>
      </c>
      <c r="T1" s="3484" t="s">
        <v>3445</v>
      </c>
      <c r="U1" s="3484" t="s">
        <v>3446</v>
      </c>
      <c r="V1" s="3484" t="s">
        <v>3447</v>
      </c>
      <c r="W1" s="3484" t="s">
        <v>3448</v>
      </c>
    </row>
    <row r="2" spans="1:23" s="3485" customFormat="1">
      <c r="A2" s="3486">
        <v>8</v>
      </c>
      <c r="B2" s="3486" t="s">
        <v>3449</v>
      </c>
      <c r="C2" s="3486" t="s">
        <v>3450</v>
      </c>
      <c r="D2" s="3486" t="s">
        <v>3451</v>
      </c>
      <c r="E2" s="3486" t="s">
        <v>3452</v>
      </c>
      <c r="F2" s="3486" t="s">
        <v>3453</v>
      </c>
      <c r="G2" s="3486" t="s">
        <v>3454</v>
      </c>
      <c r="H2" s="3486"/>
      <c r="I2" s="3486">
        <v>25834.13</v>
      </c>
      <c r="J2" s="3486">
        <v>25834.13</v>
      </c>
      <c r="K2" s="3486"/>
      <c r="L2" s="3486">
        <v>78491</v>
      </c>
      <c r="M2" s="3486">
        <v>30383</v>
      </c>
      <c r="N2" s="3486">
        <v>30383</v>
      </c>
      <c r="O2" s="3486" t="s">
        <v>3455</v>
      </c>
      <c r="P2" s="3487">
        <v>44257</v>
      </c>
      <c r="Q2" s="3486" t="s">
        <v>3456</v>
      </c>
      <c r="R2" s="3486" t="s">
        <v>3457</v>
      </c>
      <c r="S2" s="3486"/>
      <c r="T2" s="3486"/>
      <c r="U2" s="3486"/>
      <c r="V2" s="3488"/>
      <c r="W2" s="3486"/>
    </row>
    <row r="3" spans="1:23" s="3485" customFormat="1">
      <c r="A3" s="3489">
        <v>9</v>
      </c>
      <c r="B3" s="3489" t="s">
        <v>3458</v>
      </c>
      <c r="C3" s="3489" t="s">
        <v>3450</v>
      </c>
      <c r="D3" s="3489" t="s">
        <v>3451</v>
      </c>
      <c r="E3" s="3489" t="s">
        <v>3452</v>
      </c>
      <c r="F3" s="3489" t="s">
        <v>3453</v>
      </c>
      <c r="G3" s="3489" t="s">
        <v>3454</v>
      </c>
      <c r="H3" s="3489"/>
      <c r="I3" s="3489">
        <v>12857.96</v>
      </c>
      <c r="J3" s="3489">
        <v>12857.96</v>
      </c>
      <c r="K3" s="3489"/>
      <c r="L3" s="3489">
        <v>39210</v>
      </c>
      <c r="M3" s="3489">
        <v>30495</v>
      </c>
      <c r="N3" s="3489">
        <v>30495</v>
      </c>
      <c r="O3" s="3489" t="s">
        <v>3455</v>
      </c>
      <c r="P3" s="3490">
        <v>44257</v>
      </c>
      <c r="Q3" s="3489" t="s">
        <v>3456</v>
      </c>
      <c r="R3" s="3489" t="s">
        <v>3457</v>
      </c>
      <c r="S3" s="3489"/>
      <c r="T3" s="3489"/>
      <c r="U3" s="3489"/>
      <c r="V3" s="3491"/>
      <c r="W3" s="3489"/>
    </row>
    <row r="4" spans="1:23" s="3485" customFormat="1">
      <c r="A4" s="3486">
        <v>10</v>
      </c>
      <c r="B4" s="3486" t="s">
        <v>3459</v>
      </c>
      <c r="C4" s="3486" t="s">
        <v>3450</v>
      </c>
      <c r="D4" s="3486" t="s">
        <v>3451</v>
      </c>
      <c r="E4" s="3486" t="s">
        <v>3452</v>
      </c>
      <c r="F4" s="3486" t="s">
        <v>3453</v>
      </c>
      <c r="G4" s="3486" t="s">
        <v>3454</v>
      </c>
      <c r="H4" s="3486"/>
      <c r="I4" s="3486">
        <v>12955.85</v>
      </c>
      <c r="J4" s="3486">
        <v>12955.85</v>
      </c>
      <c r="K4" s="3486"/>
      <c r="L4" s="3486">
        <v>38868</v>
      </c>
      <c r="M4" s="3486">
        <v>30000</v>
      </c>
      <c r="N4" s="3486">
        <v>30000</v>
      </c>
      <c r="O4" s="3486" t="s">
        <v>3455</v>
      </c>
      <c r="P4" s="3487">
        <v>44161</v>
      </c>
      <c r="Q4" s="3486" t="s">
        <v>3456</v>
      </c>
      <c r="R4" s="3486" t="s">
        <v>3457</v>
      </c>
      <c r="S4" s="3486"/>
      <c r="T4" s="3486"/>
      <c r="U4" s="3486"/>
      <c r="V4" s="3488"/>
      <c r="W4" s="3486"/>
    </row>
    <row r="5" spans="1:23" s="3496" customFormat="1">
      <c r="A5" s="3492">
        <v>15</v>
      </c>
      <c r="B5" s="3492" t="s">
        <v>3460</v>
      </c>
      <c r="C5" s="3492" t="s">
        <v>3461</v>
      </c>
      <c r="D5" s="3492" t="s">
        <v>3451</v>
      </c>
      <c r="E5" s="3492" t="s">
        <v>3452</v>
      </c>
      <c r="F5" s="3492" t="s">
        <v>3453</v>
      </c>
      <c r="G5" s="3493" t="s">
        <v>3462</v>
      </c>
      <c r="H5" s="3492"/>
      <c r="I5" s="3492">
        <v>66987.539999999994</v>
      </c>
      <c r="J5" s="3492">
        <v>66987.539999999994</v>
      </c>
      <c r="K5" s="3492"/>
      <c r="L5" s="3492">
        <v>267950</v>
      </c>
      <c r="M5" s="3492">
        <v>40000</v>
      </c>
      <c r="N5" s="3493">
        <v>40000</v>
      </c>
      <c r="O5" s="3492" t="s">
        <v>43</v>
      </c>
      <c r="P5" s="3494">
        <v>44161</v>
      </c>
      <c r="Q5" s="3492" t="s">
        <v>3463</v>
      </c>
      <c r="R5" s="3492" t="s">
        <v>3464</v>
      </c>
      <c r="S5" s="3492"/>
      <c r="T5" s="3492"/>
      <c r="U5" s="3492"/>
      <c r="V5" s="3495"/>
      <c r="W5" s="3492"/>
    </row>
    <row r="6" spans="1:23" s="3485" customFormat="1">
      <c r="A6" s="3489">
        <v>17</v>
      </c>
      <c r="B6" s="3489" t="s">
        <v>3465</v>
      </c>
      <c r="C6" s="3489" t="s">
        <v>3450</v>
      </c>
      <c r="D6" s="3489" t="s">
        <v>3451</v>
      </c>
      <c r="E6" s="3489" t="s">
        <v>3452</v>
      </c>
      <c r="F6" s="3489" t="s">
        <v>3453</v>
      </c>
      <c r="G6" s="3497" t="s">
        <v>3454</v>
      </c>
      <c r="H6" s="3489"/>
      <c r="I6" s="3489">
        <v>30280.83</v>
      </c>
      <c r="J6" s="3489">
        <v>30280.83</v>
      </c>
      <c r="K6" s="3489"/>
      <c r="L6" s="3489">
        <v>91206</v>
      </c>
      <c r="M6" s="3489">
        <v>30120</v>
      </c>
      <c r="N6" s="3497">
        <v>30120</v>
      </c>
      <c r="O6" s="3489" t="s">
        <v>3455</v>
      </c>
      <c r="P6" s="3498">
        <v>44267</v>
      </c>
      <c r="Q6" s="3489" t="s">
        <v>3456</v>
      </c>
      <c r="R6" s="3489" t="s">
        <v>3457</v>
      </c>
      <c r="S6" s="3489"/>
      <c r="T6" s="3489"/>
      <c r="U6" s="3489"/>
      <c r="V6" s="3491"/>
      <c r="W6" s="3489"/>
    </row>
    <row r="7" spans="1:23" s="3502" customFormat="1">
      <c r="A7" s="3499">
        <v>24</v>
      </c>
      <c r="B7" s="3499" t="s">
        <v>3466</v>
      </c>
      <c r="C7" s="3499" t="s">
        <v>3467</v>
      </c>
      <c r="D7" s="3499" t="s">
        <v>3451</v>
      </c>
      <c r="E7" s="3499" t="s">
        <v>3468</v>
      </c>
      <c r="F7" s="3499" t="s">
        <v>3469</v>
      </c>
      <c r="G7" s="3499" t="s">
        <v>3470</v>
      </c>
      <c r="H7" s="3499">
        <v>4154.62</v>
      </c>
      <c r="I7" s="3499">
        <v>2784.8</v>
      </c>
      <c r="J7" s="3499">
        <v>2784.8</v>
      </c>
      <c r="K7" s="3499"/>
      <c r="L7" s="3499">
        <v>10175</v>
      </c>
      <c r="M7" s="3499">
        <v>36538</v>
      </c>
      <c r="N7" s="3499">
        <f>M7</f>
        <v>36538</v>
      </c>
      <c r="O7" s="3499" t="s">
        <v>3471</v>
      </c>
      <c r="P7" s="3500">
        <v>44302</v>
      </c>
      <c r="Q7" s="3499" t="s">
        <v>3472</v>
      </c>
      <c r="R7" s="3499" t="s">
        <v>3473</v>
      </c>
      <c r="S7" s="3499">
        <v>8664</v>
      </c>
      <c r="T7" s="3499">
        <v>31110</v>
      </c>
      <c r="U7" s="3499"/>
      <c r="V7" s="3501">
        <v>1.17</v>
      </c>
      <c r="W7" s="3499" t="s">
        <v>3474</v>
      </c>
    </row>
    <row r="8" spans="1:23" s="3502" customFormat="1">
      <c r="A8" s="3499">
        <v>51</v>
      </c>
      <c r="B8" s="3499" t="s">
        <v>3475</v>
      </c>
      <c r="C8" s="3499" t="s">
        <v>3476</v>
      </c>
      <c r="D8" s="3499" t="s">
        <v>3477</v>
      </c>
      <c r="E8" s="3499" t="s">
        <v>3478</v>
      </c>
      <c r="F8" s="3499" t="s">
        <v>3479</v>
      </c>
      <c r="G8" s="3499" t="s">
        <v>3480</v>
      </c>
      <c r="H8" s="3499">
        <v>327.82</v>
      </c>
      <c r="I8" s="3499">
        <v>1702.62</v>
      </c>
      <c r="J8" s="3499">
        <v>1702.62</v>
      </c>
      <c r="K8" s="3499"/>
      <c r="L8" s="3499">
        <v>6441.5559999999996</v>
      </c>
      <c r="M8" s="3499">
        <v>37833</v>
      </c>
      <c r="N8" s="3499">
        <v>37833</v>
      </c>
      <c r="O8" s="3499" t="s">
        <v>3481</v>
      </c>
      <c r="P8" s="3500">
        <v>44502</v>
      </c>
      <c r="Q8" s="3499" t="s">
        <v>3482</v>
      </c>
      <c r="R8" s="3499" t="s">
        <v>3483</v>
      </c>
      <c r="S8" s="3499">
        <v>10056.35</v>
      </c>
      <c r="T8" s="3499">
        <v>59064</v>
      </c>
      <c r="U8" s="3499"/>
      <c r="V8" s="3501">
        <v>0.64</v>
      </c>
      <c r="W8" s="3499" t="s">
        <v>3474</v>
      </c>
    </row>
    <row r="9" spans="1:23" s="3485" customFormat="1">
      <c r="A9" s="3489">
        <v>55</v>
      </c>
      <c r="B9" s="3489" t="s">
        <v>3484</v>
      </c>
      <c r="C9" s="3489" t="s">
        <v>3485</v>
      </c>
      <c r="D9" s="3489" t="s">
        <v>3451</v>
      </c>
      <c r="E9" s="3489" t="s">
        <v>3486</v>
      </c>
      <c r="F9" s="3489" t="s">
        <v>3487</v>
      </c>
      <c r="G9" s="3489" t="s">
        <v>673</v>
      </c>
      <c r="H9" s="3489"/>
      <c r="I9" s="3489">
        <v>377.72</v>
      </c>
      <c r="J9" s="3489">
        <v>377.72</v>
      </c>
      <c r="K9" s="3489"/>
      <c r="L9" s="3489">
        <v>1856.491</v>
      </c>
      <c r="M9" s="3489">
        <v>49150</v>
      </c>
      <c r="N9" s="3489">
        <v>49150</v>
      </c>
      <c r="O9" s="3489" t="s">
        <v>3488</v>
      </c>
      <c r="P9" s="3490">
        <v>44493</v>
      </c>
      <c r="Q9" s="3489" t="s">
        <v>3489</v>
      </c>
      <c r="R9" s="3489" t="s">
        <v>3490</v>
      </c>
      <c r="S9" s="3489">
        <v>1872.13</v>
      </c>
      <c r="T9" s="3489">
        <v>49564</v>
      </c>
      <c r="U9" s="3489"/>
      <c r="V9" s="3491">
        <v>0.99</v>
      </c>
      <c r="W9" s="3489" t="s">
        <v>3474</v>
      </c>
    </row>
    <row r="10" spans="1:23" s="3485" customFormat="1">
      <c r="A10" s="3489">
        <v>57</v>
      </c>
      <c r="B10" s="3489" t="s">
        <v>3491</v>
      </c>
      <c r="C10" s="3489" t="s">
        <v>3492</v>
      </c>
      <c r="D10" s="3489" t="s">
        <v>3451</v>
      </c>
      <c r="E10" s="3489" t="s">
        <v>3486</v>
      </c>
      <c r="F10" s="3489" t="s">
        <v>3493</v>
      </c>
      <c r="G10" s="3489" t="s">
        <v>673</v>
      </c>
      <c r="H10" s="3489">
        <v>428.89</v>
      </c>
      <c r="I10" s="3489">
        <v>1798.66</v>
      </c>
      <c r="J10" s="3489">
        <v>1371.1</v>
      </c>
      <c r="K10" s="3489">
        <v>427.56</v>
      </c>
      <c r="L10" s="3489">
        <v>6671.2269999999999</v>
      </c>
      <c r="M10" s="3489">
        <v>37090</v>
      </c>
      <c r="N10" s="3489">
        <v>48656</v>
      </c>
      <c r="O10" s="3489" t="s">
        <v>3494</v>
      </c>
      <c r="P10" s="3490">
        <v>43709</v>
      </c>
      <c r="Q10" s="3489" t="s">
        <v>3495</v>
      </c>
      <c r="R10" s="3489" t="s">
        <v>3496</v>
      </c>
      <c r="S10" s="3489">
        <v>9530</v>
      </c>
      <c r="T10" s="3489">
        <v>69509</v>
      </c>
      <c r="U10" s="3489"/>
      <c r="V10" s="3491">
        <v>0.7</v>
      </c>
      <c r="W10" s="3489" t="s">
        <v>3474</v>
      </c>
    </row>
    <row r="11" spans="1:23" s="3485" customFormat="1">
      <c r="A11" s="3489">
        <v>78</v>
      </c>
      <c r="B11" s="3489" t="s">
        <v>3497</v>
      </c>
      <c r="C11" s="3489" t="s">
        <v>3498</v>
      </c>
      <c r="D11" s="3489" t="s">
        <v>3451</v>
      </c>
      <c r="E11" s="3489" t="s">
        <v>3468</v>
      </c>
      <c r="F11" s="3489" t="s">
        <v>3499</v>
      </c>
      <c r="G11" s="3489" t="s">
        <v>3500</v>
      </c>
      <c r="H11" s="3489">
        <v>10142.94</v>
      </c>
      <c r="I11" s="3489">
        <v>39145.39</v>
      </c>
      <c r="J11" s="3489">
        <v>33000</v>
      </c>
      <c r="K11" s="3489"/>
      <c r="L11" s="3489">
        <v>250000</v>
      </c>
      <c r="M11" s="3489">
        <v>63864</v>
      </c>
      <c r="N11" s="3489">
        <v>75758</v>
      </c>
      <c r="O11" s="3489" t="s">
        <v>3501</v>
      </c>
      <c r="P11" s="3490" t="s">
        <v>3502</v>
      </c>
      <c r="Q11" s="3489" t="s">
        <v>3503</v>
      </c>
      <c r="R11" s="3489" t="s">
        <v>3504</v>
      </c>
      <c r="S11" s="3489"/>
      <c r="T11" s="3489"/>
      <c r="U11" s="3489" t="s">
        <v>3505</v>
      </c>
      <c r="V11" s="3491"/>
      <c r="W11" s="3489"/>
    </row>
    <row r="12" spans="1:23" s="3485" customFormat="1">
      <c r="A12" s="3489">
        <v>100</v>
      </c>
      <c r="B12" s="3489" t="s">
        <v>3506</v>
      </c>
      <c r="C12" s="3489" t="s">
        <v>3507</v>
      </c>
      <c r="D12" s="3489" t="s">
        <v>3451</v>
      </c>
      <c r="E12" s="3489" t="s">
        <v>3468</v>
      </c>
      <c r="F12" s="3489" t="s">
        <v>3508</v>
      </c>
      <c r="G12" s="3489" t="s">
        <v>21</v>
      </c>
      <c r="H12" s="3489">
        <v>2699.92</v>
      </c>
      <c r="I12" s="3489">
        <v>11428.07</v>
      </c>
      <c r="J12" s="3489">
        <v>6959.3</v>
      </c>
      <c r="K12" s="3489">
        <v>4468.7700000000004</v>
      </c>
      <c r="L12" s="3489">
        <v>36600</v>
      </c>
      <c r="M12" s="3489">
        <v>32026</v>
      </c>
      <c r="N12" s="3489">
        <v>52591</v>
      </c>
      <c r="O12" s="3489" t="s">
        <v>43</v>
      </c>
      <c r="P12" s="3490">
        <v>44256</v>
      </c>
      <c r="Q12" s="3489" t="s">
        <v>3509</v>
      </c>
      <c r="R12" s="3489"/>
      <c r="S12" s="3489"/>
      <c r="T12" s="3489">
        <v>0</v>
      </c>
      <c r="U12" s="3489"/>
      <c r="V12" s="3491" t="e">
        <v>#DIV/0!</v>
      </c>
      <c r="W12" s="3489"/>
    </row>
    <row r="16" spans="1:23">
      <c r="A16" s="3503" t="s">
        <v>3427</v>
      </c>
      <c r="B16" s="3503" t="s">
        <v>3428</v>
      </c>
      <c r="C16" s="3503" t="s">
        <v>3429</v>
      </c>
      <c r="D16" s="3503" t="s">
        <v>3430</v>
      </c>
      <c r="E16" s="3503" t="s">
        <v>3431</v>
      </c>
      <c r="F16" s="3503" t="s">
        <v>3432</v>
      </c>
      <c r="G16" s="3503" t="s">
        <v>672</v>
      </c>
      <c r="H16" s="3503" t="s">
        <v>3433</v>
      </c>
      <c r="I16" s="3503" t="s">
        <v>3434</v>
      </c>
      <c r="J16" s="3503" t="s">
        <v>3435</v>
      </c>
      <c r="K16" s="3503" t="s">
        <v>3436</v>
      </c>
      <c r="L16" s="3503" t="s">
        <v>3437</v>
      </c>
      <c r="M16" s="3503" t="s">
        <v>3438</v>
      </c>
      <c r="N16" s="3503" t="s">
        <v>3439</v>
      </c>
      <c r="O16" s="3503" t="s">
        <v>3440</v>
      </c>
      <c r="P16" s="3503" t="s">
        <v>3441</v>
      </c>
      <c r="Q16" s="3503" t="s">
        <v>3442</v>
      </c>
      <c r="R16" s="3503" t="s">
        <v>3443</v>
      </c>
      <c r="S16" s="3503" t="s">
        <v>3444</v>
      </c>
      <c r="T16" s="3503" t="s">
        <v>3445</v>
      </c>
      <c r="U16" s="3503" t="s">
        <v>3446</v>
      </c>
      <c r="V16" s="3503" t="s">
        <v>3447</v>
      </c>
      <c r="W16" s="3503" t="s">
        <v>3448</v>
      </c>
    </row>
    <row r="17" spans="1:22">
      <c r="A17" s="3503">
        <v>8</v>
      </c>
      <c r="B17" s="3503" t="s">
        <v>3449</v>
      </c>
      <c r="C17" s="3503" t="s">
        <v>3450</v>
      </c>
      <c r="D17" s="3503" t="s">
        <v>3451</v>
      </c>
      <c r="E17" s="3503" t="s">
        <v>3452</v>
      </c>
      <c r="F17" s="3503" t="s">
        <v>3453</v>
      </c>
      <c r="G17" s="3503" t="s">
        <v>3454</v>
      </c>
      <c r="I17" s="3503">
        <v>25834.13</v>
      </c>
      <c r="J17" s="3503">
        <v>25834.13</v>
      </c>
      <c r="L17" s="3503">
        <v>78491</v>
      </c>
      <c r="M17" s="3503">
        <v>30383</v>
      </c>
      <c r="N17" s="3503">
        <v>30383</v>
      </c>
      <c r="O17" s="3503" t="s">
        <v>3455</v>
      </c>
      <c r="P17" s="3504">
        <v>44257</v>
      </c>
      <c r="Q17" s="3503" t="s">
        <v>3456</v>
      </c>
      <c r="R17" s="3503" t="s">
        <v>3457</v>
      </c>
    </row>
    <row r="18" spans="1:22">
      <c r="A18" s="3503">
        <v>9</v>
      </c>
      <c r="B18" s="3503" t="s">
        <v>3458</v>
      </c>
      <c r="C18" s="3503" t="s">
        <v>3450</v>
      </c>
      <c r="D18" s="3503" t="s">
        <v>3451</v>
      </c>
      <c r="E18" s="3503" t="s">
        <v>3452</v>
      </c>
      <c r="F18" s="3503" t="s">
        <v>3453</v>
      </c>
      <c r="G18" s="3503" t="s">
        <v>3454</v>
      </c>
      <c r="I18" s="3503">
        <v>12857.96</v>
      </c>
      <c r="J18" s="3503">
        <v>12857.96</v>
      </c>
      <c r="L18" s="3503">
        <v>39210</v>
      </c>
      <c r="M18" s="3503">
        <v>30495</v>
      </c>
      <c r="N18" s="3503">
        <v>30495</v>
      </c>
      <c r="O18" s="3503" t="s">
        <v>3455</v>
      </c>
      <c r="P18" s="3504">
        <v>44257</v>
      </c>
      <c r="Q18" s="3503" t="s">
        <v>3456</v>
      </c>
      <c r="R18" s="3503" t="s">
        <v>3457</v>
      </c>
    </row>
    <row r="19" spans="1:22">
      <c r="A19" s="3503">
        <v>10</v>
      </c>
      <c r="B19" s="3503" t="s">
        <v>3459</v>
      </c>
      <c r="C19" s="3503" t="s">
        <v>3450</v>
      </c>
      <c r="D19" s="3503" t="s">
        <v>3451</v>
      </c>
      <c r="E19" s="3503" t="s">
        <v>3452</v>
      </c>
      <c r="F19" s="3503" t="s">
        <v>3453</v>
      </c>
      <c r="G19" s="3503" t="s">
        <v>3454</v>
      </c>
      <c r="I19" s="3503">
        <v>12955.85</v>
      </c>
      <c r="J19" s="3503">
        <v>12955.85</v>
      </c>
      <c r="L19" s="3503">
        <v>38868</v>
      </c>
      <c r="M19" s="3503">
        <v>30000</v>
      </c>
      <c r="N19" s="3503">
        <v>30000</v>
      </c>
      <c r="O19" s="3503" t="s">
        <v>3455</v>
      </c>
      <c r="P19" s="3504">
        <v>44161</v>
      </c>
      <c r="Q19" s="3503" t="s">
        <v>3456</v>
      </c>
      <c r="R19" s="3503" t="s">
        <v>3457</v>
      </c>
    </row>
    <row r="20" spans="1:22">
      <c r="A20" s="3503">
        <v>15</v>
      </c>
      <c r="B20" s="3505" t="s">
        <v>3510</v>
      </c>
      <c r="C20" s="3503" t="s">
        <v>3461</v>
      </c>
      <c r="D20" s="3503" t="s">
        <v>3451</v>
      </c>
      <c r="E20" s="3503" t="s">
        <v>3452</v>
      </c>
      <c r="F20" s="3503" t="s">
        <v>3453</v>
      </c>
      <c r="G20" s="3503" t="s">
        <v>3462</v>
      </c>
      <c r="I20" s="3503">
        <v>66987.539999999994</v>
      </c>
      <c r="J20" s="3503">
        <v>66987.539999999994</v>
      </c>
      <c r="L20" s="3503">
        <v>267950</v>
      </c>
      <c r="M20" s="3503">
        <v>40000</v>
      </c>
      <c r="N20" s="3503">
        <v>40000</v>
      </c>
      <c r="O20" s="3503" t="s">
        <v>43</v>
      </c>
      <c r="P20" s="3504">
        <v>44161</v>
      </c>
      <c r="Q20" s="3503" t="s">
        <v>3463</v>
      </c>
      <c r="R20" s="3503" t="s">
        <v>3464</v>
      </c>
    </row>
    <row r="21" spans="1:22" s="3506" customFormat="1">
      <c r="A21" s="3506">
        <v>67</v>
      </c>
      <c r="B21" s="3506" t="s">
        <v>3511</v>
      </c>
      <c r="C21" s="3506" t="s">
        <v>3512</v>
      </c>
      <c r="D21" s="3506" t="s">
        <v>3477</v>
      </c>
      <c r="E21" s="3506" t="s">
        <v>3513</v>
      </c>
      <c r="F21" s="3506" t="s">
        <v>3514</v>
      </c>
      <c r="G21" s="3506" t="s">
        <v>3515</v>
      </c>
      <c r="I21" s="3506">
        <v>11235.4</v>
      </c>
      <c r="J21" s="3506">
        <v>11235.4</v>
      </c>
      <c r="L21" s="3506">
        <v>42694.52</v>
      </c>
      <c r="M21" s="3506">
        <v>38000</v>
      </c>
      <c r="N21" s="3506">
        <v>38000</v>
      </c>
      <c r="O21" s="3506" t="s">
        <v>3516</v>
      </c>
      <c r="P21" s="3507">
        <v>44531</v>
      </c>
      <c r="Q21" s="3506" t="s">
        <v>3517</v>
      </c>
      <c r="R21" s="3506" t="s">
        <v>3518</v>
      </c>
      <c r="T21" s="3506">
        <v>0</v>
      </c>
      <c r="V21" s="3506" t="e">
        <v>#DIV/0!</v>
      </c>
    </row>
    <row r="22" spans="1:22" s="3506" customFormat="1">
      <c r="A22" s="3506">
        <v>93</v>
      </c>
      <c r="B22" s="3508" t="s">
        <v>3519</v>
      </c>
      <c r="C22" s="3506" t="s">
        <v>3512</v>
      </c>
      <c r="D22" s="3506" t="s">
        <v>3477</v>
      </c>
      <c r="E22" s="3506" t="s">
        <v>3513</v>
      </c>
      <c r="F22" s="3506" t="s">
        <v>3514</v>
      </c>
      <c r="G22" s="3506" t="s">
        <v>3515</v>
      </c>
      <c r="I22" s="3506">
        <v>11235.4</v>
      </c>
      <c r="J22" s="3506">
        <v>11235.4</v>
      </c>
      <c r="L22" s="3506">
        <v>43033</v>
      </c>
      <c r="M22" s="3506">
        <v>38301</v>
      </c>
      <c r="N22" s="3506">
        <v>38301</v>
      </c>
      <c r="O22" s="3506" t="s">
        <v>3520</v>
      </c>
      <c r="P22" s="3507">
        <v>44531</v>
      </c>
      <c r="Q22" s="3506" t="s">
        <v>3517</v>
      </c>
      <c r="R22" s="3506" t="s">
        <v>3518</v>
      </c>
      <c r="T22" s="3506">
        <v>0</v>
      </c>
      <c r="V22" s="3506" t="e">
        <v>#DIV/0!</v>
      </c>
    </row>
  </sheetData>
  <phoneticPr fontId="135"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8" sqref="I38"/>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0" customWidth="1"/>
    <col min="12" max="12" width="16.375" style="255" customWidth="1"/>
    <col min="13" max="13" width="13" style="255"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5"/>
  </cols>
  <sheetData>
    <row r="1" spans="1:37" s="290" customFormat="1" ht="21">
      <c r="A1" s="1367" t="s">
        <v>877</v>
      </c>
      <c r="B1" s="709"/>
      <c r="C1" s="1371" t="s">
        <v>3856</v>
      </c>
      <c r="D1" s="1354" t="s">
        <v>43</v>
      </c>
      <c r="E1" s="1355" t="s">
        <v>678</v>
      </c>
      <c r="F1" s="1054">
        <f ca="1">J53</f>
        <v>42.46</v>
      </c>
      <c r="G1" s="1370">
        <f>MATCH(C1,'数据-取费表'!A6:A16,0)+5</f>
        <v>6</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7" t="s">
        <v>804</v>
      </c>
      <c r="B2" s="1378">
        <f ca="1">C40+J29+L46</f>
        <v>115479</v>
      </c>
      <c r="C2" s="1379" t="s">
        <v>805</v>
      </c>
      <c r="D2" s="1379"/>
      <c r="E2" s="1380"/>
      <c r="F2" s="1381"/>
      <c r="G2" s="2698"/>
      <c r="H2" s="2687"/>
      <c r="I2" s="2687"/>
      <c r="J2" s="2687"/>
      <c r="K2" s="2688"/>
      <c r="L2" s="2687"/>
      <c r="M2" s="2687"/>
    </row>
    <row r="3" spans="1:37" ht="18" customHeight="1" thickBot="1">
      <c r="A3" s="1382" t="s">
        <v>806</v>
      </c>
      <c r="B3" s="1383">
        <f ca="1">IF(ISERROR(B2*10000/F43),0,ROUND(B2*10000/F43,0))</f>
        <v>22250</v>
      </c>
      <c r="C3" s="1379" t="s">
        <v>807</v>
      </c>
      <c r="D3" s="1379"/>
      <c r="E3" s="1380"/>
      <c r="F3" s="1381"/>
      <c r="G3" s="2698"/>
      <c r="H3" s="679" t="s">
        <v>876</v>
      </c>
      <c r="I3" s="1374"/>
      <c r="J3" s="1374"/>
      <c r="K3" s="1375"/>
      <c r="L3" s="1374"/>
      <c r="M3" s="1374"/>
    </row>
    <row r="4" spans="1:37" ht="18" customHeight="1">
      <c r="A4" s="292" t="s">
        <v>687</v>
      </c>
      <c r="B4" s="293" t="s">
        <v>688</v>
      </c>
      <c r="C4" s="293" t="s">
        <v>689</v>
      </c>
      <c r="D4" s="293" t="s">
        <v>690</v>
      </c>
      <c r="E4" s="294" t="s">
        <v>691</v>
      </c>
      <c r="F4" s="295"/>
      <c r="G4" s="1376"/>
      <c r="H4" s="292" t="s">
        <v>687</v>
      </c>
      <c r="I4" s="293" t="s">
        <v>688</v>
      </c>
      <c r="J4" s="293" t="s">
        <v>689</v>
      </c>
      <c r="K4" s="293" t="s">
        <v>690</v>
      </c>
      <c r="L4" s="294" t="s">
        <v>691</v>
      </c>
      <c r="M4" s="295"/>
    </row>
    <row r="5" spans="1:37" ht="18" customHeight="1">
      <c r="A5" s="296">
        <v>1</v>
      </c>
      <c r="B5" s="297" t="s">
        <v>692</v>
      </c>
      <c r="C5" s="1062">
        <f ca="1">C6+C10+C12</f>
        <v>6146</v>
      </c>
      <c r="D5" s="1356" t="s">
        <v>693</v>
      </c>
      <c r="E5" s="1063"/>
      <c r="F5" s="1064"/>
      <c r="G5" s="1376"/>
      <c r="H5" s="296">
        <v>1</v>
      </c>
      <c r="I5" s="297" t="s">
        <v>692</v>
      </c>
      <c r="J5" s="1062">
        <f ca="1">J6+J10+J12</f>
        <v>0</v>
      </c>
      <c r="K5" s="1356" t="s">
        <v>693</v>
      </c>
      <c r="L5" s="1063"/>
      <c r="M5" s="1064"/>
    </row>
    <row r="6" spans="1:37" ht="18" customHeight="1">
      <c r="A6" s="1061" t="s">
        <v>398</v>
      </c>
      <c r="B6" s="3800" t="s">
        <v>694</v>
      </c>
      <c r="C6" s="1066">
        <f ca="1">ROUND(F6*F8*F7*(1-F9)/10000,0)</f>
        <v>6138</v>
      </c>
      <c r="D6" s="152" t="s">
        <v>2109</v>
      </c>
      <c r="E6" s="299" t="s">
        <v>696</v>
      </c>
      <c r="F6" s="300">
        <f ca="1">INDIRECT("'数据-取费表'!u"&amp;$G$1)</f>
        <v>3.6</v>
      </c>
      <c r="G6" s="1376"/>
      <c r="H6" s="1061" t="s">
        <v>398</v>
      </c>
      <c r="I6" s="3800" t="s">
        <v>694</v>
      </c>
      <c r="J6" s="298">
        <f ca="1">ROUND(M6*M8*M7*(1-M9)/10000,0)</f>
        <v>0</v>
      </c>
      <c r="K6" s="152" t="s">
        <v>2108</v>
      </c>
      <c r="L6" s="299" t="s">
        <v>696</v>
      </c>
      <c r="M6" s="300">
        <f ca="1">INDIRECT("'数据-取费表'!z"&amp;$G$1)</f>
        <v>0</v>
      </c>
    </row>
    <row r="7" spans="1:37" ht="18" customHeight="1">
      <c r="A7" s="1065"/>
      <c r="B7" s="3801"/>
      <c r="C7" s="1067"/>
      <c r="D7" s="304"/>
      <c r="E7" s="1068" t="s">
        <v>697</v>
      </c>
      <c r="F7" s="300">
        <f ca="1">IF(INDIRECT("'数据-取费表'!ah"&amp;$G$1)="",INDIRECT("'数据-取费表'!k"&amp;$G$1),INDIRECT("'数据-取费表'!ah"&amp;$G$1))</f>
        <v>51900.97</v>
      </c>
      <c r="G7" s="1376"/>
      <c r="H7" s="301"/>
      <c r="I7" s="3801"/>
      <c r="J7" s="303"/>
      <c r="K7" s="304"/>
      <c r="L7" s="299" t="s">
        <v>697</v>
      </c>
      <c r="M7" s="300">
        <f ca="1">F7</f>
        <v>51900.97</v>
      </c>
    </row>
    <row r="8" spans="1:37" ht="18" customHeight="1">
      <c r="A8" s="301"/>
      <c r="B8" s="3801"/>
      <c r="C8" s="303"/>
      <c r="D8" s="304"/>
      <c r="E8" s="299" t="s">
        <v>698</v>
      </c>
      <c r="F8" s="300">
        <f ca="1">INDIRECT("'数据-取费表'!ai"&amp;$G$1)</f>
        <v>365</v>
      </c>
      <c r="G8" s="1376"/>
      <c r="H8" s="301"/>
      <c r="I8" s="3801"/>
      <c r="J8" s="303"/>
      <c r="K8" s="304"/>
      <c r="L8" s="299" t="s">
        <v>698</v>
      </c>
      <c r="M8" s="300">
        <f ca="1">INDIRECT("'数据-取费表'!ai"&amp;$G$1)</f>
        <v>365</v>
      </c>
    </row>
    <row r="9" spans="1:37" ht="18" customHeight="1">
      <c r="A9" s="301"/>
      <c r="B9" s="3802"/>
      <c r="C9" s="303"/>
      <c r="D9" s="304"/>
      <c r="E9" s="299" t="s">
        <v>699</v>
      </c>
      <c r="F9" s="309">
        <f ca="1">INDIRECT("'数据-取费表'!w"&amp;$G$1)</f>
        <v>0.1</v>
      </c>
      <c r="G9" s="1376"/>
      <c r="H9" s="301"/>
      <c r="I9" s="3802"/>
      <c r="J9" s="303"/>
      <c r="K9" s="304"/>
      <c r="L9" s="310" t="s">
        <v>699</v>
      </c>
      <c r="M9" s="311">
        <f ca="1">INDIRECT("'数据-取费表'!ab"&amp;$G$1)</f>
        <v>0</v>
      </c>
    </row>
    <row r="10" spans="1:37" ht="18" customHeight="1">
      <c r="A10" s="1061" t="s">
        <v>402</v>
      </c>
      <c r="B10" s="1357" t="s">
        <v>700</v>
      </c>
      <c r="C10" s="313">
        <f ca="1">ROUND(IF(F10="押一",C6/12*F11,IF(F10="押二",C6/12*2*F11,IF(F10="押三",C6/12*3*F11,C11*F11))),0)</f>
        <v>8</v>
      </c>
      <c r="D10" s="1358" t="s">
        <v>2117</v>
      </c>
      <c r="E10" s="310" t="s">
        <v>701</v>
      </c>
      <c r="F10" s="1108" t="s">
        <v>3859</v>
      </c>
      <c r="G10" s="1376"/>
      <c r="H10" s="1061" t="s">
        <v>402</v>
      </c>
      <c r="I10" s="1357" t="s">
        <v>700</v>
      </c>
      <c r="J10" s="298">
        <f ca="1">ROUND(IF(M10="押一",J6/12*M11,IF(M10="押二",J6/12*2*M11,IF(M10="押三",J6/12*3*M11,J11*M11))),0)</f>
        <v>0</v>
      </c>
      <c r="K10" s="1358" t="s">
        <v>2116</v>
      </c>
      <c r="L10" s="310" t="s">
        <v>701</v>
      </c>
      <c r="M10" s="1108"/>
    </row>
    <row r="11" spans="1:37" ht="18" customHeight="1">
      <c r="A11" s="305"/>
      <c r="B11" s="1359" t="s">
        <v>679</v>
      </c>
      <c r="C11" s="951"/>
      <c r="D11" s="1360"/>
      <c r="E11" s="310" t="s">
        <v>702</v>
      </c>
      <c r="F11" s="311">
        <f ca="1">'数据-取费表'!B39</f>
        <v>1.4999999999999999E-2</v>
      </c>
      <c r="G11" s="1376"/>
      <c r="H11" s="1069"/>
      <c r="I11" s="1359" t="s">
        <v>679</v>
      </c>
      <c r="J11" s="951"/>
      <c r="K11" s="680"/>
      <c r="L11" s="310"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07">
        <f ca="1">ROUND(C29*F13,0)</f>
        <v>54831</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299" t="s">
        <v>707</v>
      </c>
      <c r="C14" s="315">
        <f ca="1">INDIRECT("'数据-取费表'!m"&amp;$G$1)+INDIRECT("'数据-取费表'!t"&amp;$G$1)</f>
        <v>35293</v>
      </c>
      <c r="D14" s="1337" t="s">
        <v>708</v>
      </c>
      <c r="E14" s="1334"/>
      <c r="F14" s="316"/>
      <c r="G14" s="1376"/>
      <c r="H14" s="974" t="s">
        <v>398</v>
      </c>
      <c r="I14" s="299" t="s">
        <v>709</v>
      </c>
      <c r="J14" s="21">
        <f ca="1">C29</f>
        <v>56527</v>
      </c>
      <c r="K14" s="12"/>
      <c r="L14" s="799"/>
      <c r="M14" s="800"/>
    </row>
    <row r="15" spans="1:37" s="1389" customFormat="1" ht="18" customHeight="1" thickBot="1">
      <c r="A15" s="974" t="s">
        <v>399</v>
      </c>
      <c r="B15" s="299" t="s">
        <v>710</v>
      </c>
      <c r="C15" s="21">
        <f ca="1">ROUND(C14*F15,0)</f>
        <v>1765</v>
      </c>
      <c r="D15" s="317" t="s">
        <v>711</v>
      </c>
      <c r="E15" s="317" t="s">
        <v>712</v>
      </c>
      <c r="F15" s="318">
        <f>'数据-取费表'!B33</f>
        <v>0.05</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299" t="s">
        <v>713</v>
      </c>
      <c r="C16" s="21">
        <f ca="1">ROUND(INDIRECT("'数据-取费表'!m"&amp;$G$1)*F16,0)</f>
        <v>0</v>
      </c>
      <c r="D16" s="299" t="s">
        <v>711</v>
      </c>
      <c r="E16" s="299" t="s">
        <v>712</v>
      </c>
      <c r="F16" s="319">
        <f ca="1">IF(INDIRECT("'数据-取费表'!c"&amp;$G$1)="住宅",'数据-取费表'!B34,0)</f>
        <v>0</v>
      </c>
      <c r="G16" s="1376"/>
      <c r="H16" s="1071" t="s">
        <v>393</v>
      </c>
      <c r="I16" s="1072" t="s">
        <v>714</v>
      </c>
      <c r="J16" s="307">
        <f ca="1">ROUND(J17+J22+J23+J24,0)</f>
        <v>183</v>
      </c>
      <c r="K16" s="1079" t="s">
        <v>715</v>
      </c>
      <c r="L16" s="1080"/>
      <c r="M16" s="1064"/>
    </row>
    <row r="17" spans="1:37" s="1389" customFormat="1" ht="18" customHeight="1">
      <c r="A17" s="974" t="s">
        <v>681</v>
      </c>
      <c r="B17" s="299" t="s">
        <v>716</v>
      </c>
      <c r="C17" s="21">
        <f ca="1">ROUND(F17*(F43+INDIRECT("'数据-取费表'!S"&amp;$G$1))/10000,0)</f>
        <v>1038</v>
      </c>
      <c r="D17" s="299" t="s">
        <v>717</v>
      </c>
      <c r="E17" s="299" t="s">
        <v>718</v>
      </c>
      <c r="F17" s="23">
        <f>'数据-取费表'!B35</f>
        <v>200</v>
      </c>
      <c r="G17" s="1388"/>
      <c r="H17" s="974" t="s">
        <v>398</v>
      </c>
      <c r="I17" s="299" t="s">
        <v>719</v>
      </c>
      <c r="J17" s="2308">
        <f ca="1">ROUND(IF(AND(项目基本情况!B11="自然人",项目基本情况!B10="北京市"),J6*M17/(1+'数据-取费表'!C42),J18+J19+J20),2)</f>
        <v>13.29</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299" t="s">
        <v>722</v>
      </c>
      <c r="C18" s="21">
        <f ca="1">ROUND(C14*F18,0)</f>
        <v>706</v>
      </c>
      <c r="D18" s="299" t="s">
        <v>711</v>
      </c>
      <c r="E18" s="299" t="s">
        <v>712</v>
      </c>
      <c r="F18" s="319">
        <f>'数据-取费表'!B36</f>
        <v>0.02</v>
      </c>
      <c r="G18" s="1388"/>
      <c r="H18" s="974" t="s">
        <v>397</v>
      </c>
      <c r="I18" s="299" t="s">
        <v>723</v>
      </c>
      <c r="J18" s="21">
        <f ca="1">ROUND(J6*M18/(1+'数据-取费表'!C42),2)</f>
        <v>0</v>
      </c>
      <c r="K18" s="1336" t="s">
        <v>724</v>
      </c>
      <c r="L18" s="299" t="s">
        <v>712</v>
      </c>
      <c r="M18" s="319">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299" t="s">
        <v>725</v>
      </c>
      <c r="C19" s="21">
        <f ca="1">SUM(C14:C18)</f>
        <v>38802</v>
      </c>
      <c r="D19" s="128" t="s">
        <v>726</v>
      </c>
      <c r="E19" s="1352"/>
      <c r="F19" s="23"/>
      <c r="G19" s="1376"/>
      <c r="H19" s="974" t="s">
        <v>399</v>
      </c>
      <c r="I19" s="299" t="s">
        <v>727</v>
      </c>
      <c r="J19" s="21">
        <f ca="1">IF(K19="按租金收入计税",ROUND(J6*M19/(1+'数据-取费表'!C42),2),ROUND(C29*M19*0.7,2))</f>
        <v>0</v>
      </c>
      <c r="K19" s="1362" t="s">
        <v>3340</v>
      </c>
      <c r="L19" s="299" t="s">
        <v>712</v>
      </c>
      <c r="M19" s="319">
        <f>IF(K19="按租金收入计税",'数据-取费表'!B51,'数据-取费表'!B50)</f>
        <v>0.12</v>
      </c>
    </row>
    <row r="20" spans="1:37" s="1389" customFormat="1" ht="18" customHeight="1">
      <c r="A20" s="974" t="s">
        <v>402</v>
      </c>
      <c r="B20" s="299" t="s">
        <v>728</v>
      </c>
      <c r="C20" s="21">
        <f ca="1">ROUND(C19*F20,0)</f>
        <v>1164</v>
      </c>
      <c r="D20" s="320" t="s">
        <v>729</v>
      </c>
      <c r="E20" s="299" t="s">
        <v>712</v>
      </c>
      <c r="F20" s="319">
        <f>'数据-取费表'!B37</f>
        <v>0.03</v>
      </c>
      <c r="G20" s="1388"/>
      <c r="H20" s="974" t="s">
        <v>680</v>
      </c>
      <c r="I20" s="152" t="s">
        <v>730</v>
      </c>
      <c r="J20" s="22">
        <f ca="1">ROUND(M20*M21/10000,2)</f>
        <v>13.29</v>
      </c>
      <c r="K20" s="321" t="s">
        <v>731</v>
      </c>
      <c r="L20" s="299" t="s">
        <v>732</v>
      </c>
      <c r="M20" s="322">
        <f>'数据-取费表'!B52</f>
        <v>12</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299" t="s">
        <v>733</v>
      </c>
      <c r="C21" s="21" t="s">
        <v>15</v>
      </c>
      <c r="D21" s="320" t="s">
        <v>734</v>
      </c>
      <c r="E21" s="299" t="s">
        <v>735</v>
      </c>
      <c r="F21" s="319">
        <f>'数据-取费表'!B38</f>
        <v>0.02</v>
      </c>
      <c r="G21" s="1388"/>
      <c r="H21" s="323"/>
      <c r="I21" s="308"/>
      <c r="J21" s="26"/>
      <c r="K21" s="324"/>
      <c r="L21" s="299" t="s">
        <v>736</v>
      </c>
      <c r="M21" s="300">
        <f ca="1">INDIRECT("'数据-取费表'!r"&amp;$G$1)</f>
        <v>11073.33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299" t="s">
        <v>737</v>
      </c>
      <c r="C22" s="21"/>
      <c r="D22" s="128" t="str">
        <f>IF(F23&lt;=1,"单利计息。","复利计息。")&amp;"建造成本、管理费用、销售费用产生的利息。"</f>
        <v>复利计息。建造成本、管理费用、销售费用产生的利息。</v>
      </c>
      <c r="E22" s="1352"/>
      <c r="F22" s="23"/>
      <c r="G22" s="1376"/>
      <c r="H22" s="974" t="s">
        <v>402</v>
      </c>
      <c r="I22" s="299" t="s">
        <v>738</v>
      </c>
      <c r="J22" s="21">
        <f ca="1">ROUND(J14*M22,2)</f>
        <v>169.58</v>
      </c>
      <c r="K22" s="1336" t="s">
        <v>739</v>
      </c>
      <c r="L22" s="299" t="s">
        <v>712</v>
      </c>
      <c r="M22" s="325">
        <f ca="1">INDIRECT("'数据-取费表'!Ak"&amp;$G$1)</f>
        <v>3.0000000000000001E-3</v>
      </c>
    </row>
    <row r="23" spans="1:37" s="1389" customFormat="1" ht="18" customHeight="1">
      <c r="A23" s="974" t="s">
        <v>397</v>
      </c>
      <c r="B23" s="299" t="s">
        <v>740</v>
      </c>
      <c r="C23" s="21">
        <f ca="1">IF('数据-取费表'!B22&lt;=1,ROUND(C19*F24*F23/2,0)+ROUND(C20*F24*F23/2,0),ROUND(C19*(POWER((1+F24),F23/2)-1),0)+ROUND(C20*(POWER((1+F24),F23/2)-1),0))</f>
        <v>2086</v>
      </c>
      <c r="D23" s="326" t="str">
        <f>IF(F23&lt;=1,"(建造成本+管理费用)×利率×(建设周期÷2)","(建造成本+管理费用)×((1+利率)^(建设周期÷2)-1)")</f>
        <v>(建造成本+管理费用)×((1+利率)^(建设周期÷2)-1)</v>
      </c>
      <c r="E23" s="299" t="s">
        <v>741</v>
      </c>
      <c r="F23" s="322">
        <f>'数据-取费表'!B20</f>
        <v>3</v>
      </c>
      <c r="G23" s="1388"/>
      <c r="H23" s="974" t="s">
        <v>437</v>
      </c>
      <c r="I23" s="299" t="s">
        <v>742</v>
      </c>
      <c r="J23" s="21">
        <f ca="1">ROUND(J13*M23,2)</f>
        <v>0</v>
      </c>
      <c r="K23" s="1336" t="s">
        <v>743</v>
      </c>
      <c r="L23" s="299" t="s">
        <v>744</v>
      </c>
      <c r="M23" s="327">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3.4500000000000003E-2</v>
      </c>
      <c r="G24" s="1388"/>
      <c r="H24" s="1081" t="s">
        <v>684</v>
      </c>
      <c r="I24" s="1082" t="s">
        <v>728</v>
      </c>
      <c r="J24" s="1083">
        <f ca="1">ROUND(J5*M24,2)</f>
        <v>0</v>
      </c>
      <c r="K24" s="1084" t="s">
        <v>748</v>
      </c>
      <c r="L24" s="1082" t="s">
        <v>744</v>
      </c>
      <c r="M24" s="1078">
        <f ca="1">INDIRECT("'数据-取费表'!Am"&amp;$G$1)</f>
        <v>3.0000000000000001E-3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299" t="s">
        <v>750</v>
      </c>
      <c r="C25" s="21"/>
      <c r="D25" s="128" t="s">
        <v>751</v>
      </c>
      <c r="E25" s="1352"/>
      <c r="F25" s="23"/>
      <c r="G25" s="1376"/>
      <c r="H25" s="1071" t="s">
        <v>394</v>
      </c>
      <c r="I25" s="1086" t="s">
        <v>752</v>
      </c>
      <c r="J25" s="307">
        <f ca="1">J5-J16</f>
        <v>-183</v>
      </c>
      <c r="K25" s="1087" t="s">
        <v>753</v>
      </c>
      <c r="L25" s="1088"/>
      <c r="M25" s="1089"/>
    </row>
    <row r="26" spans="1:37">
      <c r="A26" s="974" t="s">
        <v>397</v>
      </c>
      <c r="B26" s="299" t="s">
        <v>754</v>
      </c>
      <c r="C26" s="21">
        <f ca="1">ROUND((C19+C20)*F26,0)</f>
        <v>9992</v>
      </c>
      <c r="D26" s="320" t="s">
        <v>755</v>
      </c>
      <c r="E26" s="310" t="s">
        <v>756</v>
      </c>
      <c r="F26" s="309">
        <f ca="1">INDIRECT("'数据-取费表'!q"&amp;$G$1)</f>
        <v>0.25</v>
      </c>
      <c r="G26" s="1376"/>
      <c r="H26" s="296" t="s">
        <v>395</v>
      </c>
      <c r="I26" s="297" t="s">
        <v>757</v>
      </c>
      <c r="J26" s="298">
        <f ca="1">IF(J5&lt;&gt;0,ROUND(J25*(1-((1+M28)/(1+M26))^M27)/(M26-M28),0),0)</f>
        <v>0</v>
      </c>
      <c r="K26" s="321" t="s">
        <v>758</v>
      </c>
      <c r="L26" s="299" t="s">
        <v>759</v>
      </c>
      <c r="M26" s="309">
        <f ca="1">INDIRECT("'数据-取费表'!I"&amp;$G$1)</f>
        <v>5.5E-2</v>
      </c>
    </row>
    <row r="27" spans="1:37" ht="18" customHeight="1">
      <c r="A27" s="974" t="s">
        <v>399</v>
      </c>
      <c r="B27" s="299" t="s">
        <v>760</v>
      </c>
      <c r="C27" s="21">
        <f ca="1">ROUND(F21*F26,4)</f>
        <v>5.0000000000000001E-3</v>
      </c>
      <c r="D27" s="320" t="s">
        <v>761</v>
      </c>
      <c r="E27" s="317"/>
      <c r="F27" s="318"/>
      <c r="G27" s="1376"/>
      <c r="H27" s="301"/>
      <c r="I27" s="302"/>
      <c r="J27" s="303"/>
      <c r="K27" s="329" t="s">
        <v>762</v>
      </c>
      <c r="L27" s="299" t="s">
        <v>763</v>
      </c>
      <c r="M27" s="330">
        <f ca="1">INDIRECT("'数据-取费表'!ag"&amp;$G$1)</f>
        <v>0</v>
      </c>
    </row>
    <row r="28" spans="1:37" s="1389" customFormat="1" ht="18" customHeight="1">
      <c r="A28" s="974" t="s">
        <v>400</v>
      </c>
      <c r="B28" s="299" t="s">
        <v>764</v>
      </c>
      <c r="C28" s="21">
        <f>ROUND(F28/(1+'数据-取费表'!C42),4)</f>
        <v>5.33E-2</v>
      </c>
      <c r="D28" s="320" t="s">
        <v>765</v>
      </c>
      <c r="E28" s="299" t="s">
        <v>712</v>
      </c>
      <c r="F28" s="319">
        <f>'数据-取费表'!B41</f>
        <v>5.6000000000000001E-2</v>
      </c>
      <c r="G28" s="1388"/>
      <c r="H28" s="305"/>
      <c r="I28" s="306"/>
      <c r="J28" s="307"/>
      <c r="K28" s="324"/>
      <c r="L28" s="299" t="s">
        <v>766</v>
      </c>
      <c r="M28" s="309">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56527</v>
      </c>
      <c r="D29" s="1084"/>
      <c r="E29" s="1082"/>
      <c r="F29" s="1085"/>
      <c r="G29" s="1388"/>
      <c r="H29" s="331" t="s">
        <v>396</v>
      </c>
      <c r="I29" s="332" t="s">
        <v>768</v>
      </c>
      <c r="J29" s="333">
        <f ca="1">ROUND(J26/(1+F40)^F41,0)</f>
        <v>0</v>
      </c>
      <c r="K29" s="334" t="s">
        <v>769</v>
      </c>
      <c r="L29" s="335"/>
      <c r="M29" s="336">
        <f ca="1">INDIRECT("'数据-取费表'!k"&amp;$G$1)</f>
        <v>51900.97</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07">
        <f ca="1">ROUND(C31+C36+C37+C38,0)</f>
        <v>1285</v>
      </c>
      <c r="D30" s="1079" t="s">
        <v>715</v>
      </c>
      <c r="E30" s="1080"/>
      <c r="F30" s="1064"/>
      <c r="G30" s="1376"/>
      <c r="H30" s="2689"/>
      <c r="I30" s="1390"/>
      <c r="J30" s="1391"/>
      <c r="K30" s="2467"/>
      <c r="L30" s="2690"/>
      <c r="M30" s="2691"/>
    </row>
    <row r="31" spans="1:37" ht="18" customHeight="1">
      <c r="A31" s="974" t="s">
        <v>398</v>
      </c>
      <c r="B31" s="299" t="s">
        <v>719</v>
      </c>
      <c r="C31" s="2308">
        <f ca="1">ROUND(IF(AND(项目基本情况!B11="自然人",项目基本情况!B10="北京市"),C6*F31/(1+'数据-取费表'!C42),C32+C33+C34),2)</f>
        <v>1042.1400000000001</v>
      </c>
      <c r="D31" s="1337" t="s">
        <v>720</v>
      </c>
      <c r="E31" s="1336" t="s">
        <v>770</v>
      </c>
      <c r="F31" s="2307" t="str">
        <f>IF(项目基本情况!B11="企业","——",IF(M47="住宅",IF(F6*F7*F8/12/(1+'数据-取费表'!F30)&gt;100000,4%,2.5%),IF(F6*F7*F8/12/(1+'数据-取费表'!F30)&gt;100000,12%,7%)))</f>
        <v>——</v>
      </c>
      <c r="G31" s="1376"/>
      <c r="H31" s="2800" t="s">
        <v>2310</v>
      </c>
      <c r="I31" s="1390"/>
      <c r="J31" s="1391"/>
      <c r="K31" s="2467"/>
      <c r="L31" s="2690"/>
      <c r="M31" s="2691"/>
    </row>
    <row r="32" spans="1:37" ht="18" customHeight="1">
      <c r="A32" s="974" t="s">
        <v>397</v>
      </c>
      <c r="B32" s="299" t="s">
        <v>723</v>
      </c>
      <c r="C32" s="21">
        <f ca="1">IF(项目基本情况!B11="自然人","——",ROUND(C6*F32/(1+'数据-取费表'!C42),2))</f>
        <v>327.36</v>
      </c>
      <c r="D32" s="1336" t="s">
        <v>724</v>
      </c>
      <c r="E32" s="299" t="s">
        <v>712</v>
      </c>
      <c r="F32" s="328">
        <f>'数据-取费表'!B41</f>
        <v>5.6000000000000001E-2</v>
      </c>
      <c r="G32" s="1376"/>
      <c r="H32" s="2689"/>
      <c r="I32" s="1390"/>
      <c r="J32" s="1391"/>
      <c r="K32" s="2467"/>
      <c r="L32" s="2690"/>
      <c r="M32" s="2691"/>
    </row>
    <row r="33" spans="1:18" ht="18" customHeight="1">
      <c r="A33" s="974" t="s">
        <v>399</v>
      </c>
      <c r="B33" s="299" t="s">
        <v>727</v>
      </c>
      <c r="C33" s="21">
        <f ca="1">IF(项目基本情况!B11="自然人","——",IF(D33="按租金收入计税",ROUND(C6*F33/(1+'数据-取费表'!C42),2),IF(D33="按房产原值计税",ROUND(C29*F33*0.7,2),INDIRECT("'数据-取费表'!Aj"&amp;$G$1))))</f>
        <v>701.49</v>
      </c>
      <c r="D33" s="1362" t="s">
        <v>3340</v>
      </c>
      <c r="E33" s="299" t="s">
        <v>712</v>
      </c>
      <c r="F33" s="319">
        <f>IF(D33="按票据","——",IF(D33="按租金收入计税",'数据-取费表'!B51,'数据-取费表'!B50))</f>
        <v>0.12</v>
      </c>
      <c r="G33" s="1376"/>
      <c r="H33" s="2692"/>
      <c r="I33" s="1390"/>
      <c r="J33" s="1391"/>
      <c r="K33" s="2693"/>
      <c r="L33" s="2692"/>
      <c r="M33" s="2692"/>
    </row>
    <row r="34" spans="1:18" ht="18" customHeight="1">
      <c r="A34" s="1061" t="s">
        <v>680</v>
      </c>
      <c r="B34" s="152" t="s">
        <v>730</v>
      </c>
      <c r="C34" s="22">
        <f ca="1">IF(项目基本情况!B11="自然人","——",ROUND(F34*F35/10000,2))</f>
        <v>13.29</v>
      </c>
      <c r="D34" s="321" t="s">
        <v>731</v>
      </c>
      <c r="E34" s="299" t="s">
        <v>732</v>
      </c>
      <c r="F34" s="322">
        <f>'数据-取费表'!B52</f>
        <v>12</v>
      </c>
      <c r="G34" s="1376"/>
      <c r="H34" s="2689"/>
      <c r="I34" s="1390"/>
      <c r="J34" s="1391"/>
      <c r="K34" s="2694"/>
      <c r="L34" s="2695"/>
      <c r="M34" s="2695"/>
    </row>
    <row r="35" spans="1:18" ht="18" customHeight="1">
      <c r="A35" s="1095"/>
      <c r="B35" s="1093"/>
      <c r="C35" s="26"/>
      <c r="D35" s="324"/>
      <c r="E35" s="299" t="s">
        <v>736</v>
      </c>
      <c r="F35" s="300">
        <f ca="1">INDIRECT("'数据-取费表'!r"&amp;$G$1)</f>
        <v>11073.33</v>
      </c>
      <c r="G35" s="1376"/>
      <c r="H35" s="2689"/>
      <c r="I35" s="1390"/>
      <c r="J35" s="1391"/>
      <c r="K35" s="2693"/>
      <c r="L35" s="2692"/>
      <c r="M35" s="2692"/>
    </row>
    <row r="36" spans="1:18" ht="18" customHeight="1">
      <c r="A36" s="1094" t="s">
        <v>402</v>
      </c>
      <c r="B36" s="299" t="s">
        <v>738</v>
      </c>
      <c r="C36" s="21">
        <f ca="1">ROUND(C29*F36,2)</f>
        <v>169.58</v>
      </c>
      <c r="D36" s="1336" t="s">
        <v>771</v>
      </c>
      <c r="E36" s="299" t="s">
        <v>712</v>
      </c>
      <c r="F36" s="325">
        <f ca="1">INDIRECT("'数据-取费表'!Ak"&amp;$G$1)</f>
        <v>3.0000000000000001E-3</v>
      </c>
      <c r="G36" s="1376"/>
      <c r="H36" s="2692"/>
      <c r="I36" s="1390"/>
      <c r="J36" s="1391"/>
      <c r="K36" s="2536"/>
      <c r="L36" s="2692"/>
      <c r="M36" s="2692"/>
    </row>
    <row r="37" spans="1:18" ht="18" customHeight="1">
      <c r="A37" s="974" t="s">
        <v>437</v>
      </c>
      <c r="B37" s="299" t="s">
        <v>742</v>
      </c>
      <c r="C37" s="21">
        <f ca="1">ROUND(C13*F37,2)</f>
        <v>54.83</v>
      </c>
      <c r="D37" s="1336" t="s">
        <v>743</v>
      </c>
      <c r="E37" s="299" t="s">
        <v>744</v>
      </c>
      <c r="F37" s="327">
        <f ca="1">INDIRECT("'数据-取费表'!Al"&amp;$G$1)</f>
        <v>1E-3</v>
      </c>
      <c r="G37" s="1376"/>
      <c r="H37" s="2692"/>
      <c r="I37" s="1390"/>
      <c r="J37" s="1391"/>
      <c r="K37" s="2536"/>
      <c r="L37" s="2692"/>
      <c r="M37" s="2692"/>
    </row>
    <row r="38" spans="1:18" ht="18" customHeight="1" thickBot="1">
      <c r="A38" s="1081" t="s">
        <v>684</v>
      </c>
      <c r="B38" s="1082" t="s">
        <v>728</v>
      </c>
      <c r="C38" s="1083">
        <f ca="1">ROUND(C5*F38,2)</f>
        <v>18.440000000000001</v>
      </c>
      <c r="D38" s="1084" t="s">
        <v>748</v>
      </c>
      <c r="E38" s="1082" t="s">
        <v>744</v>
      </c>
      <c r="F38" s="1078">
        <f ca="1">INDIRECT("'数据-取费表'!Am"&amp;$G$1)</f>
        <v>3.0000000000000001E-3</v>
      </c>
      <c r="G38" s="1376"/>
      <c r="H38" s="2692"/>
      <c r="I38" s="1390"/>
      <c r="J38" s="1391"/>
      <c r="K38" s="2696"/>
      <c r="L38" s="2692"/>
      <c r="M38" s="2692"/>
    </row>
    <row r="39" spans="1:18" ht="24.6" customHeight="1" thickTop="1">
      <c r="A39" s="1071" t="s">
        <v>394</v>
      </c>
      <c r="B39" s="1086" t="s">
        <v>772</v>
      </c>
      <c r="C39" s="307">
        <f ca="1">C5-C30</f>
        <v>4861</v>
      </c>
      <c r="D39" s="1087" t="s">
        <v>773</v>
      </c>
      <c r="E39" s="1088"/>
      <c r="F39" s="1089"/>
      <c r="G39" s="1376"/>
      <c r="H39" s="2692"/>
      <c r="I39" s="1390"/>
      <c r="J39" s="1391"/>
      <c r="K39" s="2696"/>
      <c r="L39" s="2692"/>
      <c r="M39" s="2692"/>
    </row>
    <row r="40" spans="1:18" ht="18" customHeight="1">
      <c r="A40" s="296" t="s">
        <v>395</v>
      </c>
      <c r="B40" s="297" t="s">
        <v>774</v>
      </c>
      <c r="C40" s="298">
        <f ca="1">ROUND(C39*(1-((1+F42)/(1+F40))^F41)/(F40-F42),0)</f>
        <v>114430</v>
      </c>
      <c r="D40" s="321" t="s">
        <v>758</v>
      </c>
      <c r="E40" s="299" t="s">
        <v>759</v>
      </c>
      <c r="F40" s="309">
        <f ca="1">INDIRECT("'数据-取费表'!I"&amp;$G$1)</f>
        <v>5.5E-2</v>
      </c>
      <c r="G40" s="1376"/>
      <c r="H40" s="1453"/>
      <c r="I40" s="1390">
        <f ca="1">C39/C5</f>
        <v>0.79092092417832738</v>
      </c>
      <c r="J40" s="1391"/>
      <c r="K40" s="2696"/>
      <c r="L40" s="1453"/>
      <c r="M40" s="1453"/>
    </row>
    <row r="41" spans="1:18" ht="18" customHeight="1">
      <c r="A41" s="301"/>
      <c r="B41" s="302"/>
      <c r="C41" s="303"/>
      <c r="D41" s="329" t="s">
        <v>775</v>
      </c>
      <c r="E41" s="299" t="s">
        <v>763</v>
      </c>
      <c r="F41" s="330">
        <f ca="1">IF(INDIRECT("'数据-取费表'!af"&amp;$G$1)=0,INDIRECT("'数据-取费表'!ae"&amp;$G$1),INDIRECT("'数据-取费表'!af"&amp;$G$1))</f>
        <v>42.46</v>
      </c>
      <c r="G41" s="1376"/>
      <c r="H41" s="1183"/>
      <c r="I41" s="1390"/>
      <c r="J41" s="1391"/>
      <c r="K41" s="2536"/>
      <c r="L41" s="1183"/>
      <c r="M41" s="1183"/>
    </row>
    <row r="42" spans="1:18" ht="18" customHeight="1">
      <c r="A42" s="305"/>
      <c r="B42" s="306"/>
      <c r="C42" s="307"/>
      <c r="D42" s="324"/>
      <c r="E42" s="299" t="s">
        <v>766</v>
      </c>
      <c r="F42" s="309">
        <f ca="1">INDIRECT("'数据-取费表'!v"&amp;$G$1)</f>
        <v>2.5000000000000001E-2</v>
      </c>
      <c r="G42" s="1376"/>
      <c r="H42" s="1183"/>
      <c r="I42" s="1390"/>
      <c r="J42" s="1391"/>
      <c r="K42" s="2536"/>
      <c r="L42" s="1183"/>
      <c r="M42" s="1183"/>
    </row>
    <row r="43" spans="1:18" ht="18" customHeight="1" thickBot="1">
      <c r="A43" s="331" t="s">
        <v>396</v>
      </c>
      <c r="B43" s="332" t="s">
        <v>776</v>
      </c>
      <c r="C43" s="333">
        <f ca="1">ROUND(C40*10000/F43,0)</f>
        <v>22048</v>
      </c>
      <c r="D43" s="334" t="s">
        <v>777</v>
      </c>
      <c r="E43" s="335" t="s">
        <v>778</v>
      </c>
      <c r="F43" s="336">
        <f ca="1">INDIRECT("'数据-取费表'!k"&amp;$G$1)</f>
        <v>51900.97</v>
      </c>
      <c r="G43" s="1376"/>
      <c r="H43" s="1183"/>
      <c r="I43" s="1183"/>
      <c r="J43" s="1183"/>
      <c r="K43" s="2536"/>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2"/>
      <c r="O45" s="2697" t="s">
        <v>808</v>
      </c>
      <c r="P45" s="1453"/>
      <c r="Q45" s="1453"/>
      <c r="R45" s="1453"/>
    </row>
    <row r="46" spans="1:18" s="1376" customFormat="1" ht="13.5" thickBot="1">
      <c r="A46" s="1396" t="s">
        <v>809</v>
      </c>
      <c r="C46" s="1397">
        <f ca="1">C68-C40</f>
        <v>-118295</v>
      </c>
      <c r="D46" s="1398" t="str">
        <f>C2</f>
        <v>万元</v>
      </c>
      <c r="E46" s="1392"/>
      <c r="F46" s="1392"/>
      <c r="I46" s="1399" t="s">
        <v>810</v>
      </c>
      <c r="J46" s="1400"/>
      <c r="K46" s="1401"/>
      <c r="L46" s="1402">
        <f ca="1">IF(M47="住宅",0,IF(L48&gt;J51,L60,J60))</f>
        <v>1049</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8"/>
      <c r="I47" s="1406" t="s">
        <v>815</v>
      </c>
      <c r="J47" s="1407" t="s">
        <v>3541</v>
      </c>
      <c r="K47" s="1408" t="s">
        <v>816</v>
      </c>
      <c r="L47" s="1409">
        <f ca="1">INDIRECT("'数据-取费表'!d"&amp;$G$1)</f>
        <v>50</v>
      </c>
      <c r="M47" s="1372" t="str">
        <f>IF(ISNUMBER(FIND("住宅",C1)),"住宅","非住宅")</f>
        <v>非住宅</v>
      </c>
      <c r="O47" s="1410" t="s">
        <v>403</v>
      </c>
      <c r="P47" s="1411" t="s">
        <v>817</v>
      </c>
      <c r="Q47" s="1412">
        <f ca="1">C40+J29</f>
        <v>114430</v>
      </c>
      <c r="R47" s="1412" t="s">
        <v>818</v>
      </c>
    </row>
    <row r="48" spans="1:18" s="1376" customFormat="1" ht="28.5" thickBot="1">
      <c r="A48" s="1102" t="s">
        <v>438</v>
      </c>
      <c r="B48" s="297" t="s">
        <v>692</v>
      </c>
      <c r="C48" s="1351">
        <f ca="1">C49+C53+C55</f>
        <v>0</v>
      </c>
      <c r="D48" s="1104"/>
      <c r="E48" s="1105"/>
      <c r="F48" s="954"/>
      <c r="G48" s="718"/>
      <c r="H48" s="719"/>
      <c r="I48" s="1413" t="s">
        <v>819</v>
      </c>
      <c r="J48" s="1414" t="s">
        <v>3860</v>
      </c>
      <c r="K48" s="1415" t="s">
        <v>820</v>
      </c>
      <c r="L48" s="1416">
        <f ca="1">INDIRECT("'数据-取费表'!f"&amp;$G$1)</f>
        <v>42.46</v>
      </c>
      <c r="O48" s="1410" t="s">
        <v>404</v>
      </c>
      <c r="P48" s="1411" t="s">
        <v>821</v>
      </c>
      <c r="Q48" s="1412">
        <f ca="1">J60</f>
        <v>1049</v>
      </c>
      <c r="R48" s="1412" t="s">
        <v>822</v>
      </c>
    </row>
    <row r="49" spans="1:18" s="1376" customFormat="1" ht="13.5" thickBot="1">
      <c r="A49" s="967" t="s">
        <v>439</v>
      </c>
      <c r="B49" s="1363" t="s">
        <v>779</v>
      </c>
      <c r="C49" s="1106">
        <f ca="1">ROUND(F49*F51*F50*(1-F52)/10000,0)</f>
        <v>0</v>
      </c>
      <c r="D49" s="1047" t="s">
        <v>2110</v>
      </c>
      <c r="E49" s="1364" t="s">
        <v>780</v>
      </c>
      <c r="F49" s="1052"/>
      <c r="G49" s="1417"/>
      <c r="H49" s="719"/>
      <c r="I49" s="1413" t="s">
        <v>823</v>
      </c>
      <c r="J49" s="1418">
        <f>取值过程!C16</f>
        <v>2022</v>
      </c>
      <c r="K49" s="1415" t="s">
        <v>824</v>
      </c>
      <c r="L49" s="1419"/>
      <c r="O49" s="1420" t="s">
        <v>405</v>
      </c>
      <c r="P49" s="1411" t="s">
        <v>825</v>
      </c>
      <c r="Q49" s="1412">
        <f ca="1">C29</f>
        <v>56527</v>
      </c>
      <c r="R49" s="1412" t="s">
        <v>818</v>
      </c>
    </row>
    <row r="50" spans="1:18" s="1376" customFormat="1" ht="13.5" thickBot="1">
      <c r="A50" s="968"/>
      <c r="B50" s="971"/>
      <c r="C50" s="1110"/>
      <c r="D50" s="945"/>
      <c r="E50" s="1048" t="s">
        <v>697</v>
      </c>
      <c r="F50" s="1049">
        <f ca="1">F7</f>
        <v>51900.97</v>
      </c>
      <c r="H50" s="719"/>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0">
        <f ca="1">F8</f>
        <v>365</v>
      </c>
      <c r="I51" s="1424" t="s">
        <v>829</v>
      </c>
      <c r="J51" s="1425">
        <f>IF(J49="",J50,J49+J50-YEAR('数据-取费表'!B2))</f>
        <v>58</v>
      </c>
      <c r="K51" s="1426" t="s">
        <v>830</v>
      </c>
      <c r="L51" s="1427">
        <f ca="1">ROUND(-PV(INDIRECT("'数据-取费表'!h"&amp;$G$1),J51,(C39-C13*C76),0),0)</f>
        <v>20960</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42.46</v>
      </c>
      <c r="R52" s="1412" t="s">
        <v>835</v>
      </c>
    </row>
    <row r="53" spans="1:18" s="1376" customFormat="1" ht="24.75" thickBot="1">
      <c r="A53" s="1144" t="s">
        <v>440</v>
      </c>
      <c r="B53" s="1365" t="s">
        <v>700</v>
      </c>
      <c r="C53" s="313">
        <f ca="1">ROUND(IF(F53="押一",C49/12*F11,IF(F53="押二",C49/12*2*F11,IF(F53="押三",C49/12*3*F11,C54*F11))),0)</f>
        <v>0</v>
      </c>
      <c r="D53" s="1358" t="s">
        <v>2116</v>
      </c>
      <c r="E53" s="310" t="s">
        <v>701</v>
      </c>
      <c r="F53" s="1108"/>
      <c r="I53" s="1431" t="s">
        <v>836</v>
      </c>
      <c r="J53" s="2160">
        <f ca="1">IF(M47="住宅",IF(D1="——",MAX(J51,L48),MAX(J51,L48-'数据-取费表'!B24)),IF(D1="——",MIN(J51,L48),MIN(J51,L48-'数据-取费表'!B24)))</f>
        <v>42.46</v>
      </c>
      <c r="K53" s="3798" t="s">
        <v>837</v>
      </c>
      <c r="L53" s="3799"/>
      <c r="O53" s="1410" t="s">
        <v>409</v>
      </c>
      <c r="P53" s="1411" t="s">
        <v>838</v>
      </c>
      <c r="Q53" s="1412">
        <f ca="1">Q47+Q48</f>
        <v>115479</v>
      </c>
      <c r="R53" s="1412" t="s">
        <v>410</v>
      </c>
    </row>
    <row r="54" spans="1:18" s="1376" customFormat="1" ht="13.5" thickBot="1">
      <c r="A54" s="1145"/>
      <c r="B54" s="1359" t="s">
        <v>679</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0.25900000000000001</v>
      </c>
      <c r="K55" s="1437" t="s">
        <v>841</v>
      </c>
      <c r="L55" s="1438"/>
      <c r="O55" s="1403" t="s">
        <v>811</v>
      </c>
      <c r="P55" s="1404" t="s">
        <v>812</v>
      </c>
      <c r="Q55" s="1405" t="s">
        <v>813</v>
      </c>
      <c r="R55" s="1405" t="s">
        <v>814</v>
      </c>
    </row>
    <row r="56" spans="1:18" s="1376" customFormat="1" ht="25.5" thickTop="1" thickBot="1">
      <c r="A56" s="949">
        <v>2</v>
      </c>
      <c r="B56" s="950" t="s">
        <v>704</v>
      </c>
      <c r="C56" s="229">
        <f ca="1">C13</f>
        <v>54831</v>
      </c>
      <c r="D56" s="1439"/>
      <c r="E56" s="1440"/>
      <c r="F56" s="1432"/>
      <c r="I56" s="1441" t="s">
        <v>842</v>
      </c>
      <c r="J56" s="1442" t="s">
        <v>3861</v>
      </c>
      <c r="K56" s="1413" t="s">
        <v>843</v>
      </c>
      <c r="L56" s="1416" t="str">
        <f ca="1">IF(L48&lt;J51,"——",L48-J53)</f>
        <v>——</v>
      </c>
      <c r="O56" s="1410" t="s">
        <v>403</v>
      </c>
      <c r="P56" s="1411" t="s">
        <v>817</v>
      </c>
      <c r="Q56" s="1412">
        <f ca="1">C40+J29</f>
        <v>114430</v>
      </c>
      <c r="R56" s="1412" t="s">
        <v>818</v>
      </c>
    </row>
    <row r="57" spans="1:18" s="1376" customFormat="1" ht="24.75" thickBot="1">
      <c r="A57" s="1443"/>
      <c r="B57" s="942" t="s">
        <v>767</v>
      </c>
      <c r="C57" s="235">
        <f ca="1">C29</f>
        <v>56527</v>
      </c>
      <c r="D57" s="1444"/>
      <c r="E57" s="1445"/>
      <c r="F57" s="1446"/>
      <c r="I57" s="1447" t="s">
        <v>844</v>
      </c>
      <c r="J57" s="1448">
        <f ca="1">IF(OR(M47="住宅",J51&lt;L48,J56="是"),"——",J51-L48)</f>
        <v>15.54</v>
      </c>
      <c r="K57" s="1413" t="s">
        <v>845</v>
      </c>
      <c r="L57" s="1416" t="str">
        <f ca="1">IF(L48&lt;J51,"——",IF(L55="比较法",L49,IF(L55="基准地价",L50,L51)))</f>
        <v>——</v>
      </c>
      <c r="O57" s="1410" t="s">
        <v>404</v>
      </c>
      <c r="P57" s="1411" t="s">
        <v>846</v>
      </c>
      <c r="Q57" s="1412">
        <f ca="1">L60</f>
        <v>0</v>
      </c>
      <c r="R57" s="1412" t="s">
        <v>847</v>
      </c>
    </row>
    <row r="58" spans="1:18" s="1376" customFormat="1" ht="24.75" thickBot="1">
      <c r="A58" s="312" t="s">
        <v>393</v>
      </c>
      <c r="B58" s="950" t="s">
        <v>714</v>
      </c>
      <c r="C58" s="313">
        <f ca="1">ROUND(C59+C64+C65+C66,0)</f>
        <v>237</v>
      </c>
      <c r="D58" s="952" t="s">
        <v>715</v>
      </c>
      <c r="E58" s="953"/>
      <c r="F58" s="954"/>
      <c r="I58" s="1447" t="s">
        <v>848</v>
      </c>
      <c r="J58" s="1449">
        <f ca="1">IF(J55&lt;0.4,0.4,J55)</f>
        <v>0.4</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8">
        <f ca="1">ROUND(IF(AND(项目基本情况!B11="自然人",项目基本情况!B10="北京市"),C49*F59/(1+'数据-取费表'!C42),C60+C61+C62),0)</f>
        <v>13</v>
      </c>
      <c r="D59" s="955" t="s">
        <v>720</v>
      </c>
      <c r="E59" s="956" t="s">
        <v>721</v>
      </c>
      <c r="F59" s="2307" t="str">
        <f>IF(项目基本情况!B11="企业","——",IF('数据-取费表'!B10="住宅",IF(F49*F50*F51/12/(1+'数据-取费表'!F30)&gt;100000,4%,2.5%),IF(F49*F50*F51/12/(1+'数据-取费表'!F30)&gt;100000,12%,7%)))</f>
        <v>——</v>
      </c>
      <c r="I59" s="1447" t="s">
        <v>851</v>
      </c>
      <c r="J59" s="1448">
        <f ca="1">IF(OR(M47="住宅",J51&lt;L48,J56="是"),"——",ROUND(C29*J58,0))</f>
        <v>22611</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IF(项目基本情况!B11="自然人","——",ROUND(C48*F60/(1+'数据-取费表'!C42),2))</f>
        <v>0</v>
      </c>
      <c r="D60" s="956" t="s">
        <v>724</v>
      </c>
      <c r="E60" s="942" t="s">
        <v>712</v>
      </c>
      <c r="F60" s="328">
        <f t="shared" ref="F60:F66" si="0">F32</f>
        <v>5.6000000000000001E-2</v>
      </c>
      <c r="I60" s="1450" t="s">
        <v>853</v>
      </c>
      <c r="J60" s="1451">
        <f ca="1">IF(OR(M47="住宅",J51&lt;L48,J56="是"),"0",ROUND(J59/(1+J52)^J53,0))</f>
        <v>1049</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IF(项目基本情况!B11="自然人","——",IF(D61="按租金收入计税",ROUND(C49*F61/(1+'数据-取费表'!C42),2),IF(D61="按房产原值计税",ROUND(C57*F61*0.7,2),INDIRECT("'数据-取费表'!Aj"&amp;$G$1))))</f>
        <v>0</v>
      </c>
      <c r="D61" s="1362" t="s">
        <v>3340</v>
      </c>
      <c r="E61" s="942" t="s">
        <v>783</v>
      </c>
      <c r="F61" s="319">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IF(项目基本情况!B11="自然人","——",ROUND(F62*F63/10000,2))</f>
        <v>13.29</v>
      </c>
      <c r="D62" s="957" t="s">
        <v>786</v>
      </c>
      <c r="E62" s="942" t="s">
        <v>787</v>
      </c>
      <c r="F62" s="322">
        <f t="shared" si="0"/>
        <v>12</v>
      </c>
      <c r="I62" s="1454" t="s">
        <v>858</v>
      </c>
      <c r="J62" s="1455" t="s">
        <v>859</v>
      </c>
      <c r="K62" s="1455" t="s">
        <v>860</v>
      </c>
      <c r="L62" s="1455" t="s">
        <v>861</v>
      </c>
      <c r="M62" s="1456" t="s">
        <v>862</v>
      </c>
      <c r="O62" s="1410" t="s">
        <v>409</v>
      </c>
      <c r="P62" s="1411" t="s">
        <v>863</v>
      </c>
      <c r="Q62" s="1412">
        <f ca="1">Q56+Q57</f>
        <v>114430</v>
      </c>
      <c r="R62" s="1412" t="s">
        <v>410</v>
      </c>
    </row>
    <row r="63" spans="1:18" s="1376" customFormat="1" ht="13.5" thickBot="1">
      <c r="A63" s="323"/>
      <c r="B63" s="948"/>
      <c r="C63" s="26"/>
      <c r="D63" s="958"/>
      <c r="E63" s="942" t="s">
        <v>788</v>
      </c>
      <c r="F63" s="300">
        <f t="shared" ca="1" si="0"/>
        <v>11073.33</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ROUND(C57*F64,2)</f>
        <v>169.58</v>
      </c>
      <c r="D64" s="956" t="s">
        <v>791</v>
      </c>
      <c r="E64" s="942" t="s">
        <v>783</v>
      </c>
      <c r="F64" s="325">
        <f t="shared" ca="1" si="0"/>
        <v>3.0000000000000001E-3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ROUND(C56*F65,2)</f>
        <v>54.83</v>
      </c>
      <c r="D65" s="956" t="s">
        <v>743</v>
      </c>
      <c r="E65" s="942" t="s">
        <v>744</v>
      </c>
      <c r="F65" s="327">
        <f t="shared" ca="1" si="0"/>
        <v>1E-3</v>
      </c>
      <c r="I65" s="1454" t="s">
        <v>867</v>
      </c>
      <c r="J65" s="1455">
        <v>40</v>
      </c>
      <c r="K65" s="1455">
        <v>30</v>
      </c>
      <c r="L65" s="1455">
        <v>50</v>
      </c>
      <c r="M65" s="1457">
        <v>0.02</v>
      </c>
      <c r="O65" s="1410" t="s">
        <v>403</v>
      </c>
      <c r="P65" s="1411" t="s">
        <v>868</v>
      </c>
      <c r="Q65" s="1412">
        <f ca="1">C40+J29</f>
        <v>114430</v>
      </c>
      <c r="R65" s="1412" t="s">
        <v>818</v>
      </c>
    </row>
    <row r="66" spans="1:18" s="1376" customFormat="1" ht="16.5" thickBot="1">
      <c r="A66" s="974" t="s">
        <v>793</v>
      </c>
      <c r="B66" s="942" t="s">
        <v>728</v>
      </c>
      <c r="C66" s="21">
        <f ca="1">ROUND(C48*F66,2)</f>
        <v>0</v>
      </c>
      <c r="D66" s="956" t="s">
        <v>794</v>
      </c>
      <c r="E66" s="942" t="s">
        <v>712</v>
      </c>
      <c r="F66" s="309">
        <f t="shared" ca="1" si="0"/>
        <v>3.0000000000000001E-3</v>
      </c>
      <c r="O66" s="1410" t="s">
        <v>404</v>
      </c>
      <c r="P66" s="1411" t="s">
        <v>846</v>
      </c>
      <c r="Q66" s="1412">
        <f ca="1">L60</f>
        <v>0</v>
      </c>
      <c r="R66" s="1412" t="s">
        <v>869</v>
      </c>
    </row>
    <row r="67" spans="1:18" s="1376" customFormat="1" ht="16.5" thickBot="1">
      <c r="A67" s="949" t="s">
        <v>394</v>
      </c>
      <c r="B67" s="959" t="s">
        <v>752</v>
      </c>
      <c r="C67" s="313">
        <f ca="1">C48-C58</f>
        <v>-237</v>
      </c>
      <c r="D67" s="955" t="s">
        <v>753</v>
      </c>
      <c r="E67" s="960"/>
      <c r="F67" s="961"/>
      <c r="O67" s="1420" t="s">
        <v>405</v>
      </c>
      <c r="P67" s="1411" t="s">
        <v>850</v>
      </c>
      <c r="Q67" s="1458">
        <f ca="1">L51</f>
        <v>20960</v>
      </c>
      <c r="R67" s="1412" t="s">
        <v>870</v>
      </c>
    </row>
    <row r="68" spans="1:18" s="1376" customFormat="1" ht="16.5" thickBot="1">
      <c r="A68" s="939" t="s">
        <v>395</v>
      </c>
      <c r="B68" s="940" t="s">
        <v>774</v>
      </c>
      <c r="C68" s="298">
        <f ca="1">ROUND(C67*(1-((1+F70)/(1+F68))^F69)/(F68-F70),0)</f>
        <v>-3865</v>
      </c>
      <c r="D68" s="957" t="s">
        <v>758</v>
      </c>
      <c r="E68" s="942" t="s">
        <v>759</v>
      </c>
      <c r="F68" s="309">
        <f ca="1">F40</f>
        <v>5.5E-2</v>
      </c>
      <c r="O68" s="1420" t="s">
        <v>406</v>
      </c>
      <c r="P68" s="1459" t="s">
        <v>871</v>
      </c>
      <c r="Q68" s="1412">
        <f ca="1">ROUND(Q69-Q70*Q71,0)</f>
        <v>1023</v>
      </c>
      <c r="R68" s="1412" t="s">
        <v>414</v>
      </c>
    </row>
    <row r="69" spans="1:18" s="1376" customFormat="1" ht="13.5" thickBot="1">
      <c r="A69" s="943"/>
      <c r="B69" s="944"/>
      <c r="C69" s="303"/>
      <c r="D69" s="962" t="s">
        <v>762</v>
      </c>
      <c r="E69" s="942" t="s">
        <v>763</v>
      </c>
      <c r="F69" s="330">
        <f ca="1">F41</f>
        <v>42.46</v>
      </c>
      <c r="O69" s="1420" t="s">
        <v>411</v>
      </c>
      <c r="P69" s="1459" t="s">
        <v>872</v>
      </c>
      <c r="Q69" s="1412">
        <f ca="1">C39</f>
        <v>4861</v>
      </c>
      <c r="R69" s="1412" t="s">
        <v>818</v>
      </c>
    </row>
    <row r="70" spans="1:18" s="1376" customFormat="1" ht="13.5" thickBot="1">
      <c r="A70" s="946"/>
      <c r="B70" s="947"/>
      <c r="C70" s="307"/>
      <c r="D70" s="958"/>
      <c r="E70" s="942" t="s">
        <v>766</v>
      </c>
      <c r="F70" s="1046"/>
      <c r="O70" s="1420" t="s">
        <v>412</v>
      </c>
      <c r="P70" s="1459" t="s">
        <v>873</v>
      </c>
      <c r="Q70" s="1412">
        <f ca="1">C13</f>
        <v>54831</v>
      </c>
      <c r="R70" s="1412" t="s">
        <v>818</v>
      </c>
    </row>
    <row r="71" spans="1:18" s="1376" customFormat="1" ht="13.5" thickBot="1">
      <c r="A71" s="963" t="s">
        <v>396</v>
      </c>
      <c r="B71" s="964" t="s">
        <v>776</v>
      </c>
      <c r="C71" s="333">
        <f ca="1">ROUND(C68*10000/F71,0)</f>
        <v>-745</v>
      </c>
      <c r="D71" s="965" t="s">
        <v>777</v>
      </c>
      <c r="E71" s="966" t="s">
        <v>778</v>
      </c>
      <c r="F71" s="336">
        <f ca="1">F43</f>
        <v>51900.97</v>
      </c>
      <c r="O71" s="1420" t="s">
        <v>413</v>
      </c>
      <c r="P71" s="1459" t="s">
        <v>874</v>
      </c>
      <c r="Q71" s="1423">
        <f ca="1">C76</f>
        <v>7.0000000000000007E-2</v>
      </c>
      <c r="R71" s="1412"/>
    </row>
    <row r="72" spans="1:18" s="1376" customFormat="1" ht="13.5" thickBot="1">
      <c r="B72" s="722"/>
      <c r="C72" s="722"/>
      <c r="O72" s="1420" t="s">
        <v>407</v>
      </c>
      <c r="P72" s="1411" t="s">
        <v>852</v>
      </c>
      <c r="Q72" s="1423">
        <f>L52</f>
        <v>0</v>
      </c>
      <c r="R72" s="1412"/>
    </row>
    <row r="73" spans="1:18" ht="16.5" thickBot="1">
      <c r="A73" s="1376"/>
      <c r="B73" s="722"/>
      <c r="C73" s="722"/>
      <c r="D73" s="1376"/>
      <c r="E73" s="1376"/>
      <c r="F73" s="1376"/>
      <c r="O73" s="1420" t="s">
        <v>408</v>
      </c>
      <c r="P73" s="1411" t="s">
        <v>855</v>
      </c>
      <c r="Q73" s="1412" t="e">
        <f ca="1">L58</f>
        <v>#DIV/0!</v>
      </c>
      <c r="R73" s="1412" t="s">
        <v>856</v>
      </c>
    </row>
    <row r="74" spans="1:18" ht="13.5" thickBot="1">
      <c r="A74" s="1376"/>
      <c r="B74" s="270"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37" t="s">
        <v>795</v>
      </c>
      <c r="C75" s="338">
        <f ca="1">ROUND(C13*C76,0)</f>
        <v>3838</v>
      </c>
      <c r="D75" s="1376"/>
      <c r="E75" s="1376"/>
      <c r="F75" s="1376"/>
      <c r="K75" s="1394"/>
      <c r="L75" s="1376"/>
      <c r="O75" s="1410" t="s">
        <v>409</v>
      </c>
      <c r="P75" s="1411" t="s">
        <v>838</v>
      </c>
      <c r="Q75" s="1412">
        <f ca="1">Q65+Q66</f>
        <v>114430</v>
      </c>
      <c r="R75" s="1412" t="s">
        <v>410</v>
      </c>
    </row>
    <row r="76" spans="1:18">
      <c r="B76" s="339" t="s">
        <v>796</v>
      </c>
      <c r="C76" s="340">
        <f ca="1">INDIRECT("'数据-取费表'!j"&amp;$G$1)</f>
        <v>7.0000000000000007E-2</v>
      </c>
      <c r="I76" s="1376"/>
      <c r="J76" s="1376"/>
      <c r="K76" s="1394"/>
      <c r="L76" s="1376"/>
    </row>
    <row r="77" spans="1:18">
      <c r="B77" s="341" t="s">
        <v>797</v>
      </c>
      <c r="C77" s="342"/>
      <c r="I77" s="1376"/>
      <c r="J77" s="1376"/>
      <c r="K77" s="1394"/>
      <c r="L77" s="1376"/>
    </row>
    <row r="78" spans="1:18">
      <c r="B78" s="267" t="s">
        <v>798</v>
      </c>
      <c r="C78" s="343"/>
    </row>
    <row r="79" spans="1:18">
      <c r="B79" s="337" t="s">
        <v>799</v>
      </c>
      <c r="C79" s="271">
        <f ca="1">1-C80</f>
        <v>0.20999999999999996</v>
      </c>
    </row>
    <row r="80" spans="1:18">
      <c r="B80" s="337" t="s">
        <v>800</v>
      </c>
      <c r="C80" s="271">
        <f ca="1">ROUND(C75/C39,3)</f>
        <v>0.79</v>
      </c>
    </row>
    <row r="81" spans="2:3">
      <c r="B81" s="267" t="s">
        <v>801</v>
      </c>
      <c r="C81" s="235"/>
    </row>
    <row r="82" spans="2:3">
      <c r="B82" s="270" t="s">
        <v>802</v>
      </c>
      <c r="C82" s="272">
        <f ca="1">1-C83</f>
        <v>0.52100000000000002</v>
      </c>
    </row>
    <row r="83" spans="2:3">
      <c r="B83" s="270" t="s">
        <v>803</v>
      </c>
      <c r="C83" s="271">
        <f ca="1">ROUND(C13/C40,3)</f>
        <v>0.47899999999999998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0" customWidth="1"/>
    <col min="12" max="12" width="16.375" style="255" customWidth="1"/>
    <col min="13" max="13" width="13" style="255"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5"/>
  </cols>
  <sheetData>
    <row r="1" spans="1:37" s="290" customFormat="1" ht="21">
      <c r="A1" s="1367" t="s">
        <v>877</v>
      </c>
      <c r="B1" s="709"/>
      <c r="C1" s="1371"/>
      <c r="D1" s="1354" t="s">
        <v>43</v>
      </c>
      <c r="E1" s="1355" t="s">
        <v>678</v>
      </c>
      <c r="F1" s="1054">
        <f ca="1">J53</f>
        <v>0</v>
      </c>
      <c r="G1" s="1370">
        <f>MATCH(C1,'数据-取费表'!A6:A16,0)+5</f>
        <v>8</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7" t="s">
        <v>878</v>
      </c>
      <c r="B2" s="3417" t="e">
        <f ca="1">ROUND(D2/10000,4)</f>
        <v>#DIV/0!</v>
      </c>
      <c r="C2" s="1379" t="s">
        <v>879</v>
      </c>
      <c r="D2" s="1463" t="e">
        <f ca="1">C40+J29+L46</f>
        <v>#DIV/0!</v>
      </c>
      <c r="E2" s="1380" t="s">
        <v>880</v>
      </c>
      <c r="F2" s="1381"/>
      <c r="G2" s="2698"/>
      <c r="H2" s="2687"/>
      <c r="I2" s="2687"/>
      <c r="J2" s="2687"/>
      <c r="K2" s="2688"/>
      <c r="L2" s="2687"/>
      <c r="M2" s="2687"/>
    </row>
    <row r="3" spans="1:37" ht="18" customHeight="1" thickBot="1">
      <c r="A3" s="1382" t="s">
        <v>881</v>
      </c>
      <c r="B3" s="1383">
        <f ca="1">IF(ISERROR(D2/F43),0,ROUND(D2/F43,0))</f>
        <v>0</v>
      </c>
      <c r="C3" s="1379" t="s">
        <v>882</v>
      </c>
      <c r="D3" s="1379"/>
      <c r="E3" s="1380"/>
      <c r="F3" s="1381"/>
      <c r="G3" s="2698"/>
      <c r="H3" s="679" t="s">
        <v>876</v>
      </c>
      <c r="I3" s="1374"/>
      <c r="J3" s="1374"/>
      <c r="K3" s="1375"/>
      <c r="L3" s="1374"/>
      <c r="M3" s="1374"/>
    </row>
    <row r="4" spans="1:37" ht="18" customHeight="1">
      <c r="A4" s="292" t="s">
        <v>883</v>
      </c>
      <c r="B4" s="293" t="s">
        <v>884</v>
      </c>
      <c r="C4" s="293" t="s">
        <v>885</v>
      </c>
      <c r="D4" s="293" t="s">
        <v>886</v>
      </c>
      <c r="E4" s="294" t="s">
        <v>887</v>
      </c>
      <c r="F4" s="295"/>
      <c r="G4" s="1376"/>
      <c r="H4" s="292" t="s">
        <v>883</v>
      </c>
      <c r="I4" s="293" t="s">
        <v>884</v>
      </c>
      <c r="J4" s="293" t="s">
        <v>885</v>
      </c>
      <c r="K4" s="293" t="s">
        <v>886</v>
      </c>
      <c r="L4" s="294" t="s">
        <v>887</v>
      </c>
      <c r="M4" s="295"/>
    </row>
    <row r="5" spans="1:37" ht="18" customHeight="1">
      <c r="A5" s="296">
        <v>1</v>
      </c>
      <c r="B5" s="297" t="s">
        <v>888</v>
      </c>
      <c r="C5" s="1062">
        <f ca="1">C6+C10+C12</f>
        <v>0</v>
      </c>
      <c r="D5" s="1356" t="s">
        <v>889</v>
      </c>
      <c r="E5" s="1063"/>
      <c r="F5" s="1064"/>
      <c r="G5" s="1376"/>
      <c r="H5" s="296">
        <v>1</v>
      </c>
      <c r="I5" s="297" t="s">
        <v>888</v>
      </c>
      <c r="J5" s="1062">
        <f ca="1">J6+J10+J12</f>
        <v>0</v>
      </c>
      <c r="K5" s="1356" t="s">
        <v>889</v>
      </c>
      <c r="L5" s="1063"/>
      <c r="M5" s="1064"/>
    </row>
    <row r="6" spans="1:37" ht="18" customHeight="1">
      <c r="A6" s="1061" t="s">
        <v>398</v>
      </c>
      <c r="B6" s="3800" t="s">
        <v>694</v>
      </c>
      <c r="C6" s="1066">
        <f ca="1">ROUND(F6*F8*F7*(1-F9),0)</f>
        <v>0</v>
      </c>
      <c r="D6" s="152" t="s">
        <v>2106</v>
      </c>
      <c r="E6" s="299" t="s">
        <v>696</v>
      </c>
      <c r="F6" s="300">
        <f ca="1">INDIRECT("'数据-取费表'!u"&amp;$G$1)</f>
        <v>0</v>
      </c>
      <c r="G6" s="1376"/>
      <c r="H6" s="1061" t="s">
        <v>398</v>
      </c>
      <c r="I6" s="3800" t="s">
        <v>694</v>
      </c>
      <c r="J6" s="298">
        <f ca="1">ROUND(M6*M8*M7*(1-M9),0)</f>
        <v>0</v>
      </c>
      <c r="K6" s="1368" t="s">
        <v>2107</v>
      </c>
      <c r="L6" s="299" t="s">
        <v>696</v>
      </c>
      <c r="M6" s="300">
        <f ca="1">INDIRECT("'数据-取费表'!z"&amp;$G$1)</f>
        <v>0</v>
      </c>
    </row>
    <row r="7" spans="1:37" ht="18" customHeight="1">
      <c r="A7" s="1065"/>
      <c r="B7" s="3801"/>
      <c r="C7" s="1067"/>
      <c r="D7" s="304"/>
      <c r="E7" s="1068" t="s">
        <v>697</v>
      </c>
      <c r="F7" s="300">
        <f ca="1">IF(INDIRECT("'数据-取费表'!ah"&amp;$G$1)="",INDIRECT("'数据-取费表'!k"&amp;$G$1),INDIRECT("'数据-取费表'!ah"&amp;$G$1))</f>
        <v>0</v>
      </c>
      <c r="G7" s="1376"/>
      <c r="H7" s="301"/>
      <c r="I7" s="3801"/>
      <c r="J7" s="303"/>
      <c r="K7" s="304"/>
      <c r="L7" s="299" t="s">
        <v>697</v>
      </c>
      <c r="M7" s="300">
        <f ca="1">F7</f>
        <v>0</v>
      </c>
    </row>
    <row r="8" spans="1:37" ht="18" customHeight="1">
      <c r="A8" s="301"/>
      <c r="B8" s="3801"/>
      <c r="C8" s="303"/>
      <c r="D8" s="304"/>
      <c r="E8" s="299" t="s">
        <v>698</v>
      </c>
      <c r="F8" s="300">
        <f ca="1">INDIRECT("'数据-取费表'!ai"&amp;$G$1)</f>
        <v>0</v>
      </c>
      <c r="G8" s="1376"/>
      <c r="H8" s="301"/>
      <c r="I8" s="3801"/>
      <c r="J8" s="303"/>
      <c r="K8" s="304"/>
      <c r="L8" s="299" t="s">
        <v>698</v>
      </c>
      <c r="M8" s="300">
        <f ca="1">INDIRECT("'数据-取费表'!ai"&amp;$G$1)</f>
        <v>0</v>
      </c>
    </row>
    <row r="9" spans="1:37" ht="18" customHeight="1">
      <c r="A9" s="301"/>
      <c r="B9" s="3802"/>
      <c r="C9" s="303"/>
      <c r="D9" s="304"/>
      <c r="E9" s="299" t="s">
        <v>699</v>
      </c>
      <c r="F9" s="309">
        <f ca="1">INDIRECT("'数据-取费表'!w"&amp;$G$1)</f>
        <v>0</v>
      </c>
      <c r="G9" s="1376"/>
      <c r="H9" s="301"/>
      <c r="I9" s="3802"/>
      <c r="J9" s="303"/>
      <c r="K9" s="304"/>
      <c r="L9" s="310" t="s">
        <v>699</v>
      </c>
      <c r="M9" s="311">
        <f ca="1">INDIRECT("'数据-取费表'!ab"&amp;$G$1)</f>
        <v>0</v>
      </c>
    </row>
    <row r="10" spans="1:37" ht="18" customHeight="1">
      <c r="A10" s="1061" t="s">
        <v>402</v>
      </c>
      <c r="B10" s="1357" t="s">
        <v>700</v>
      </c>
      <c r="C10" s="313">
        <f ca="1">ROUND(IF(F10="押一",C6/12*F11,IF(F10="押二",C6/12*2*F11,IF(F10="押三",C6/12*3*F11,C11*F11))),0)</f>
        <v>0</v>
      </c>
      <c r="D10" s="1358" t="s">
        <v>2116</v>
      </c>
      <c r="E10" s="310" t="s">
        <v>701</v>
      </c>
      <c r="F10" s="1108"/>
      <c r="G10" s="1376"/>
      <c r="H10" s="1061" t="s">
        <v>402</v>
      </c>
      <c r="I10" s="1357" t="s">
        <v>700</v>
      </c>
      <c r="J10" s="298">
        <f ca="1">ROUND(IF(M10="押一",J6/12*M11,IF(M10="押二",J6/12*2*M11,IF(M10="押三",J6/12*3*M11,J11*M11))),0)</f>
        <v>0</v>
      </c>
      <c r="K10" s="1369" t="s">
        <v>2118</v>
      </c>
      <c r="L10" s="310" t="s">
        <v>701</v>
      </c>
      <c r="M10" s="1108"/>
    </row>
    <row r="11" spans="1:37" ht="18" customHeight="1">
      <c r="A11" s="305"/>
      <c r="B11" s="1359" t="s">
        <v>890</v>
      </c>
      <c r="C11" s="951"/>
      <c r="D11" s="304"/>
      <c r="E11" s="310" t="s">
        <v>702</v>
      </c>
      <c r="F11" s="311">
        <f ca="1">'数据-取费表'!B39</f>
        <v>1.4999999999999999E-2</v>
      </c>
      <c r="G11" s="1376"/>
      <c r="H11" s="1069"/>
      <c r="I11" s="1359" t="s">
        <v>891</v>
      </c>
      <c r="J11" s="951"/>
      <c r="K11" s="680"/>
      <c r="L11" s="310"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07">
        <f ca="1">ROUND(C29*F13,0)</f>
        <v>0</v>
      </c>
      <c r="D13" s="1073" t="s">
        <v>705</v>
      </c>
      <c r="E13" s="1073" t="s">
        <v>706</v>
      </c>
      <c r="F13" s="1074">
        <f ca="1">INDIRECT("'数据-取费表'!y"&amp;$G$1)</f>
        <v>0</v>
      </c>
      <c r="G13" s="1376"/>
      <c r="H13" s="1071">
        <v>2</v>
      </c>
      <c r="I13" s="1072" t="s">
        <v>704</v>
      </c>
      <c r="J13" s="1060">
        <f ca="1">ROUND(J14*J15,0)</f>
        <v>0</v>
      </c>
      <c r="K13" s="1079" t="s">
        <v>705</v>
      </c>
      <c r="L13" s="1384"/>
      <c r="M13" s="1385"/>
    </row>
    <row r="14" spans="1:37" ht="18" customHeight="1">
      <c r="A14" s="974" t="s">
        <v>397</v>
      </c>
      <c r="B14" s="299" t="s">
        <v>707</v>
      </c>
      <c r="C14" s="315">
        <f ca="1">ROUND(INDIRECT("'数据-取费表'!l"&amp;$G$1)*F43+'数据-取费表'!L14*INDIRECT("'数据-取费表'!S"&amp;$G$1),0)</f>
        <v>0</v>
      </c>
      <c r="D14" s="1337" t="s">
        <v>708</v>
      </c>
      <c r="E14" s="1334"/>
      <c r="F14" s="316"/>
      <c r="G14" s="1376"/>
      <c r="H14" s="974" t="s">
        <v>398</v>
      </c>
      <c r="I14" s="299" t="s">
        <v>709</v>
      </c>
      <c r="J14" s="21">
        <f ca="1">C29</f>
        <v>0</v>
      </c>
      <c r="K14" s="12"/>
      <c r="L14" s="799"/>
      <c r="M14" s="800"/>
    </row>
    <row r="15" spans="1:37" s="1389" customFormat="1" ht="18" customHeight="1" thickBot="1">
      <c r="A15" s="974" t="s">
        <v>399</v>
      </c>
      <c r="B15" s="299" t="s">
        <v>710</v>
      </c>
      <c r="C15" s="21">
        <f ca="1">ROUND(C14*F15,0)</f>
        <v>0</v>
      </c>
      <c r="D15" s="317" t="s">
        <v>711</v>
      </c>
      <c r="E15" s="317" t="s">
        <v>712</v>
      </c>
      <c r="F15" s="318">
        <f>'数据-取费表'!B33</f>
        <v>0.05</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299" t="s">
        <v>713</v>
      </c>
      <c r="C16" s="21">
        <f ca="1">ROUND(INDIRECT("'数据-取费表'!l"&amp;$G$1)*F43*F16,0)</f>
        <v>0</v>
      </c>
      <c r="D16" s="299" t="s">
        <v>711</v>
      </c>
      <c r="E16" s="299" t="s">
        <v>712</v>
      </c>
      <c r="F16" s="319">
        <f ca="1">IF(INDIRECT("'数据-取费表'!c"&amp;$G$1)="住宅",'数据-取费表'!B34,0)</f>
        <v>0</v>
      </c>
      <c r="G16" s="1376"/>
      <c r="H16" s="1071" t="s">
        <v>393</v>
      </c>
      <c r="I16" s="1072" t="s">
        <v>714</v>
      </c>
      <c r="J16" s="307">
        <f ca="1">ROUND(J17+J22+J23+J24,0)</f>
        <v>0</v>
      </c>
      <c r="K16" s="1079" t="s">
        <v>715</v>
      </c>
      <c r="L16" s="1080"/>
      <c r="M16" s="1064"/>
    </row>
    <row r="17" spans="1:37" s="1389" customFormat="1" ht="18" customHeight="1">
      <c r="A17" s="974" t="s">
        <v>681</v>
      </c>
      <c r="B17" s="299" t="s">
        <v>716</v>
      </c>
      <c r="C17" s="21">
        <f ca="1">ROUND(F17*(F43+INDIRECT("'数据-取费表'!S"&amp;$G$1)),0)</f>
        <v>0</v>
      </c>
      <c r="D17" s="299" t="s">
        <v>717</v>
      </c>
      <c r="E17" s="299" t="s">
        <v>718</v>
      </c>
      <c r="F17" s="23">
        <f>'数据-取费表'!B35</f>
        <v>200</v>
      </c>
      <c r="G17" s="1388"/>
      <c r="H17" s="974" t="s">
        <v>398</v>
      </c>
      <c r="I17" s="299" t="s">
        <v>719</v>
      </c>
      <c r="J17" s="2308">
        <f ca="1">ROUND(IF(AND(项目基本情况!B11="自然人",项目基本情况!B10="北京市"),J6*M17/(1+'数据-取费表'!C42),J18+J19+J20),0)</f>
        <v>0</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299" t="s">
        <v>722</v>
      </c>
      <c r="C18" s="21">
        <f ca="1">ROUND(C14*F18,0)</f>
        <v>0</v>
      </c>
      <c r="D18" s="299" t="s">
        <v>711</v>
      </c>
      <c r="E18" s="299" t="s">
        <v>712</v>
      </c>
      <c r="F18" s="319">
        <f>'数据-取费表'!B36</f>
        <v>0.02</v>
      </c>
      <c r="G18" s="1388"/>
      <c r="H18" s="974" t="s">
        <v>397</v>
      </c>
      <c r="I18" s="299" t="s">
        <v>723</v>
      </c>
      <c r="J18" s="21">
        <f ca="1">ROUND(J6*M18/(1+'数据-取费表'!C42),0)</f>
        <v>0</v>
      </c>
      <c r="K18" s="1336" t="s">
        <v>724</v>
      </c>
      <c r="L18" s="299" t="s">
        <v>712</v>
      </c>
      <c r="M18" s="319">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299" t="s">
        <v>725</v>
      </c>
      <c r="C19" s="21">
        <f ca="1">SUM(C14:C18)</f>
        <v>0</v>
      </c>
      <c r="D19" s="128" t="s">
        <v>726</v>
      </c>
      <c r="E19" s="1352"/>
      <c r="F19" s="23"/>
      <c r="G19" s="1376"/>
      <c r="H19" s="974" t="s">
        <v>399</v>
      </c>
      <c r="I19" s="299" t="s">
        <v>727</v>
      </c>
      <c r="J19" s="21">
        <f ca="1">IF(K19="按租金收入计税",ROUND(J6*M19/(1+'数据-取费表'!C42),0),ROUND(C29*M19*0.7,0))</f>
        <v>0</v>
      </c>
      <c r="K19" s="1362" t="s">
        <v>3340</v>
      </c>
      <c r="L19" s="299" t="s">
        <v>712</v>
      </c>
      <c r="M19" s="319">
        <f>IF(K19="按租金收入计税",'数据-取费表'!B51,'数据-取费表'!B50)</f>
        <v>0.12</v>
      </c>
    </row>
    <row r="20" spans="1:37" s="1389" customFormat="1" ht="18" customHeight="1">
      <c r="A20" s="974" t="s">
        <v>402</v>
      </c>
      <c r="B20" s="299" t="s">
        <v>728</v>
      </c>
      <c r="C20" s="21">
        <f ca="1">ROUND(C19*F20,0)</f>
        <v>0</v>
      </c>
      <c r="D20" s="320" t="s">
        <v>729</v>
      </c>
      <c r="E20" s="299" t="s">
        <v>712</v>
      </c>
      <c r="F20" s="319">
        <f>'数据-取费表'!B37</f>
        <v>0.03</v>
      </c>
      <c r="G20" s="1388"/>
      <c r="H20" s="974" t="s">
        <v>680</v>
      </c>
      <c r="I20" s="152" t="s">
        <v>730</v>
      </c>
      <c r="J20" s="22">
        <f ca="1">ROUND(M20*M21,0)</f>
        <v>0</v>
      </c>
      <c r="K20" s="321" t="s">
        <v>731</v>
      </c>
      <c r="L20" s="299" t="s">
        <v>732</v>
      </c>
      <c r="M20" s="322">
        <f>'数据-取费表'!B52</f>
        <v>12</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299" t="s">
        <v>733</v>
      </c>
      <c r="C21" s="21" t="s">
        <v>0</v>
      </c>
      <c r="D21" s="320" t="s">
        <v>734</v>
      </c>
      <c r="E21" s="299" t="s">
        <v>735</v>
      </c>
      <c r="F21" s="319">
        <f>'数据-取费表'!B38</f>
        <v>0.02</v>
      </c>
      <c r="G21" s="1388"/>
      <c r="H21" s="323"/>
      <c r="I21" s="308"/>
      <c r="J21" s="26"/>
      <c r="K21" s="324"/>
      <c r="L21" s="299" t="s">
        <v>736</v>
      </c>
      <c r="M21" s="300">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299" t="s">
        <v>737</v>
      </c>
      <c r="C22" s="21"/>
      <c r="D22" s="128" t="str">
        <f>IF(F23&lt;=1,"单利计息。","复利计息。")&amp;"建造成本、管理费用、销售费用产生的利息。"</f>
        <v>复利计息。建造成本、管理费用、销售费用产生的利息。</v>
      </c>
      <c r="E22" s="1352"/>
      <c r="F22" s="23"/>
      <c r="G22" s="1376"/>
      <c r="H22" s="974" t="s">
        <v>402</v>
      </c>
      <c r="I22" s="299" t="s">
        <v>738</v>
      </c>
      <c r="J22" s="21">
        <f ca="1">ROUND(J14*M22,0)</f>
        <v>0</v>
      </c>
      <c r="K22" s="1336" t="s">
        <v>739</v>
      </c>
      <c r="L22" s="299" t="s">
        <v>712</v>
      </c>
      <c r="M22" s="325">
        <f ca="1">INDIRECT("'数据-取费表'!Ak"&amp;$G$1)</f>
        <v>0</v>
      </c>
    </row>
    <row r="23" spans="1:37" s="1389" customFormat="1" ht="18" customHeight="1">
      <c r="A23" s="974"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88"/>
      <c r="H23" s="974" t="s">
        <v>437</v>
      </c>
      <c r="I23" s="299" t="s">
        <v>742</v>
      </c>
      <c r="J23" s="21">
        <f ca="1">ROUND(J13*M23,0)</f>
        <v>0</v>
      </c>
      <c r="K23" s="1336" t="s">
        <v>743</v>
      </c>
      <c r="L23" s="299" t="s">
        <v>744</v>
      </c>
      <c r="M23" s="327">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3.4500000000000003E-2</v>
      </c>
      <c r="G24" s="1388"/>
      <c r="H24" s="1081" t="s">
        <v>684</v>
      </c>
      <c r="I24" s="1082" t="s">
        <v>728</v>
      </c>
      <c r="J24" s="1083">
        <f ca="1">ROUND(J5*M24,0)</f>
        <v>0</v>
      </c>
      <c r="K24" s="1084" t="s">
        <v>748</v>
      </c>
      <c r="L24" s="1082" t="s">
        <v>744</v>
      </c>
      <c r="M24" s="1078">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299" t="s">
        <v>750</v>
      </c>
      <c r="C25" s="21"/>
      <c r="D25" s="128" t="s">
        <v>751</v>
      </c>
      <c r="E25" s="1352"/>
      <c r="F25" s="23"/>
      <c r="G25" s="1376"/>
      <c r="H25" s="1071" t="s">
        <v>394</v>
      </c>
      <c r="I25" s="1086" t="s">
        <v>752</v>
      </c>
      <c r="J25" s="307">
        <f ca="1">J5-J16</f>
        <v>0</v>
      </c>
      <c r="K25" s="1087" t="s">
        <v>753</v>
      </c>
      <c r="L25" s="1088"/>
      <c r="M25" s="1089"/>
    </row>
    <row r="26" spans="1:37" ht="18" customHeight="1">
      <c r="A26" s="974" t="s">
        <v>397</v>
      </c>
      <c r="B26" s="299" t="s">
        <v>754</v>
      </c>
      <c r="C26" s="21">
        <f ca="1">ROUND((C19+C20)*F26,0)</f>
        <v>0</v>
      </c>
      <c r="D26" s="320" t="s">
        <v>755</v>
      </c>
      <c r="E26" s="310" t="s">
        <v>756</v>
      </c>
      <c r="F26" s="309">
        <f ca="1">INDIRECT("'数据-取费表'!q"&amp;$G$1)</f>
        <v>0</v>
      </c>
      <c r="G26" s="1376"/>
      <c r="H26" s="296" t="s">
        <v>395</v>
      </c>
      <c r="I26" s="297" t="s">
        <v>757</v>
      </c>
      <c r="J26" s="298">
        <f ca="1">IF(J5&lt;&gt;0,ROUND(J25*(1-((1+M28)/(1+M26))^M27)/(M26-M28),0),0)</f>
        <v>0</v>
      </c>
      <c r="K26" s="321" t="s">
        <v>758</v>
      </c>
      <c r="L26" s="299" t="s">
        <v>759</v>
      </c>
      <c r="M26" s="309">
        <f ca="1">INDIRECT("'数据-取费表'!I"&amp;$G$1)</f>
        <v>0</v>
      </c>
    </row>
    <row r="27" spans="1:37" ht="18" customHeight="1">
      <c r="A27" s="974" t="s">
        <v>399</v>
      </c>
      <c r="B27" s="299" t="s">
        <v>760</v>
      </c>
      <c r="C27" s="21">
        <f ca="1">ROUND(F21*F26,4)</f>
        <v>0</v>
      </c>
      <c r="D27" s="320" t="s">
        <v>761</v>
      </c>
      <c r="E27" s="317"/>
      <c r="F27" s="318"/>
      <c r="G27" s="1376"/>
      <c r="H27" s="301"/>
      <c r="I27" s="302"/>
      <c r="J27" s="303"/>
      <c r="K27" s="329" t="s">
        <v>762</v>
      </c>
      <c r="L27" s="299" t="s">
        <v>763</v>
      </c>
      <c r="M27" s="330">
        <f ca="1">INDIRECT("'数据-取费表'!ag"&amp;$G$1)</f>
        <v>0</v>
      </c>
    </row>
    <row r="28" spans="1:37" s="1389" customFormat="1" ht="18" customHeight="1">
      <c r="A28" s="974" t="s">
        <v>400</v>
      </c>
      <c r="B28" s="299" t="s">
        <v>764</v>
      </c>
      <c r="C28" s="21">
        <f>ROUND(F28/(1+'数据-取费表'!C42),4)</f>
        <v>5.33E-2</v>
      </c>
      <c r="D28" s="320" t="s">
        <v>765</v>
      </c>
      <c r="E28" s="299" t="s">
        <v>712</v>
      </c>
      <c r="F28" s="319">
        <f>'数据-取费表'!B41</f>
        <v>5.6000000000000001E-2</v>
      </c>
      <c r="G28" s="1388"/>
      <c r="H28" s="305"/>
      <c r="I28" s="306"/>
      <c r="J28" s="307"/>
      <c r="K28" s="324"/>
      <c r="L28" s="299" t="s">
        <v>766</v>
      </c>
      <c r="M28" s="309">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0</v>
      </c>
      <c r="D29" s="1084"/>
      <c r="E29" s="1082"/>
      <c r="F29" s="1085"/>
      <c r="G29" s="1388"/>
      <c r="H29" s="331" t="s">
        <v>396</v>
      </c>
      <c r="I29" s="332" t="s">
        <v>768</v>
      </c>
      <c r="J29" s="333">
        <f ca="1">ROUND(J26/(1+F40)^F41,0)</f>
        <v>0</v>
      </c>
      <c r="K29" s="334" t="s">
        <v>769</v>
      </c>
      <c r="L29" s="335"/>
      <c r="M29" s="336">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07">
        <f ca="1">ROUND(C31+C36+C37+C38,0)</f>
        <v>0</v>
      </c>
      <c r="D30" s="1079" t="s">
        <v>715</v>
      </c>
      <c r="E30" s="1080"/>
      <c r="F30" s="1064"/>
      <c r="G30" s="1376"/>
      <c r="H30" s="2689"/>
      <c r="I30" s="1390"/>
      <c r="J30" s="1391"/>
      <c r="K30" s="2467"/>
      <c r="L30" s="2690"/>
      <c r="M30" s="2691"/>
    </row>
    <row r="31" spans="1:37" ht="18" customHeight="1">
      <c r="A31" s="974" t="s">
        <v>398</v>
      </c>
      <c r="B31" s="299" t="s">
        <v>719</v>
      </c>
      <c r="C31" s="2308">
        <f ca="1">ROUND(IF(AND(项目基本情况!B11="自然人",项目基本情况!B10="北京市"),C6*F31/(1+'数据-取费表'!C42),C32+C33+C34),0)</f>
        <v>0</v>
      </c>
      <c r="D31" s="1337" t="s">
        <v>720</v>
      </c>
      <c r="E31" s="1336" t="s">
        <v>770</v>
      </c>
      <c r="F31" s="2307" t="str">
        <f>IF(项目基本情况!B11="企业","——",IF(M47="住宅",IF(F6*F7*F8/12/(1+'数据-取费表'!F30)&gt;100000,4%,2.5%),IF(F6*F7*F8/12/(1+'数据-取费表'!F30)&gt;100000,12%,7%)))</f>
        <v>——</v>
      </c>
      <c r="G31" s="1376"/>
      <c r="H31" s="2800" t="s">
        <v>2310</v>
      </c>
      <c r="I31" s="1390"/>
      <c r="J31" s="1391"/>
      <c r="K31" s="2467"/>
      <c r="L31" s="2690"/>
      <c r="M31" s="2691"/>
    </row>
    <row r="32" spans="1:37" ht="18" customHeight="1">
      <c r="A32" s="974" t="s">
        <v>397</v>
      </c>
      <c r="B32" s="299" t="s">
        <v>723</v>
      </c>
      <c r="C32" s="21">
        <f ca="1">IF(项目基本情况!B11="自然人","——",ROUND(C6*F32/(1+'数据-取费表'!C42),0))</f>
        <v>0</v>
      </c>
      <c r="D32" s="1336" t="s">
        <v>724</v>
      </c>
      <c r="E32" s="299" t="s">
        <v>712</v>
      </c>
      <c r="F32" s="328">
        <f>'数据-取费表'!B41</f>
        <v>5.6000000000000001E-2</v>
      </c>
      <c r="G32" s="1376"/>
      <c r="H32" s="2689"/>
      <c r="I32" s="1390"/>
      <c r="J32" s="1391"/>
      <c r="K32" s="2467"/>
      <c r="L32" s="2690"/>
      <c r="M32" s="2691"/>
    </row>
    <row r="33" spans="1:18" ht="18" customHeight="1">
      <c r="A33" s="974" t="s">
        <v>399</v>
      </c>
      <c r="B33" s="299" t="s">
        <v>727</v>
      </c>
      <c r="C33" s="21">
        <f ca="1">IF(项目基本情况!B11="自然人","——",IF(D33="按租金收入计税",ROUND(C6*F33/(1+'数据-取费表'!C42),0),IF(D33="按房产原值计税",ROUND(C29*F33*0.7,0),INDIRECT("'数据-取费表'!Aj"&amp;$G$1))))</f>
        <v>0</v>
      </c>
      <c r="D33" s="1362" t="s">
        <v>3340</v>
      </c>
      <c r="E33" s="299" t="s">
        <v>712</v>
      </c>
      <c r="F33" s="319">
        <f>IF(D33="按票据","——",IF(D33="按租金收入计税",'数据-取费表'!B51,'数据-取费表'!B50))</f>
        <v>0.12</v>
      </c>
      <c r="G33" s="1376"/>
      <c r="H33" s="2692"/>
      <c r="I33" s="1390"/>
      <c r="J33" s="1391"/>
      <c r="K33" s="2693"/>
      <c r="L33" s="2692"/>
      <c r="M33" s="2692"/>
    </row>
    <row r="34" spans="1:18" ht="18" customHeight="1">
      <c r="A34" s="1061" t="s">
        <v>680</v>
      </c>
      <c r="B34" s="152" t="s">
        <v>730</v>
      </c>
      <c r="C34" s="22">
        <f ca="1">IF(项目基本情况!B11="自然人","——",ROUND(F34*F35,0))</f>
        <v>0</v>
      </c>
      <c r="D34" s="321" t="s">
        <v>731</v>
      </c>
      <c r="E34" s="299" t="s">
        <v>732</v>
      </c>
      <c r="F34" s="322">
        <f>'数据-取费表'!B52</f>
        <v>12</v>
      </c>
      <c r="G34" s="1376"/>
      <c r="H34" s="2689"/>
      <c r="I34" s="1390"/>
      <c r="J34" s="1391"/>
      <c r="K34" s="2694"/>
      <c r="L34" s="2695"/>
      <c r="M34" s="2695"/>
    </row>
    <row r="35" spans="1:18" ht="18" customHeight="1">
      <c r="A35" s="1095"/>
      <c r="B35" s="1093"/>
      <c r="C35" s="26"/>
      <c r="D35" s="324"/>
      <c r="E35" s="299" t="s">
        <v>736</v>
      </c>
      <c r="F35" s="300">
        <f ca="1">INDIRECT("'数据-取费表'!r"&amp;$G$1)</f>
        <v>0</v>
      </c>
      <c r="G35" s="1376"/>
      <c r="H35" s="2689"/>
      <c r="I35" s="1390"/>
      <c r="J35" s="1391"/>
      <c r="K35" s="2693"/>
      <c r="L35" s="2692"/>
      <c r="M35" s="2692"/>
    </row>
    <row r="36" spans="1:18" ht="18" customHeight="1">
      <c r="A36" s="1094" t="s">
        <v>402</v>
      </c>
      <c r="B36" s="299" t="s">
        <v>738</v>
      </c>
      <c r="C36" s="21">
        <f ca="1">ROUND(C29*F36,0)</f>
        <v>0</v>
      </c>
      <c r="D36" s="1336" t="s">
        <v>771</v>
      </c>
      <c r="E36" s="299" t="s">
        <v>712</v>
      </c>
      <c r="F36" s="325">
        <f ca="1">INDIRECT("'数据-取费表'!Ak"&amp;$G$1)</f>
        <v>0</v>
      </c>
      <c r="G36" s="1376"/>
      <c r="H36" s="2692"/>
      <c r="I36" s="1390"/>
      <c r="J36" s="1391"/>
      <c r="K36" s="2536"/>
      <c r="L36" s="2692"/>
      <c r="M36" s="2692"/>
    </row>
    <row r="37" spans="1:18" ht="18" customHeight="1">
      <c r="A37" s="974" t="s">
        <v>437</v>
      </c>
      <c r="B37" s="299" t="s">
        <v>742</v>
      </c>
      <c r="C37" s="21">
        <f ca="1">ROUND(C13*F37,0)</f>
        <v>0</v>
      </c>
      <c r="D37" s="1336" t="s">
        <v>743</v>
      </c>
      <c r="E37" s="299" t="s">
        <v>744</v>
      </c>
      <c r="F37" s="327">
        <f ca="1">INDIRECT("'数据-取费表'!Al"&amp;$G$1)</f>
        <v>0</v>
      </c>
      <c r="G37" s="1376"/>
      <c r="H37" s="2692"/>
      <c r="I37" s="1390"/>
      <c r="J37" s="1391"/>
      <c r="K37" s="2536"/>
      <c r="L37" s="2692"/>
      <c r="M37" s="2692"/>
    </row>
    <row r="38" spans="1:18" ht="18" customHeight="1" thickBot="1">
      <c r="A38" s="1081" t="s">
        <v>684</v>
      </c>
      <c r="B38" s="1082" t="s">
        <v>728</v>
      </c>
      <c r="C38" s="1083">
        <f ca="1">ROUND(C5*F38,0)</f>
        <v>0</v>
      </c>
      <c r="D38" s="1084" t="s">
        <v>748</v>
      </c>
      <c r="E38" s="1082" t="s">
        <v>744</v>
      </c>
      <c r="F38" s="1078">
        <f ca="1">INDIRECT("'数据-取费表'!Am"&amp;$G$1)</f>
        <v>0</v>
      </c>
      <c r="G38" s="1376"/>
      <c r="H38" s="2692"/>
      <c r="I38" s="1390"/>
      <c r="J38" s="1391"/>
      <c r="K38" s="2696"/>
      <c r="L38" s="2692"/>
      <c r="M38" s="2692"/>
    </row>
    <row r="39" spans="1:18" ht="24.6" customHeight="1" thickTop="1">
      <c r="A39" s="1071" t="s">
        <v>394</v>
      </c>
      <c r="B39" s="1086" t="s">
        <v>772</v>
      </c>
      <c r="C39" s="307">
        <f ca="1">C5-C30</f>
        <v>0</v>
      </c>
      <c r="D39" s="1087" t="s">
        <v>773</v>
      </c>
      <c r="E39" s="1088"/>
      <c r="F39" s="1089"/>
      <c r="G39" s="1376"/>
      <c r="H39" s="2692"/>
      <c r="I39" s="1390"/>
      <c r="J39" s="1391"/>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76"/>
      <c r="H40" s="1453"/>
      <c r="I40" s="1390"/>
      <c r="J40" s="1391"/>
      <c r="K40" s="2696"/>
      <c r="L40" s="1453"/>
      <c r="M40" s="1453"/>
    </row>
    <row r="41" spans="1:18" ht="18" customHeight="1">
      <c r="A41" s="301"/>
      <c r="B41" s="302"/>
      <c r="C41" s="303"/>
      <c r="D41" s="329" t="s">
        <v>775</v>
      </c>
      <c r="E41" s="299" t="s">
        <v>763</v>
      </c>
      <c r="F41" s="330">
        <f ca="1">IF(INDIRECT("'数据-取费表'!af"&amp;$G$1)=0,INDIRECT("'数据-取费表'!ae"&amp;$G$1),INDIRECT("'数据-取费表'!af"&amp;$G$1))</f>
        <v>0</v>
      </c>
      <c r="G41" s="1376"/>
      <c r="H41" s="1183"/>
      <c r="I41" s="1390"/>
      <c r="J41" s="1391"/>
      <c r="K41" s="2536"/>
      <c r="L41" s="1183"/>
      <c r="M41" s="1183"/>
    </row>
    <row r="42" spans="1:18" ht="18" customHeight="1">
      <c r="A42" s="305"/>
      <c r="B42" s="306"/>
      <c r="C42" s="307"/>
      <c r="D42" s="324"/>
      <c r="E42" s="299" t="s">
        <v>766</v>
      </c>
      <c r="F42" s="309">
        <f ca="1">INDIRECT("'数据-取费表'!v"&amp;$G$1)</f>
        <v>0</v>
      </c>
      <c r="G42" s="1376"/>
      <c r="H42" s="1183"/>
      <c r="I42" s="1390"/>
      <c r="J42" s="1391"/>
      <c r="K42" s="2536"/>
      <c r="L42" s="1183"/>
      <c r="M42" s="1183"/>
    </row>
    <row r="43" spans="1:18" ht="18" customHeight="1" thickBot="1">
      <c r="A43" s="331" t="s">
        <v>396</v>
      </c>
      <c r="B43" s="332" t="s">
        <v>776</v>
      </c>
      <c r="C43" s="333" t="e">
        <f ca="1">ROUND(C40/F43,0)</f>
        <v>#DIV/0!</v>
      </c>
      <c r="D43" s="334" t="s">
        <v>777</v>
      </c>
      <c r="E43" s="335" t="s">
        <v>778</v>
      </c>
      <c r="F43" s="336">
        <f ca="1">INDIRECT("'数据-取费表'!k"&amp;$G$1)</f>
        <v>0</v>
      </c>
      <c r="G43" s="1376"/>
      <c r="H43" s="1183"/>
      <c r="I43" s="1183"/>
      <c r="J43" s="1183"/>
      <c r="K43" s="2536"/>
      <c r="L43" s="1183"/>
      <c r="M43" s="1183"/>
    </row>
    <row r="44" spans="1:18" s="1376" customFormat="1" ht="18" customHeight="1">
      <c r="A44" s="1392"/>
      <c r="B44" s="1392"/>
      <c r="C44" s="1393"/>
      <c r="D44" s="1392"/>
      <c r="E44" s="1392"/>
      <c r="F44" s="1392"/>
      <c r="K44" s="1394"/>
    </row>
    <row r="45" spans="1:18" s="1376" customFormat="1" ht="18" customHeight="1" thickBot="1">
      <c r="A45" s="3423" t="s">
        <v>3356</v>
      </c>
      <c r="B45" s="1392"/>
      <c r="C45" s="1464" t="e">
        <f ca="1">ROUND((C68-C40)/10000,4)</f>
        <v>#DIV/0!</v>
      </c>
      <c r="D45" s="3424" t="s">
        <v>3357</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t="e">
        <f ca="1">IF(M47="住宅",0,IF(L48&gt;J51,L60,J60))</f>
        <v>#DIV/0!</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8"/>
      <c r="I47" s="1406" t="s">
        <v>815</v>
      </c>
      <c r="J47" s="1407"/>
      <c r="K47" s="1408" t="s">
        <v>816</v>
      </c>
      <c r="L47" s="1409">
        <f ca="1">INDIRECT("'数据-取费表'!d"&amp;$G$1)</f>
        <v>0</v>
      </c>
      <c r="M47" s="1372" t="str">
        <f>IF(ISNUMBER(FIND("住宅",C1)),"住宅","非住宅")</f>
        <v>非住宅</v>
      </c>
      <c r="O47" s="1410" t="s">
        <v>403</v>
      </c>
      <c r="P47" s="1411" t="s">
        <v>817</v>
      </c>
      <c r="Q47" s="1412" t="e">
        <f ca="1">C40+J29</f>
        <v>#DIV/0!</v>
      </c>
      <c r="R47" s="1412" t="s">
        <v>818</v>
      </c>
    </row>
    <row r="48" spans="1:18" s="1376" customFormat="1" ht="28.5" thickBot="1">
      <c r="A48" s="1102" t="s">
        <v>438</v>
      </c>
      <c r="B48" s="297" t="s">
        <v>692</v>
      </c>
      <c r="C48" s="1351">
        <f ca="1">C49+C53+C55</f>
        <v>0</v>
      </c>
      <c r="D48" s="1104"/>
      <c r="E48" s="1105"/>
      <c r="F48" s="954"/>
      <c r="G48" s="718"/>
      <c r="H48" s="719"/>
      <c r="I48" s="1413" t="s">
        <v>819</v>
      </c>
      <c r="J48" s="1414"/>
      <c r="K48" s="1415" t="s">
        <v>820</v>
      </c>
      <c r="L48" s="1416">
        <f ca="1">INDIRECT("'数据-取费表'!f"&amp;$G$1)</f>
        <v>0</v>
      </c>
      <c r="O48" s="1410" t="s">
        <v>404</v>
      </c>
      <c r="P48" s="1411" t="s">
        <v>821</v>
      </c>
      <c r="Q48" s="1412" t="e">
        <f ca="1">J60</f>
        <v>#DIV/0!</v>
      </c>
      <c r="R48" s="1412" t="s">
        <v>822</v>
      </c>
    </row>
    <row r="49" spans="1:18" s="1376" customFormat="1" ht="13.5" thickBot="1">
      <c r="A49" s="967" t="s">
        <v>439</v>
      </c>
      <c r="B49" s="1363" t="s">
        <v>779</v>
      </c>
      <c r="C49" s="1106">
        <f ca="1">ROUND(F49*F51*F50*(1-F52),0)</f>
        <v>0</v>
      </c>
      <c r="D49" s="1047" t="s">
        <v>695</v>
      </c>
      <c r="E49" s="1364" t="s">
        <v>780</v>
      </c>
      <c r="F49" s="1052"/>
      <c r="G49" s="1417"/>
      <c r="H49" s="719"/>
      <c r="I49" s="1413" t="s">
        <v>823</v>
      </c>
      <c r="J49" s="1418"/>
      <c r="K49" s="1415" t="s">
        <v>824</v>
      </c>
      <c r="L49" s="1419"/>
      <c r="O49" s="1420" t="s">
        <v>405</v>
      </c>
      <c r="P49" s="1411" t="s">
        <v>825</v>
      </c>
      <c r="Q49" s="1412">
        <f ca="1">C29</f>
        <v>0</v>
      </c>
      <c r="R49" s="1412" t="s">
        <v>818</v>
      </c>
    </row>
    <row r="50" spans="1:18" s="1376" customFormat="1" ht="13.5" thickBot="1">
      <c r="A50" s="968"/>
      <c r="B50" s="971"/>
      <c r="C50" s="972"/>
      <c r="D50" s="945"/>
      <c r="E50" s="1048" t="s">
        <v>697</v>
      </c>
      <c r="F50" s="1049">
        <f ca="1">F7</f>
        <v>0</v>
      </c>
      <c r="H50" s="719"/>
      <c r="I50" s="1413" t="s">
        <v>826</v>
      </c>
      <c r="J50" s="1421">
        <f>SUMPRODUCT((I63:I65=J47)*(J62:L62=J48)*(J63:L65))</f>
        <v>0</v>
      </c>
      <c r="K50" s="1415" t="s">
        <v>827</v>
      </c>
      <c r="L50" s="1419"/>
      <c r="M50" s="1422"/>
      <c r="O50" s="1420" t="s">
        <v>406</v>
      </c>
      <c r="P50" s="1411" t="s">
        <v>828</v>
      </c>
      <c r="Q50" s="1423" t="e">
        <f ca="1">J58</f>
        <v>#DIV/0!</v>
      </c>
      <c r="R50" s="1412"/>
    </row>
    <row r="51" spans="1:18" s="1376" customFormat="1" ht="13.5" thickBot="1">
      <c r="A51" s="969"/>
      <c r="B51" s="971"/>
      <c r="C51" s="972"/>
      <c r="D51" s="945"/>
      <c r="E51" s="973" t="s">
        <v>698</v>
      </c>
      <c r="F51" s="300">
        <f ca="1">F8</f>
        <v>0</v>
      </c>
      <c r="I51" s="1424" t="s">
        <v>829</v>
      </c>
      <c r="J51" s="1425">
        <f>IF(J49="",J50,J49+J50-YEAR('数据-取费表'!B2))</f>
        <v>0</v>
      </c>
      <c r="K51" s="1426" t="s">
        <v>830</v>
      </c>
      <c r="L51" s="1427">
        <f ca="1">ROUND(-PV(INDIRECT("'数据-取费表'!h"&amp;$G$1),J51,(C39-C13*C76),0),0)</f>
        <v>0</v>
      </c>
      <c r="M51" s="1428"/>
      <c r="O51" s="1420" t="s">
        <v>407</v>
      </c>
      <c r="P51" s="1411" t="s">
        <v>831</v>
      </c>
      <c r="Q51" s="1423">
        <f>J52</f>
        <v>0</v>
      </c>
      <c r="R51" s="1412"/>
    </row>
    <row r="52" spans="1:18" s="1376" customFormat="1" ht="13.5" thickBot="1">
      <c r="A52" s="969"/>
      <c r="B52" s="971"/>
      <c r="C52" s="972"/>
      <c r="D52" s="945"/>
      <c r="E52" s="973" t="s">
        <v>699</v>
      </c>
      <c r="F52" s="1046"/>
      <c r="I52" s="1429" t="s">
        <v>832</v>
      </c>
      <c r="J52" s="1430"/>
      <c r="K52" s="1429" t="s">
        <v>833</v>
      </c>
      <c r="L52" s="1430"/>
      <c r="O52" s="1420" t="s">
        <v>408</v>
      </c>
      <c r="P52" s="1411" t="s">
        <v>834</v>
      </c>
      <c r="Q52" s="1412">
        <f ca="1">J53</f>
        <v>0</v>
      </c>
      <c r="R52" s="1412" t="s">
        <v>835</v>
      </c>
    </row>
    <row r="53" spans="1:18" s="1376" customFormat="1" ht="30.75" customHeight="1" thickBot="1">
      <c r="A53" s="1103" t="s">
        <v>440</v>
      </c>
      <c r="B53" s="320" t="s">
        <v>700</v>
      </c>
      <c r="C53" s="313">
        <f ca="1">ROUND(IF(F53="押一",C49/12*F11,IF(F53="押二",C49/12*2*F11,IF(F53="押三",C49/12*3*F11,C54*F11))),0)</f>
        <v>0</v>
      </c>
      <c r="D53" s="1358" t="s">
        <v>2119</v>
      </c>
      <c r="E53" s="310" t="s">
        <v>701</v>
      </c>
      <c r="F53" s="1108"/>
      <c r="I53" s="1431" t="s">
        <v>836</v>
      </c>
      <c r="J53" s="2160">
        <f ca="1">IF(M47="住宅",IF(D1="——",MAX(J51,L48),MAX(J51,L48-'数据-取费表'!B24)),IF(D1="——",MIN(J51,L48),MIN(J51,L48-'数据-取费表'!B24)))</f>
        <v>0</v>
      </c>
      <c r="K53" s="3798" t="s">
        <v>837</v>
      </c>
      <c r="L53" s="3799"/>
      <c r="O53" s="1410" t="s">
        <v>409</v>
      </c>
      <c r="P53" s="1411" t="s">
        <v>838</v>
      </c>
      <c r="Q53" s="1412" t="e">
        <f ca="1">Q47+Q48</f>
        <v>#DIV/0!</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#DIV/0!</v>
      </c>
      <c r="K55" s="1437" t="s">
        <v>841</v>
      </c>
      <c r="L55" s="1438"/>
      <c r="O55" s="1403" t="s">
        <v>811</v>
      </c>
      <c r="P55" s="1404" t="s">
        <v>812</v>
      </c>
      <c r="Q55" s="1405" t="s">
        <v>813</v>
      </c>
      <c r="R55" s="1405" t="s">
        <v>814</v>
      </c>
    </row>
    <row r="56" spans="1:18" s="1376" customFormat="1" ht="36" customHeight="1" thickTop="1" thickBot="1">
      <c r="A56" s="949">
        <v>2</v>
      </c>
      <c r="B56" s="950" t="s">
        <v>704</v>
      </c>
      <c r="C56" s="229">
        <f ca="1">C13</f>
        <v>0</v>
      </c>
      <c r="D56" s="1439"/>
      <c r="E56" s="1440"/>
      <c r="F56" s="1432"/>
      <c r="I56" s="1441" t="s">
        <v>842</v>
      </c>
      <c r="J56" s="1442"/>
      <c r="K56" s="1413" t="s">
        <v>843</v>
      </c>
      <c r="L56" s="1416">
        <f ca="1">IF(L48&lt;J51,"——",L48-J51)</f>
        <v>0</v>
      </c>
      <c r="O56" s="1410" t="s">
        <v>403</v>
      </c>
      <c r="P56" s="1411" t="s">
        <v>817</v>
      </c>
      <c r="Q56" s="1412" t="e">
        <f ca="1">C40+J29</f>
        <v>#DIV/0!</v>
      </c>
      <c r="R56" s="1412" t="s">
        <v>818</v>
      </c>
    </row>
    <row r="57" spans="1:18" s="1376" customFormat="1" ht="24.75" thickBot="1">
      <c r="A57" s="1443"/>
      <c r="B57" s="942" t="s">
        <v>767</v>
      </c>
      <c r="C57" s="235">
        <f ca="1">C29</f>
        <v>0</v>
      </c>
      <c r="D57" s="1444"/>
      <c r="E57" s="1445"/>
      <c r="F57" s="1446"/>
      <c r="I57" s="1447" t="s">
        <v>844</v>
      </c>
      <c r="J57" s="1448">
        <f ca="1">IF(OR(M47="住宅",J51&lt;L48,J56="是"),"——",J51-L48)</f>
        <v>0</v>
      </c>
      <c r="K57" s="1413" t="s">
        <v>892</v>
      </c>
      <c r="L57" s="1416">
        <f ca="1">IF(L48&lt;J51,"——",IF(L55="比较法",L49,IF(L55="基准地价",L50,L51)))</f>
        <v>0</v>
      </c>
      <c r="O57" s="1410" t="s">
        <v>404</v>
      </c>
      <c r="P57" s="1411" t="s">
        <v>893</v>
      </c>
      <c r="Q57" s="1412" t="e">
        <f ca="1">L60</f>
        <v>#DIV/0!</v>
      </c>
      <c r="R57" s="1412" t="s">
        <v>894</v>
      </c>
    </row>
    <row r="58" spans="1:18" s="1376" customFormat="1" ht="24.75" thickBot="1">
      <c r="A58" s="312" t="s">
        <v>393</v>
      </c>
      <c r="B58" s="950" t="s">
        <v>714</v>
      </c>
      <c r="C58" s="313">
        <f ca="1">ROUND(C59+C64+C65+C66,0)</f>
        <v>0</v>
      </c>
      <c r="D58" s="952" t="s">
        <v>715</v>
      </c>
      <c r="E58" s="953"/>
      <c r="F58" s="954"/>
      <c r="I58" s="1447" t="s">
        <v>848</v>
      </c>
      <c r="J58" s="1449" t="e">
        <f ca="1">IF(J55&lt;0.4,0.4,J55)</f>
        <v>#DIV/0!</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8">
        <f ca="1">ROUND(IF(AND(项目基本情况!B11="自然人",项目基本情况!B10="北京市"),C49*F59/(1+'数据-取费表'!C42),C60+C61+C62),0)</f>
        <v>0</v>
      </c>
      <c r="D59" s="955" t="s">
        <v>720</v>
      </c>
      <c r="E59" s="956" t="s">
        <v>721</v>
      </c>
      <c r="F59" s="2307" t="str">
        <f>IF(项目基本情况!B11="企业","——",IF('数据-取费表'!B10="住宅",IF(F49*F50*F51/12/(1+'数据-取费表'!F30)&gt;100000,4%,2.5%),IF(F49*F50*F51/12/(1+'数据-取费表'!F30)&gt;100000,12%,7%)))</f>
        <v>——</v>
      </c>
      <c r="I59" s="1447" t="s">
        <v>851</v>
      </c>
      <c r="J59" s="1448"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28">
        <f t="shared" ref="F60:F66" si="0">F32</f>
        <v>5.6000000000000001E-2</v>
      </c>
      <c r="I60" s="1450" t="s">
        <v>853</v>
      </c>
      <c r="J60" s="1451" t="e">
        <f ca="1">IF(OR(M47="住宅",J51&lt;L48,J56="是"),"0",ROUND(J59/(1+J52)^J53,0))</f>
        <v>#DIV/0!</v>
      </c>
      <c r="K60" s="1452" t="s">
        <v>854</v>
      </c>
      <c r="L60" s="1451" t="e">
        <f ca="1">IF(OR(M47="住宅",L48&lt;J51),0,ROUND(L57*(L58/L59-1),0))</f>
        <v>#DIV/0!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3340</v>
      </c>
      <c r="E61" s="942" t="s">
        <v>783</v>
      </c>
      <c r="F61" s="319">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IF(项目基本情况!B11="自然人","——",ROUND(F62*F63,0))</f>
        <v>0</v>
      </c>
      <c r="D62" s="957" t="s">
        <v>786</v>
      </c>
      <c r="E62" s="942" t="s">
        <v>787</v>
      </c>
      <c r="F62" s="322">
        <f t="shared" si="0"/>
        <v>12</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3"/>
      <c r="B63" s="948"/>
      <c r="C63" s="26"/>
      <c r="D63" s="958"/>
      <c r="E63" s="942" t="s">
        <v>788</v>
      </c>
      <c r="F63" s="300">
        <f t="shared" ca="1" si="0"/>
        <v>0</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0</v>
      </c>
      <c r="D64" s="956" t="s">
        <v>791</v>
      </c>
      <c r="E64" s="942" t="s">
        <v>783</v>
      </c>
      <c r="F64" s="325">
        <f t="shared" ca="1" si="0"/>
        <v>0</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0</v>
      </c>
      <c r="D65" s="956" t="s">
        <v>743</v>
      </c>
      <c r="E65" s="942" t="s">
        <v>744</v>
      </c>
      <c r="F65" s="327">
        <f t="shared" ca="1" si="0"/>
        <v>0</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4" t="s">
        <v>793</v>
      </c>
      <c r="B66" s="942" t="s">
        <v>728</v>
      </c>
      <c r="C66" s="21">
        <f ca="1">ROUND(C48*F66,0)</f>
        <v>0</v>
      </c>
      <c r="D66" s="956" t="s">
        <v>794</v>
      </c>
      <c r="E66" s="942" t="s">
        <v>712</v>
      </c>
      <c r="F66" s="309">
        <f t="shared" ca="1" si="0"/>
        <v>0</v>
      </c>
      <c r="O66" s="1410" t="s">
        <v>404</v>
      </c>
      <c r="P66" s="1411" t="s">
        <v>846</v>
      </c>
      <c r="Q66" s="1412" t="e">
        <f ca="1">L60</f>
        <v>#DIV/0!</v>
      </c>
      <c r="R66" s="1412" t="s">
        <v>869</v>
      </c>
    </row>
    <row r="67" spans="1:18" s="1376" customFormat="1" ht="16.5" thickBot="1">
      <c r="A67" s="949" t="s">
        <v>394</v>
      </c>
      <c r="B67" s="959" t="s">
        <v>752</v>
      </c>
      <c r="C67" s="313">
        <f ca="1">C48-C58</f>
        <v>0</v>
      </c>
      <c r="D67" s="955" t="s">
        <v>753</v>
      </c>
      <c r="E67" s="960"/>
      <c r="F67" s="961"/>
      <c r="O67" s="1420" t="s">
        <v>405</v>
      </c>
      <c r="P67" s="1411" t="s">
        <v>850</v>
      </c>
      <c r="Q67" s="1458">
        <f ca="1">L51</f>
        <v>0</v>
      </c>
      <c r="R67" s="1412" t="s">
        <v>870</v>
      </c>
    </row>
    <row r="68" spans="1:18" s="1376" customFormat="1" ht="16.5" thickBot="1">
      <c r="A68" s="939" t="s">
        <v>395</v>
      </c>
      <c r="B68" s="940" t="s">
        <v>774</v>
      </c>
      <c r="C68" s="298" t="e">
        <f ca="1">ROUND(C67*(1-((1+F70)/(1+F68))^F69)/(F68-F70),0)</f>
        <v>#DIV/0!</v>
      </c>
      <c r="D68" s="957" t="s">
        <v>758</v>
      </c>
      <c r="E68" s="942" t="s">
        <v>759</v>
      </c>
      <c r="F68" s="309">
        <f ca="1">F40</f>
        <v>0</v>
      </c>
      <c r="O68" s="1420" t="s">
        <v>406</v>
      </c>
      <c r="P68" s="1459" t="s">
        <v>871</v>
      </c>
      <c r="Q68" s="1412">
        <f ca="1">ROUND(Q69-Q70*Q71,0)</f>
        <v>0</v>
      </c>
      <c r="R68" s="1412" t="s">
        <v>414</v>
      </c>
    </row>
    <row r="69" spans="1:18" s="1376" customFormat="1" ht="13.5" thickBot="1">
      <c r="A69" s="943"/>
      <c r="B69" s="944"/>
      <c r="C69" s="303"/>
      <c r="D69" s="962" t="s">
        <v>762</v>
      </c>
      <c r="E69" s="942" t="s">
        <v>763</v>
      </c>
      <c r="F69" s="330">
        <f ca="1">F41</f>
        <v>0</v>
      </c>
      <c r="O69" s="1420" t="s">
        <v>411</v>
      </c>
      <c r="P69" s="1459" t="s">
        <v>872</v>
      </c>
      <c r="Q69" s="1412">
        <f ca="1">C39</f>
        <v>0</v>
      </c>
      <c r="R69" s="1412" t="s">
        <v>818</v>
      </c>
    </row>
    <row r="70" spans="1:18" s="1376" customFormat="1" ht="13.5" thickBot="1">
      <c r="A70" s="946"/>
      <c r="B70" s="947"/>
      <c r="C70" s="307"/>
      <c r="D70" s="958"/>
      <c r="E70" s="942" t="s">
        <v>766</v>
      </c>
      <c r="F70" s="1046"/>
      <c r="O70" s="1420" t="s">
        <v>412</v>
      </c>
      <c r="P70" s="1459" t="s">
        <v>873</v>
      </c>
      <c r="Q70" s="1412">
        <f ca="1">C13</f>
        <v>0</v>
      </c>
      <c r="R70" s="1412" t="s">
        <v>818</v>
      </c>
    </row>
    <row r="71" spans="1:18" s="1376" customFormat="1" ht="13.5" thickBot="1">
      <c r="A71" s="963" t="s">
        <v>396</v>
      </c>
      <c r="B71" s="964" t="s">
        <v>776</v>
      </c>
      <c r="C71" s="333" t="e">
        <f ca="1">ROUND(C68/F71,0)</f>
        <v>#DIV/0!</v>
      </c>
      <c r="D71" s="965" t="s">
        <v>777</v>
      </c>
      <c r="E71" s="966" t="s">
        <v>778</v>
      </c>
      <c r="F71" s="336">
        <f ca="1">F43</f>
        <v>0</v>
      </c>
      <c r="O71" s="1420" t="s">
        <v>413</v>
      </c>
      <c r="P71" s="1459" t="s">
        <v>874</v>
      </c>
      <c r="Q71" s="1423">
        <f ca="1">C76</f>
        <v>0</v>
      </c>
      <c r="R71" s="1412"/>
    </row>
    <row r="72" spans="1:18" s="1376" customFormat="1" ht="13.5" thickBot="1">
      <c r="B72" s="722"/>
      <c r="C72" s="722"/>
      <c r="O72" s="1420" t="s">
        <v>407</v>
      </c>
      <c r="P72" s="1411" t="s">
        <v>852</v>
      </c>
      <c r="Q72" s="1423">
        <f>L52</f>
        <v>0</v>
      </c>
      <c r="R72" s="1412"/>
    </row>
    <row r="73" spans="1:18" ht="16.5" thickBot="1">
      <c r="A73" s="1376"/>
      <c r="B73" s="722"/>
      <c r="C73" s="722"/>
      <c r="D73" s="1376"/>
      <c r="E73" s="1376"/>
      <c r="F73" s="1376"/>
      <c r="O73" s="1420" t="s">
        <v>408</v>
      </c>
      <c r="P73" s="1411" t="s">
        <v>855</v>
      </c>
      <c r="Q73" s="1412" t="e">
        <f ca="1">L58</f>
        <v>#DIV/0!</v>
      </c>
      <c r="R73" s="1412" t="s">
        <v>856</v>
      </c>
    </row>
    <row r="74" spans="1:18" ht="13.5" thickBot="1">
      <c r="A74" s="1376"/>
      <c r="B74" s="270"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37" t="s">
        <v>795</v>
      </c>
      <c r="C75" s="338">
        <f ca="1">ROUND(C13*C76,0)</f>
        <v>0</v>
      </c>
      <c r="D75" s="1376"/>
      <c r="E75" s="1376"/>
      <c r="F75" s="1376"/>
      <c r="K75" s="1394"/>
      <c r="L75" s="1376"/>
      <c r="O75" s="1410" t="s">
        <v>409</v>
      </c>
      <c r="P75" s="1411" t="s">
        <v>838</v>
      </c>
      <c r="Q75" s="1412" t="e">
        <f ca="1">Q65+Q66</f>
        <v>#DIV/0!</v>
      </c>
      <c r="R75" s="1412" t="s">
        <v>410</v>
      </c>
    </row>
    <row r="76" spans="1:18">
      <c r="B76" s="339" t="s">
        <v>796</v>
      </c>
      <c r="C76" s="340">
        <f ca="1">INDIRECT("'数据-取费表'!j"&amp;$G$1)</f>
        <v>0</v>
      </c>
      <c r="I76" s="1376"/>
      <c r="J76" s="1376"/>
      <c r="K76" s="1394"/>
      <c r="L76" s="1376"/>
    </row>
    <row r="77" spans="1:18">
      <c r="B77" s="341" t="s">
        <v>797</v>
      </c>
      <c r="C77" s="342"/>
      <c r="I77" s="1376"/>
      <c r="J77" s="1376"/>
      <c r="K77" s="1394"/>
      <c r="L77" s="1376"/>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2439</v>
      </c>
      <c r="B1" s="2824"/>
      <c r="C1" s="2836"/>
      <c r="D1" s="2836"/>
      <c r="E1" s="2825"/>
      <c r="F1" s="2826"/>
      <c r="G1" s="2827"/>
      <c r="J1" s="2830" t="s">
        <v>2318</v>
      </c>
      <c r="K1" s="2831"/>
      <c r="L1" s="2831"/>
      <c r="M1" s="2831"/>
      <c r="N1" s="2831"/>
      <c r="O1" s="2831"/>
      <c r="P1" s="2831"/>
      <c r="Q1" s="2831"/>
      <c r="R1" s="2832"/>
      <c r="S1" s="2833"/>
      <c r="T1" s="2833"/>
      <c r="U1" s="2833"/>
    </row>
    <row r="2" spans="1:22" s="2845" customFormat="1" ht="13.15" customHeight="1">
      <c r="A2" s="1377" t="s">
        <v>2319</v>
      </c>
      <c r="B2" s="2835" t="e">
        <f>IF(D2="——",C40,C40+E2)</f>
        <v>#DIV/0!</v>
      </c>
      <c r="C2" s="2836" t="s">
        <v>2320</v>
      </c>
      <c r="D2" s="3435" t="s">
        <v>3363</v>
      </c>
      <c r="E2" s="3436"/>
      <c r="F2" s="2838"/>
      <c r="G2" s="2839"/>
      <c r="H2" s="2840"/>
      <c r="I2" s="2841"/>
      <c r="J2" s="3809" t="s">
        <v>2321</v>
      </c>
      <c r="K2" s="3810"/>
      <c r="L2" s="2842" t="s">
        <v>2322</v>
      </c>
      <c r="M2" s="2842" t="s">
        <v>2323</v>
      </c>
      <c r="N2" s="2842" t="s">
        <v>2324</v>
      </c>
      <c r="O2" s="2842" t="s">
        <v>2325</v>
      </c>
      <c r="P2" s="2842" t="s">
        <v>2326</v>
      </c>
      <c r="Q2" s="2843" t="s">
        <v>2327</v>
      </c>
      <c r="R2" s="2844" t="s">
        <v>2328</v>
      </c>
      <c r="S2" s="2833"/>
      <c r="T2" s="2833"/>
      <c r="U2" s="2833"/>
      <c r="V2" s="2841"/>
    </row>
    <row r="3" spans="1:22" s="2845" customFormat="1" ht="13.15" customHeight="1">
      <c r="A3" s="2846" t="s">
        <v>2329</v>
      </c>
      <c r="B3" s="2847" t="e">
        <f>ROUND(B2*10000/B4,0)</f>
        <v>#DIV/0!</v>
      </c>
      <c r="C3" s="2836" t="s">
        <v>2330</v>
      </c>
      <c r="D3" s="2836"/>
      <c r="E3" s="2837"/>
      <c r="F3" s="2838"/>
      <c r="G3" s="2839"/>
      <c r="H3" s="2840"/>
      <c r="I3" s="2841"/>
      <c r="J3" s="3811" t="s">
        <v>2331</v>
      </c>
      <c r="K3" s="3812"/>
      <c r="L3" s="2848"/>
      <c r="M3" s="2848"/>
      <c r="N3" s="2848"/>
      <c r="O3" s="2848"/>
      <c r="P3" s="2848"/>
      <c r="Q3" s="2849"/>
      <c r="R3" s="2850">
        <f>SUM(L3:Q3)</f>
        <v>0</v>
      </c>
      <c r="S3" s="2833"/>
      <c r="T3" s="2833"/>
      <c r="U3" s="2833"/>
      <c r="V3" s="2841"/>
    </row>
    <row r="4" spans="1:22" s="2845" customFormat="1" ht="13.15" customHeight="1">
      <c r="A4" s="2851" t="s">
        <v>2332</v>
      </c>
      <c r="B4" s="2852"/>
      <c r="C4" s="2836"/>
      <c r="D4" s="2836"/>
      <c r="E4" s="2837"/>
      <c r="F4" s="2838"/>
      <c r="G4" s="2839"/>
      <c r="H4" s="2840"/>
      <c r="I4" s="2841"/>
      <c r="J4" s="3811" t="s">
        <v>2333</v>
      </c>
      <c r="K4" s="3812"/>
      <c r="L4" s="2853"/>
      <c r="M4" s="2853"/>
      <c r="N4" s="2853"/>
      <c r="O4" s="2853"/>
      <c r="P4" s="2853"/>
      <c r="Q4" s="2854"/>
      <c r="R4" s="2855">
        <f>SUM(L4:Q4)</f>
        <v>0</v>
      </c>
      <c r="S4" s="2833"/>
      <c r="T4" s="2833"/>
      <c r="U4" s="2833"/>
      <c r="V4" s="2841"/>
    </row>
    <row r="5" spans="1:22" s="2845" customFormat="1" ht="13.15" customHeight="1" thickBot="1">
      <c r="A5" s="2856" t="s">
        <v>2334</v>
      </c>
      <c r="B5" s="2857"/>
      <c r="C5" s="2836"/>
      <c r="D5" s="2858"/>
      <c r="E5" s="2838"/>
      <c r="F5" s="2838"/>
      <c r="G5" s="2839"/>
      <c r="H5" s="2840"/>
      <c r="I5" s="2841"/>
      <c r="J5" s="2859" t="s">
        <v>2335</v>
      </c>
      <c r="K5" s="2860"/>
      <c r="L5" s="2860"/>
      <c r="M5" s="2861"/>
      <c r="N5" s="2861"/>
      <c r="O5" s="2861"/>
      <c r="P5" s="2861"/>
      <c r="Q5" s="2861"/>
      <c r="R5" s="2844">
        <f>SUM(R14,R19,R24,R25,R27,R28)</f>
        <v>0</v>
      </c>
      <c r="S5" s="2833"/>
      <c r="T5" s="2833" t="s">
        <v>2336</v>
      </c>
      <c r="U5" s="2833" t="e">
        <f>ROUND(R5*10000/365/R3,1)</f>
        <v>#DIV/0!</v>
      </c>
      <c r="V5" s="2841"/>
    </row>
    <row r="6" spans="1:22" s="2845" customFormat="1" ht="13.15" customHeight="1" thickBot="1">
      <c r="A6" s="3817" t="s">
        <v>2337</v>
      </c>
      <c r="B6" s="3818"/>
      <c r="C6" s="3819"/>
      <c r="D6" s="2862"/>
      <c r="E6" s="2863"/>
      <c r="F6" s="2864"/>
      <c r="G6" s="2865"/>
      <c r="H6" s="2840"/>
      <c r="I6" s="2841"/>
      <c r="J6" s="3803">
        <v>1</v>
      </c>
      <c r="K6" s="3804" t="s">
        <v>2338</v>
      </c>
      <c r="L6" s="2866" t="s">
        <v>2339</v>
      </c>
      <c r="M6" s="2867" t="s">
        <v>2340</v>
      </c>
      <c r="N6" s="2867" t="s">
        <v>2341</v>
      </c>
      <c r="O6" s="2867" t="s">
        <v>2342</v>
      </c>
      <c r="P6" s="2867" t="s">
        <v>2343</v>
      </c>
      <c r="Q6" s="2867" t="s">
        <v>2344</v>
      </c>
      <c r="R6" s="2850" t="s">
        <v>2345</v>
      </c>
      <c r="S6" s="2833"/>
      <c r="T6" s="2833" t="s">
        <v>2346</v>
      </c>
      <c r="U6" s="2833"/>
      <c r="V6" s="2841"/>
    </row>
    <row r="7" spans="1:22" s="2845" customFormat="1" ht="13.15" customHeight="1">
      <c r="A7" s="2868" t="s">
        <v>2347</v>
      </c>
      <c r="B7" s="2869"/>
      <c r="C7" s="2870"/>
      <c r="D7" s="2871">
        <f>SUM(D9,D10,D11,D17,0)</f>
        <v>0</v>
      </c>
      <c r="E7" s="2872" t="e">
        <f>E9+E10+E11+E17</f>
        <v>#DIV/0!</v>
      </c>
      <c r="F7" s="2873"/>
      <c r="G7" s="2874"/>
      <c r="H7" s="2840"/>
      <c r="I7" s="2841"/>
      <c r="J7" s="3803"/>
      <c r="K7" s="3805"/>
      <c r="L7" s="2875" t="s">
        <v>2348</v>
      </c>
      <c r="M7" s="2876"/>
      <c r="N7" s="2852"/>
      <c r="O7" s="2877"/>
      <c r="P7" s="2877"/>
      <c r="Q7" s="2878">
        <v>365</v>
      </c>
      <c r="R7" s="2879">
        <f>ROUND(M7*N7*O7*P7*Q7/10000,0)</f>
        <v>0</v>
      </c>
      <c r="S7" s="2833"/>
      <c r="T7" s="2833" t="s">
        <v>2349</v>
      </c>
      <c r="U7" s="2833"/>
      <c r="V7" s="2841"/>
    </row>
    <row r="8" spans="1:22" s="2845" customFormat="1" ht="13.15" customHeight="1">
      <c r="A8" s="2880" t="s">
        <v>2350</v>
      </c>
      <c r="B8" s="3820" t="s">
        <v>2351</v>
      </c>
      <c r="C8" s="3821"/>
      <c r="D8" s="2881" t="s">
        <v>2352</v>
      </c>
      <c r="E8" s="2882" t="s">
        <v>2353</v>
      </c>
      <c r="F8" s="2883" t="s">
        <v>2354</v>
      </c>
      <c r="G8" s="2884"/>
      <c r="H8" s="2840"/>
      <c r="I8" s="2841"/>
      <c r="J8" s="3803"/>
      <c r="K8" s="3805"/>
      <c r="L8" s="2875" t="s">
        <v>2355</v>
      </c>
      <c r="M8" s="2876"/>
      <c r="N8" s="2852"/>
      <c r="O8" s="2877"/>
      <c r="P8" s="2877"/>
      <c r="Q8" s="2878">
        <v>365</v>
      </c>
      <c r="R8" s="2879">
        <f t="shared" ref="R8:R13" si="0">ROUND(M8*N8*O8*P8*Q8/10000,0)</f>
        <v>0</v>
      </c>
      <c r="S8" s="2833"/>
      <c r="T8" s="2833" t="s">
        <v>2356</v>
      </c>
      <c r="U8" s="2833"/>
      <c r="V8" s="2841"/>
    </row>
    <row r="9" spans="1:22" s="2845" customFormat="1" ht="13.15" customHeight="1">
      <c r="A9" s="2880">
        <v>1</v>
      </c>
      <c r="B9" s="3820" t="s">
        <v>2357</v>
      </c>
      <c r="C9" s="3821"/>
      <c r="D9" s="2881">
        <f>ROUND(D6*E9,0)</f>
        <v>0</v>
      </c>
      <c r="E9" s="2885"/>
      <c r="F9" s="2886" t="s">
        <v>2358</v>
      </c>
      <c r="G9" s="2865"/>
      <c r="H9" s="2840"/>
      <c r="I9" s="2841"/>
      <c r="J9" s="3803"/>
      <c r="K9" s="3805"/>
      <c r="L9" s="2875" t="s">
        <v>2359</v>
      </c>
      <c r="M9" s="2876"/>
      <c r="N9" s="2852"/>
      <c r="O9" s="2877"/>
      <c r="P9" s="2877"/>
      <c r="Q9" s="2878">
        <v>365</v>
      </c>
      <c r="R9" s="2879">
        <f t="shared" si="0"/>
        <v>0</v>
      </c>
      <c r="S9" s="2833"/>
      <c r="T9" s="2833"/>
      <c r="U9" s="2833"/>
      <c r="V9" s="2841"/>
    </row>
    <row r="10" spans="1:22" s="2845" customFormat="1" ht="13.15" customHeight="1">
      <c r="A10" s="2880">
        <v>2</v>
      </c>
      <c r="B10" s="3820" t="s">
        <v>2360</v>
      </c>
      <c r="C10" s="3821"/>
      <c r="D10" s="2881">
        <f>ROUND(D6*E10,0)</f>
        <v>0</v>
      </c>
      <c r="E10" s="2885"/>
      <c r="F10" s="2886" t="s">
        <v>2361</v>
      </c>
      <c r="G10" s="2865"/>
      <c r="H10" s="2840"/>
      <c r="I10" s="2841"/>
      <c r="J10" s="3803"/>
      <c r="K10" s="3805"/>
      <c r="L10" s="2875" t="s">
        <v>2362</v>
      </c>
      <c r="M10" s="2876"/>
      <c r="N10" s="2852"/>
      <c r="O10" s="2877"/>
      <c r="P10" s="2877"/>
      <c r="Q10" s="2878">
        <v>365</v>
      </c>
      <c r="R10" s="2879">
        <f t="shared" si="0"/>
        <v>0</v>
      </c>
      <c r="S10" s="2833"/>
      <c r="T10" s="2833"/>
      <c r="U10" s="2833"/>
      <c r="V10" s="2841"/>
    </row>
    <row r="11" spans="1:22" s="2845" customFormat="1" ht="13.15" customHeight="1">
      <c r="A11" s="2880">
        <v>3</v>
      </c>
      <c r="B11" s="3820" t="s">
        <v>2363</v>
      </c>
      <c r="C11" s="3821"/>
      <c r="D11" s="2881">
        <f>D12+D14+D15+D16</f>
        <v>0</v>
      </c>
      <c r="E11" s="2887" t="e">
        <f>D11/D6</f>
        <v>#DIV/0!</v>
      </c>
      <c r="F11" s="2883"/>
      <c r="G11" s="2884"/>
      <c r="H11" s="2840"/>
      <c r="I11" s="2841"/>
      <c r="J11" s="3803"/>
      <c r="K11" s="3805"/>
      <c r="L11" s="2875" t="s">
        <v>2364</v>
      </c>
      <c r="M11" s="2876"/>
      <c r="N11" s="2852"/>
      <c r="O11" s="2877"/>
      <c r="P11" s="2877"/>
      <c r="Q11" s="2878">
        <v>365</v>
      </c>
      <c r="R11" s="2879">
        <f t="shared" si="0"/>
        <v>0</v>
      </c>
      <c r="S11" s="2833"/>
      <c r="T11" s="2833"/>
      <c r="U11" s="2833"/>
      <c r="V11" s="2841"/>
    </row>
    <row r="12" spans="1:22" s="2845" customFormat="1" ht="13.15" customHeight="1">
      <c r="A12" s="2888" t="s">
        <v>2365</v>
      </c>
      <c r="B12" s="3813" t="s">
        <v>2366</v>
      </c>
      <c r="C12" s="3814"/>
      <c r="D12" s="2889">
        <f>ROUND(D13*1.2%*(1-30%),0)</f>
        <v>0</v>
      </c>
      <c r="E12" s="2890">
        <v>1.2E-2</v>
      </c>
      <c r="F12" s="2883" t="s">
        <v>2367</v>
      </c>
      <c r="G12" s="2884"/>
      <c r="H12" s="2840"/>
      <c r="I12" s="2841"/>
      <c r="J12" s="3803"/>
      <c r="K12" s="3805"/>
      <c r="L12" s="2875" t="s">
        <v>2368</v>
      </c>
      <c r="M12" s="2876"/>
      <c r="N12" s="2852"/>
      <c r="O12" s="2877"/>
      <c r="P12" s="2877"/>
      <c r="Q12" s="2878">
        <v>365</v>
      </c>
      <c r="R12" s="2879">
        <f t="shared" si="0"/>
        <v>0</v>
      </c>
      <c r="S12" s="2833"/>
      <c r="T12" s="2833"/>
      <c r="U12" s="2833"/>
      <c r="V12" s="2841"/>
    </row>
    <row r="13" spans="1:22" s="2845" customFormat="1" ht="13.15" customHeight="1">
      <c r="A13" s="2888"/>
      <c r="B13" s="2891"/>
      <c r="C13" s="2892" t="s">
        <v>2369</v>
      </c>
      <c r="D13" s="2893"/>
      <c r="E13" s="2894"/>
      <c r="F13" s="2883"/>
      <c r="G13" s="2884"/>
      <c r="H13" s="2840"/>
      <c r="I13" s="2841"/>
      <c r="J13" s="3803"/>
      <c r="K13" s="3805"/>
      <c r="L13" s="2875" t="s">
        <v>2370</v>
      </c>
      <c r="M13" s="2876"/>
      <c r="N13" s="2852"/>
      <c r="O13" s="2877"/>
      <c r="P13" s="2877"/>
      <c r="Q13" s="2878">
        <v>365</v>
      </c>
      <c r="R13" s="2879">
        <f t="shared" si="0"/>
        <v>0</v>
      </c>
      <c r="S13" s="2833"/>
      <c r="T13" s="2833"/>
      <c r="U13" s="2833"/>
      <c r="V13" s="2841"/>
    </row>
    <row r="14" spans="1:22" s="2845" customFormat="1" ht="13.15" customHeight="1">
      <c r="A14" s="2888" t="s">
        <v>2371</v>
      </c>
      <c r="B14" s="3813" t="s">
        <v>2372</v>
      </c>
      <c r="C14" s="3814"/>
      <c r="D14" s="2889">
        <f>ROUND(E14*B5/10000,0)</f>
        <v>0</v>
      </c>
      <c r="E14" s="2878"/>
      <c r="F14" s="2883" t="s">
        <v>2373</v>
      </c>
      <c r="G14" s="2884"/>
      <c r="H14" s="2840"/>
      <c r="I14" s="2841"/>
      <c r="J14" s="3803"/>
      <c r="K14" s="3806"/>
      <c r="L14" s="2895" t="s">
        <v>2374</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2375</v>
      </c>
      <c r="B15" s="3813" t="s">
        <v>2376</v>
      </c>
      <c r="C15" s="3814"/>
      <c r="D15" s="2889">
        <f>ROUND(D6*E15,0)</f>
        <v>0</v>
      </c>
      <c r="E15" s="2890">
        <v>5.5E-2</v>
      </c>
      <c r="F15" s="2883" t="s">
        <v>2377</v>
      </c>
      <c r="G15" s="2865"/>
      <c r="H15" s="2840"/>
      <c r="I15" s="2841"/>
      <c r="J15" s="3803">
        <v>2</v>
      </c>
      <c r="K15" s="3804" t="s">
        <v>2378</v>
      </c>
      <c r="L15" s="2875" t="s">
        <v>2379</v>
      </c>
      <c r="M15" s="2876" t="s">
        <v>2380</v>
      </c>
      <c r="N15" s="2876" t="s">
        <v>2381</v>
      </c>
      <c r="O15" s="2877" t="s">
        <v>2382</v>
      </c>
      <c r="P15" s="2877" t="s">
        <v>2344</v>
      </c>
      <c r="Q15" s="2852" t="s">
        <v>2383</v>
      </c>
      <c r="R15" s="2899" t="s">
        <v>2345</v>
      </c>
      <c r="S15" s="2833"/>
      <c r="T15" s="2833"/>
      <c r="U15" s="2833"/>
      <c r="V15" s="2841"/>
    </row>
    <row r="16" spans="1:22" s="2845" customFormat="1" ht="13.15" customHeight="1">
      <c r="A16" s="2888" t="s">
        <v>2384</v>
      </c>
      <c r="B16" s="3813" t="s">
        <v>2385</v>
      </c>
      <c r="C16" s="3814"/>
      <c r="D16" s="2900">
        <f>D6*E16</f>
        <v>0</v>
      </c>
      <c r="E16" s="2901"/>
      <c r="F16" s="2886" t="s">
        <v>2386</v>
      </c>
      <c r="G16" s="2865"/>
      <c r="H16" s="2840"/>
      <c r="I16" s="2841"/>
      <c r="J16" s="3803"/>
      <c r="K16" s="3805"/>
      <c r="L16" s="2875" t="s">
        <v>2387</v>
      </c>
      <c r="M16" s="2876"/>
      <c r="N16" s="2876"/>
      <c r="O16" s="2877"/>
      <c r="P16" s="2878">
        <v>365</v>
      </c>
      <c r="Q16" s="2852"/>
      <c r="R16" s="2899">
        <f>ROUND(M16*N16*O16*P16/10000,0)</f>
        <v>0</v>
      </c>
      <c r="S16" s="2833"/>
      <c r="T16" s="2833"/>
      <c r="U16" s="2833"/>
      <c r="V16" s="2841"/>
    </row>
    <row r="17" spans="1:22" s="2845" customFormat="1" ht="13.15" customHeight="1" thickBot="1">
      <c r="A17" s="2902">
        <v>4</v>
      </c>
      <c r="B17" s="3815" t="s">
        <v>2388</v>
      </c>
      <c r="C17" s="3816"/>
      <c r="D17" s="2903">
        <f>ROUND(D6*E17,0)</f>
        <v>0</v>
      </c>
      <c r="E17" s="2904"/>
      <c r="F17" s="2905" t="s">
        <v>2389</v>
      </c>
      <c r="G17" s="2865"/>
      <c r="H17" s="2840"/>
      <c r="I17" s="2841"/>
      <c r="J17" s="3803"/>
      <c r="K17" s="3805"/>
      <c r="L17" s="2875" t="s">
        <v>2390</v>
      </c>
      <c r="M17" s="2876"/>
      <c r="N17" s="2876"/>
      <c r="O17" s="2877"/>
      <c r="P17" s="2878">
        <v>365</v>
      </c>
      <c r="Q17" s="2852"/>
      <c r="R17" s="2899">
        <f>ROUND(M17*N17*O17*P17/10000,0)</f>
        <v>0</v>
      </c>
      <c r="S17" s="2833"/>
      <c r="T17" s="2833"/>
      <c r="U17" s="2833"/>
      <c r="V17" s="2841"/>
    </row>
    <row r="18" spans="1:22" s="2845" customFormat="1" ht="13.15" customHeight="1" thickBot="1">
      <c r="A18" s="2868" t="s">
        <v>2391</v>
      </c>
      <c r="B18" s="2869"/>
      <c r="C18" s="2869"/>
      <c r="D18" s="2906">
        <f>ROUND(D6*E18,0)</f>
        <v>0</v>
      </c>
      <c r="E18" s="2907"/>
      <c r="F18" s="2908" t="s">
        <v>2392</v>
      </c>
      <c r="G18" s="2865"/>
      <c r="H18" s="2840"/>
      <c r="I18" s="2841"/>
      <c r="J18" s="3803"/>
      <c r="K18" s="3805"/>
      <c r="L18" s="2875" t="s">
        <v>2393</v>
      </c>
      <c r="M18" s="2876"/>
      <c r="N18" s="2876"/>
      <c r="O18" s="2877"/>
      <c r="P18" s="2878">
        <v>365</v>
      </c>
      <c r="Q18" s="2852"/>
      <c r="R18" s="2899">
        <f>ROUND(M18*N18*O18*P18/10000,0)</f>
        <v>0</v>
      </c>
      <c r="S18" s="2833"/>
      <c r="T18" s="2833"/>
      <c r="U18" s="2833"/>
      <c r="V18" s="2841"/>
    </row>
    <row r="19" spans="1:22" s="2845" customFormat="1" ht="13.15" customHeight="1" thickBot="1">
      <c r="A19" s="2909" t="s">
        <v>2394</v>
      </c>
      <c r="B19" s="2863"/>
      <c r="C19" s="2863"/>
      <c r="D19" s="2863"/>
      <c r="E19" s="2863"/>
      <c r="F19" s="2864"/>
      <c r="G19" s="2884"/>
      <c r="H19" s="2840"/>
      <c r="I19" s="2841"/>
      <c r="J19" s="3803"/>
      <c r="K19" s="3806"/>
      <c r="L19" s="2895" t="s">
        <v>2374</v>
      </c>
      <c r="M19" s="2896"/>
      <c r="N19" s="2896">
        <f>SUM(N16:N18)</f>
        <v>0</v>
      </c>
      <c r="O19" s="2897"/>
      <c r="P19" s="2910" t="s">
        <v>2438</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03">
        <v>3</v>
      </c>
      <c r="K20" s="3804" t="s">
        <v>2395</v>
      </c>
      <c r="L20" s="2875" t="s">
        <v>2396</v>
      </c>
      <c r="M20" s="2876" t="s">
        <v>2397</v>
      </c>
      <c r="N20" s="2913" t="s">
        <v>2398</v>
      </c>
      <c r="O20" s="2877" t="s">
        <v>2399</v>
      </c>
      <c r="P20" s="2878" t="s">
        <v>2400</v>
      </c>
      <c r="Q20" s="2852" t="s">
        <v>2401</v>
      </c>
      <c r="R20" s="2899" t="s">
        <v>2402</v>
      </c>
      <c r="S20" s="2914"/>
      <c r="T20" s="2914"/>
      <c r="U20" s="2914"/>
      <c r="V20" s="2841"/>
    </row>
    <row r="21" spans="1:22" s="2845" customFormat="1" ht="13.15" customHeight="1">
      <c r="A21" s="2868"/>
      <c r="B21" s="2869"/>
      <c r="C21" s="2915" t="s">
        <v>2403</v>
      </c>
      <c r="D21" s="2916" t="s">
        <v>2404</v>
      </c>
      <c r="E21" s="2917" t="s">
        <v>2405</v>
      </c>
      <c r="F21" s="2912"/>
      <c r="G21" s="2884"/>
      <c r="H21" s="2840"/>
      <c r="I21" s="2841"/>
      <c r="J21" s="3803"/>
      <c r="K21" s="3805"/>
      <c r="L21" s="2875" t="s">
        <v>2406</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2407</v>
      </c>
      <c r="D22" s="2920" t="s">
        <v>2408</v>
      </c>
      <c r="E22" s="2921" t="s">
        <v>2409</v>
      </c>
      <c r="F22" s="2912"/>
      <c r="G22" s="2922"/>
      <c r="H22" s="2840"/>
      <c r="I22" s="2841"/>
      <c r="J22" s="3803"/>
      <c r="K22" s="3805"/>
      <c r="L22" s="2875" t="s">
        <v>2410</v>
      </c>
      <c r="M22" s="2876"/>
      <c r="N22" s="2876"/>
      <c r="O22" s="2877"/>
      <c r="P22" s="2878">
        <v>365</v>
      </c>
      <c r="Q22" s="2852"/>
      <c r="R22" s="2918">
        <f>ROUND(M22*N22*O22*P22/10000,0)</f>
        <v>0</v>
      </c>
      <c r="S22" s="2914"/>
      <c r="T22" s="2914"/>
      <c r="U22" s="2914"/>
      <c r="V22" s="2841"/>
    </row>
    <row r="23" spans="1:22" s="2845" customFormat="1" ht="13.15" customHeight="1">
      <c r="A23" s="2923">
        <v>1</v>
      </c>
      <c r="B23" s="2924" t="s">
        <v>2411</v>
      </c>
      <c r="C23" s="2925">
        <f>D6</f>
        <v>0</v>
      </c>
      <c r="D23" s="2926">
        <f>C23*(1+D24)</f>
        <v>0</v>
      </c>
      <c r="E23" s="2927">
        <f>D23*(1+E24)</f>
        <v>0</v>
      </c>
      <c r="F23" s="2928"/>
      <c r="G23" s="2929"/>
      <c r="H23" s="2840"/>
      <c r="I23" s="2841"/>
      <c r="J23" s="3803"/>
      <c r="K23" s="3805"/>
      <c r="L23" s="2875" t="s">
        <v>2412</v>
      </c>
      <c r="M23" s="2876"/>
      <c r="N23" s="2876"/>
      <c r="O23" s="2877"/>
      <c r="P23" s="2878">
        <v>365</v>
      </c>
      <c r="Q23" s="2852"/>
      <c r="R23" s="2918">
        <f>ROUND(M23*N23*O23*P23/10000,0)</f>
        <v>0</v>
      </c>
      <c r="S23" s="2833"/>
      <c r="T23" s="2833"/>
      <c r="U23" s="2833"/>
      <c r="V23" s="2841"/>
    </row>
    <row r="24" spans="1:22" s="2845" customFormat="1" ht="13.15" customHeight="1">
      <c r="A24" s="2930"/>
      <c r="B24" s="2931" t="s">
        <v>2413</v>
      </c>
      <c r="C24" s="2932"/>
      <c r="D24" s="2933"/>
      <c r="E24" s="2934"/>
      <c r="F24" s="2935"/>
      <c r="G24" s="2929"/>
      <c r="H24" s="2840"/>
      <c r="I24" s="2841"/>
      <c r="J24" s="3803"/>
      <c r="K24" s="3806"/>
      <c r="L24" s="2895" t="s">
        <v>2374</v>
      </c>
      <c r="M24" s="2896">
        <f>SUM(M21:M23)</f>
        <v>0</v>
      </c>
      <c r="N24" s="2896"/>
      <c r="O24" s="2897"/>
      <c r="P24" s="2910" t="s">
        <v>2438</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2414</v>
      </c>
      <c r="L25" s="2938"/>
      <c r="M25" s="2938"/>
      <c r="N25" s="2938"/>
      <c r="O25" s="2938"/>
      <c r="P25" s="2939"/>
      <c r="Q25" s="2940">
        <v>0</v>
      </c>
      <c r="R25" s="2911">
        <f>ROUND(R14*Q25,0)</f>
        <v>0</v>
      </c>
      <c r="S25" s="2833"/>
      <c r="T25" s="2833"/>
      <c r="U25" s="2833"/>
      <c r="V25" s="2941"/>
    </row>
    <row r="26" spans="1:22" s="2942" customFormat="1" ht="13.15" customHeight="1">
      <c r="A26" s="2923">
        <v>2</v>
      </c>
      <c r="B26" s="2924" t="s">
        <v>2415</v>
      </c>
      <c r="C26" s="2925">
        <f>D7</f>
        <v>0</v>
      </c>
      <c r="D26" s="2926">
        <f>D23*D27</f>
        <v>0</v>
      </c>
      <c r="E26" s="2927">
        <f>E23*E27</f>
        <v>0</v>
      </c>
      <c r="F26" s="2928"/>
      <c r="G26" s="2929"/>
      <c r="H26" s="2840"/>
      <c r="I26" s="2841"/>
      <c r="J26" s="3807">
        <v>5</v>
      </c>
      <c r="K26" s="2943" t="s">
        <v>2416</v>
      </c>
      <c r="L26" s="2944"/>
      <c r="M26" s="2945"/>
      <c r="N26" s="2946" t="s">
        <v>2417</v>
      </c>
      <c r="O26" s="2946" t="s">
        <v>2418</v>
      </c>
      <c r="P26" s="2947" t="s">
        <v>2419</v>
      </c>
      <c r="Q26" s="2947" t="s">
        <v>2420</v>
      </c>
      <c r="R26" s="2850" t="s">
        <v>2345</v>
      </c>
      <c r="S26" s="2948"/>
      <c r="T26" s="2948"/>
      <c r="U26" s="2948"/>
      <c r="V26" s="2941"/>
    </row>
    <row r="27" spans="1:22" s="2845" customFormat="1" ht="13.15" customHeight="1">
      <c r="A27" s="2930"/>
      <c r="B27" s="2931" t="s">
        <v>2421</v>
      </c>
      <c r="C27" s="2949" t="e">
        <f>E7</f>
        <v>#DIV/0!</v>
      </c>
      <c r="D27" s="2933"/>
      <c r="E27" s="2934"/>
      <c r="F27" s="2935"/>
      <c r="G27" s="2929"/>
      <c r="H27" s="2950"/>
      <c r="I27" s="2941"/>
      <c r="J27" s="3808"/>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2422</v>
      </c>
      <c r="F28" s="2935"/>
      <c r="G28" s="2922"/>
      <c r="H28" s="2950"/>
      <c r="I28" s="2941"/>
      <c r="J28" s="2956">
        <v>6</v>
      </c>
      <c r="K28" s="2957" t="s">
        <v>2423</v>
      </c>
      <c r="L28" s="2958" t="s">
        <v>2424</v>
      </c>
      <c r="M28" s="2959"/>
      <c r="N28" s="2958" t="s">
        <v>2425</v>
      </c>
      <c r="O28" s="2960"/>
      <c r="P28" s="2958" t="s">
        <v>2426</v>
      </c>
      <c r="Q28" s="2961">
        <v>1.4999999999999999E-2</v>
      </c>
      <c r="R28" s="2962"/>
      <c r="S28" s="2914"/>
      <c r="T28" s="2914"/>
      <c r="U28" s="2914"/>
      <c r="V28" s="2941"/>
    </row>
    <row r="29" spans="1:22" s="2942" customFormat="1" ht="13.15" customHeight="1">
      <c r="A29" s="2923">
        <v>3</v>
      </c>
      <c r="B29" s="2924" t="s">
        <v>2427</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2421</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2428</v>
      </c>
      <c r="K31" s="2831"/>
      <c r="L31" s="2831"/>
      <c r="M31" s="2831"/>
      <c r="N31" s="2831"/>
      <c r="O31" s="2831"/>
      <c r="P31" s="2831"/>
      <c r="Q31" s="2831"/>
      <c r="R31" s="2832"/>
      <c r="S31" s="2914"/>
      <c r="T31" s="2833"/>
      <c r="U31" s="2833"/>
      <c r="V31" s="2941"/>
    </row>
    <row r="32" spans="1:22" s="2942" customFormat="1" ht="13.15" customHeight="1">
      <c r="A32" s="2923">
        <v>4</v>
      </c>
      <c r="B32" s="2924" t="s">
        <v>2429</v>
      </c>
      <c r="C32" s="2925">
        <f>C23-C26-C29</f>
        <v>0</v>
      </c>
      <c r="D32" s="2926">
        <f>D23-D26-D29</f>
        <v>0</v>
      </c>
      <c r="E32" s="2927">
        <f>E23-E26-E29</f>
        <v>0</v>
      </c>
      <c r="F32" s="2928"/>
      <c r="G32" s="2922"/>
      <c r="H32" s="2840"/>
      <c r="I32" s="2841"/>
      <c r="J32" s="3809" t="s">
        <v>2321</v>
      </c>
      <c r="K32" s="3810"/>
      <c r="L32" s="2842" t="s">
        <v>2322</v>
      </c>
      <c r="M32" s="2842" t="s">
        <v>2323</v>
      </c>
      <c r="N32" s="2842" t="s">
        <v>2324</v>
      </c>
      <c r="O32" s="2842" t="s">
        <v>2325</v>
      </c>
      <c r="P32" s="2842" t="s">
        <v>2326</v>
      </c>
      <c r="Q32" s="2843" t="s">
        <v>2327</v>
      </c>
      <c r="R32" s="2965" t="s">
        <v>2328</v>
      </c>
      <c r="S32" s="2914"/>
      <c r="T32" s="2833"/>
      <c r="U32" s="2833"/>
      <c r="V32" s="2941"/>
    </row>
    <row r="33" spans="1:23" s="2845" customFormat="1" ht="13.15" customHeight="1">
      <c r="A33" s="2923"/>
      <c r="B33" s="2924"/>
      <c r="C33" s="2925"/>
      <c r="D33" s="2966"/>
      <c r="E33" s="2967"/>
      <c r="F33" s="2928"/>
      <c r="G33" s="2922"/>
      <c r="H33" s="2950"/>
      <c r="I33" s="2941"/>
      <c r="J33" s="3811" t="s">
        <v>2331</v>
      </c>
      <c r="K33" s="3812"/>
      <c r="L33" s="2848"/>
      <c r="M33" s="2848"/>
      <c r="N33" s="2848"/>
      <c r="O33" s="2848"/>
      <c r="P33" s="2848"/>
      <c r="Q33" s="2849"/>
      <c r="R33" s="2968">
        <f>SUM(L33:Q33)</f>
        <v>0</v>
      </c>
      <c r="S33" s="2914"/>
      <c r="T33" s="2833"/>
      <c r="U33" s="2833"/>
      <c r="V33" s="2841"/>
    </row>
    <row r="34" spans="1:23" s="2845" customFormat="1" ht="13.15" customHeight="1">
      <c r="A34" s="2923">
        <v>5</v>
      </c>
      <c r="B34" s="2924" t="s">
        <v>2430</v>
      </c>
      <c r="C34" s="2969"/>
      <c r="D34" s="2970"/>
      <c r="E34" s="2971"/>
      <c r="F34" s="2928"/>
      <c r="G34" s="2922"/>
      <c r="H34" s="2950"/>
      <c r="I34" s="2941"/>
      <c r="J34" s="3811" t="s">
        <v>2333</v>
      </c>
      <c r="K34" s="3812"/>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2431</v>
      </c>
      <c r="C35" s="2973"/>
      <c r="D35" s="2974"/>
      <c r="E35" s="2975"/>
      <c r="F35" s="2928"/>
      <c r="G35" s="2976"/>
      <c r="H35" s="2840"/>
      <c r="I35" s="2941"/>
      <c r="J35" s="2859" t="s">
        <v>2335</v>
      </c>
      <c r="K35" s="2860"/>
      <c r="L35" s="2860"/>
      <c r="M35" s="2861"/>
      <c r="N35" s="2861"/>
      <c r="O35" s="2861"/>
      <c r="P35" s="2861"/>
      <c r="Q35" s="2861"/>
      <c r="R35" s="2977">
        <f>R40+R41+R43</f>
        <v>0</v>
      </c>
      <c r="S35" s="2914"/>
      <c r="T35" s="2833" t="s">
        <v>2336</v>
      </c>
      <c r="U35" s="2833"/>
      <c r="V35" s="2841"/>
    </row>
    <row r="36" spans="1:23" s="2845" customFormat="1" ht="13.15" customHeight="1" thickBot="1">
      <c r="A36" s="2923">
        <v>7</v>
      </c>
      <c r="B36" s="2978" t="s">
        <v>2432</v>
      </c>
      <c r="C36" s="2979"/>
      <c r="D36" s="2980"/>
      <c r="E36" s="2981"/>
      <c r="F36" s="2982">
        <f>C36+D36+E36</f>
        <v>0</v>
      </c>
      <c r="G36" s="2922"/>
      <c r="H36" s="2840"/>
      <c r="I36" s="2841"/>
      <c r="J36" s="3803">
        <v>1</v>
      </c>
      <c r="K36" s="3804" t="s">
        <v>2433</v>
      </c>
      <c r="L36" s="2866"/>
      <c r="M36" s="2867"/>
      <c r="N36" s="2867"/>
      <c r="O36" s="2867"/>
      <c r="P36" s="2867"/>
      <c r="Q36" s="2867"/>
      <c r="R36" s="2850" t="s">
        <v>2345</v>
      </c>
      <c r="S36" s="2914"/>
      <c r="T36" s="2833" t="s">
        <v>2346</v>
      </c>
      <c r="U36" s="2833"/>
      <c r="V36" s="2841"/>
    </row>
    <row r="37" spans="1:23" s="2845" customFormat="1" ht="13.15" customHeight="1">
      <c r="A37" s="2923"/>
      <c r="B37" s="2924"/>
      <c r="C37" s="2924"/>
      <c r="D37" s="2924"/>
      <c r="E37" s="2924"/>
      <c r="F37" s="2928"/>
      <c r="G37" s="2922"/>
      <c r="H37" s="2840"/>
      <c r="I37" s="2841"/>
      <c r="J37" s="3803"/>
      <c r="K37" s="3805"/>
      <c r="L37" s="2875"/>
      <c r="M37" s="2876"/>
      <c r="N37" s="2852"/>
      <c r="O37" s="2877"/>
      <c r="P37" s="2877"/>
      <c r="Q37" s="2878"/>
      <c r="R37" s="2879"/>
      <c r="S37" s="2914"/>
      <c r="T37" s="2833" t="s">
        <v>2349</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803"/>
      <c r="K38" s="3805"/>
      <c r="L38" s="2875"/>
      <c r="M38" s="2876"/>
      <c r="N38" s="2852"/>
      <c r="O38" s="2877"/>
      <c r="P38" s="2877"/>
      <c r="Q38" s="2878"/>
      <c r="R38" s="2879"/>
      <c r="S38" s="2914"/>
      <c r="T38" s="2833" t="s">
        <v>2356</v>
      </c>
      <c r="U38" s="2833"/>
      <c r="V38" s="2841"/>
    </row>
    <row r="39" spans="1:23" s="2845" customFormat="1" ht="13.15" customHeight="1">
      <c r="A39" s="2923">
        <v>9</v>
      </c>
      <c r="B39" s="2924" t="s">
        <v>2434</v>
      </c>
      <c r="C39" s="2889" t="e">
        <f>C38</f>
        <v>#DIV/0!</v>
      </c>
      <c r="D39" s="2924">
        <f>D38/(1+D34)^C36</f>
        <v>0</v>
      </c>
      <c r="E39" s="2924">
        <f>E38/(1+E34)^(C36+D36)</f>
        <v>0</v>
      </c>
      <c r="F39" s="2928"/>
      <c r="G39" s="2983"/>
      <c r="H39" s="2840"/>
      <c r="I39" s="2841"/>
      <c r="J39" s="3803"/>
      <c r="K39" s="3805"/>
      <c r="L39" s="2875"/>
      <c r="M39" s="2876"/>
      <c r="N39" s="2852"/>
      <c r="O39" s="2877"/>
      <c r="P39" s="2877"/>
      <c r="Q39" s="2878"/>
      <c r="R39" s="2879"/>
      <c r="S39" s="2914"/>
      <c r="T39" s="2833"/>
      <c r="U39" s="2833"/>
      <c r="V39" s="2841"/>
    </row>
    <row r="40" spans="1:23" s="2845" customFormat="1" ht="13.15" customHeight="1">
      <c r="A40" s="2984">
        <v>10</v>
      </c>
      <c r="B40" s="2924" t="s">
        <v>2435</v>
      </c>
      <c r="C40" s="2985" t="e">
        <f>C39+D39+E39</f>
        <v>#DIV/0!</v>
      </c>
      <c r="D40" s="2986"/>
      <c r="E40" s="2986"/>
      <c r="F40" s="2987"/>
      <c r="G40" s="2922"/>
      <c r="H40" s="2840"/>
      <c r="I40" s="2841"/>
      <c r="J40" s="3803"/>
      <c r="K40" s="3806"/>
      <c r="L40" s="2895" t="s">
        <v>2374</v>
      </c>
      <c r="M40" s="2896"/>
      <c r="N40" s="2896"/>
      <c r="O40" s="2897"/>
      <c r="P40" s="2897"/>
      <c r="Q40" s="2898"/>
      <c r="R40" s="2844">
        <f>SUM(R37:R39)</f>
        <v>0</v>
      </c>
      <c r="S40" s="2914"/>
      <c r="T40" s="2833"/>
      <c r="U40" s="2833"/>
      <c r="V40" s="2841"/>
    </row>
    <row r="41" spans="1:23" s="2845" customFormat="1" ht="13.15" customHeight="1" thickBot="1">
      <c r="A41" s="2988">
        <v>11</v>
      </c>
      <c r="B41" s="2989" t="s">
        <v>2436</v>
      </c>
      <c r="C41" s="2989" t="e">
        <f>ROUND(C40*10000/B4,0)</f>
        <v>#DIV/0!</v>
      </c>
      <c r="D41" s="2990"/>
      <c r="E41" s="2990"/>
      <c r="F41" s="2991"/>
      <c r="G41" s="2992"/>
      <c r="H41" s="2840"/>
      <c r="I41" s="2841"/>
      <c r="J41" s="2936">
        <v>2</v>
      </c>
      <c r="K41" s="2937" t="s">
        <v>2414</v>
      </c>
      <c r="L41" s="2938"/>
      <c r="M41" s="2938"/>
      <c r="N41" s="2938"/>
      <c r="O41" s="2938"/>
      <c r="P41" s="2939"/>
      <c r="Q41" s="2940"/>
      <c r="R41" s="2911">
        <f>ROUND(R40*Q41,0)</f>
        <v>0</v>
      </c>
      <c r="S41" s="2914"/>
      <c r="T41" s="2833"/>
      <c r="U41" s="2948"/>
      <c r="V41" s="2841"/>
    </row>
    <row r="42" spans="1:23" s="2845" customFormat="1" ht="13.15" customHeight="1">
      <c r="G42" s="2992"/>
      <c r="H42" s="2840"/>
      <c r="I42" s="2841"/>
      <c r="J42" s="3807">
        <v>3</v>
      </c>
      <c r="K42" s="2943" t="s">
        <v>2416</v>
      </c>
      <c r="L42" s="2944"/>
      <c r="M42" s="2945"/>
      <c r="N42" s="2946" t="s">
        <v>2417</v>
      </c>
      <c r="O42" s="2946" t="s">
        <v>2418</v>
      </c>
      <c r="P42" s="2947" t="s">
        <v>2419</v>
      </c>
      <c r="Q42" s="2947" t="s">
        <v>2420</v>
      </c>
      <c r="R42" s="2850" t="s">
        <v>2345</v>
      </c>
      <c r="S42" s="2948"/>
      <c r="T42" s="2948"/>
      <c r="U42" s="2833"/>
      <c r="V42" s="2841"/>
    </row>
    <row r="43" spans="1:23" ht="13.15" customHeight="1">
      <c r="A43" s="2845"/>
      <c r="B43" s="2845"/>
      <c r="C43" s="2845"/>
      <c r="D43" s="2845"/>
      <c r="E43" s="2845"/>
      <c r="F43" s="2845"/>
      <c r="I43" s="2828"/>
      <c r="J43" s="3808"/>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2423</v>
      </c>
      <c r="L44" s="2996" t="s">
        <v>2424</v>
      </c>
      <c r="M44" s="2959"/>
      <c r="N44" s="2996" t="s">
        <v>2425</v>
      </c>
      <c r="O44" s="2959"/>
      <c r="P44" s="2996" t="s">
        <v>2426</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1658</v>
      </c>
      <c r="B1" s="1860"/>
      <c r="C1" s="1860"/>
      <c r="D1" s="1860"/>
      <c r="E1" s="1861"/>
      <c r="F1" s="2699"/>
      <c r="G1" s="1481"/>
      <c r="H1" s="1481"/>
      <c r="I1" s="1481"/>
      <c r="J1" s="1481"/>
      <c r="K1" s="1481"/>
      <c r="L1" s="1481"/>
      <c r="M1" s="1481"/>
      <c r="N1" s="1481"/>
      <c r="O1" s="1481"/>
      <c r="P1" s="1481"/>
      <c r="Q1" s="1481"/>
      <c r="R1" s="1481"/>
      <c r="S1" s="1481"/>
    </row>
    <row r="2" spans="1:22" ht="15.75">
      <c r="A2" s="1862" t="s">
        <v>1462</v>
      </c>
      <c r="B2" s="1863">
        <f ca="1">SUMIF(B6:B13,"&lt;&gt;#ref!",B6:B13)</f>
        <v>157943</v>
      </c>
      <c r="C2" s="1864" t="s">
        <v>1651</v>
      </c>
      <c r="D2" s="1865" t="s">
        <v>1652</v>
      </c>
      <c r="E2" s="2599">
        <f>SUM(E6:E13)</f>
        <v>103664.12</v>
      </c>
      <c r="F2" s="2699"/>
      <c r="G2" s="1481"/>
      <c r="H2" s="1481"/>
      <c r="I2" s="1481"/>
      <c r="J2" s="1481"/>
      <c r="K2" s="1481"/>
      <c r="L2" s="1481"/>
      <c r="M2" s="1481"/>
      <c r="N2" s="1481"/>
      <c r="O2" s="1481"/>
      <c r="P2" s="1481"/>
      <c r="Q2" s="1481"/>
      <c r="R2" s="1481"/>
      <c r="S2" s="1481"/>
    </row>
    <row r="3" spans="1:22" ht="15.75">
      <c r="A3" s="1862" t="s">
        <v>686</v>
      </c>
      <c r="B3" s="2593">
        <f ca="1">ROUND(B2*10000/E2,0)</f>
        <v>15236</v>
      </c>
      <c r="C3" s="1864" t="s">
        <v>1659</v>
      </c>
      <c r="D3" s="2701"/>
      <c r="E3" s="2703"/>
      <c r="F3" s="2699"/>
      <c r="G3" s="1481"/>
      <c r="H3" s="1481"/>
      <c r="I3" s="1481"/>
      <c r="J3" s="1481"/>
      <c r="K3" s="1481"/>
      <c r="L3" s="1481"/>
      <c r="M3" s="1481"/>
      <c r="N3" s="1481"/>
      <c r="O3" s="1481"/>
      <c r="P3" s="1481"/>
      <c r="Q3" s="1481"/>
      <c r="R3" s="1481"/>
      <c r="S3" s="1481"/>
    </row>
    <row r="4" spans="1:22" ht="15.75">
      <c r="A4" s="2704"/>
      <c r="B4" s="2701"/>
      <c r="C4" s="2701"/>
      <c r="D4" s="2701"/>
      <c r="E4" s="2703"/>
      <c r="F4" s="2699"/>
      <c r="G4" s="1481"/>
      <c r="H4" s="1481"/>
      <c r="I4" s="1481"/>
      <c r="J4" s="1481"/>
      <c r="K4" s="1481"/>
      <c r="L4" s="1481"/>
      <c r="M4" s="1481"/>
      <c r="N4" s="1481"/>
      <c r="O4" s="1481"/>
      <c r="P4" s="1481"/>
      <c r="Q4" s="1481"/>
      <c r="R4" s="1481"/>
      <c r="S4" s="1481"/>
    </row>
    <row r="5" spans="1:22" ht="15">
      <c r="A5" s="2595" t="s">
        <v>1653</v>
      </c>
      <c r="B5" s="3822" t="s">
        <v>1654</v>
      </c>
      <c r="C5" s="3823"/>
      <c r="D5" s="2700"/>
      <c r="E5" s="1866" t="s">
        <v>1655</v>
      </c>
      <c r="F5" s="1867" t="s">
        <v>1656</v>
      </c>
      <c r="G5" s="1481"/>
      <c r="H5" s="1481"/>
      <c r="I5" s="1481"/>
      <c r="J5" s="1481"/>
      <c r="K5" s="1481"/>
      <c r="L5" s="1481"/>
      <c r="M5" s="1481"/>
      <c r="N5" s="1481"/>
      <c r="O5" s="1481"/>
      <c r="P5" s="1481"/>
      <c r="Q5" s="1481"/>
      <c r="R5" s="1481"/>
      <c r="S5" s="1481"/>
    </row>
    <row r="6" spans="1:22">
      <c r="A6" s="2596" t="str">
        <f>'数据-取费表'!AN6</f>
        <v>收益法</v>
      </c>
      <c r="B6" s="2594">
        <f ca="1">IF(F6="是",'数据-取费表'!AO6,0)</f>
        <v>115479</v>
      </c>
      <c r="C6" s="1864" t="s">
        <v>1651</v>
      </c>
      <c r="D6" s="2701"/>
      <c r="E6" s="2598">
        <f>IF(OR(A6=0,F6="否"),0,'数据-取费表'!K6+'数据-取费表'!S6)</f>
        <v>51900.97</v>
      </c>
      <c r="F6" s="1868" t="s">
        <v>1657</v>
      </c>
      <c r="G6" s="1481"/>
      <c r="H6" s="1481"/>
      <c r="I6" s="1481"/>
      <c r="J6" s="1481"/>
      <c r="K6" s="1481"/>
      <c r="L6" s="1481"/>
      <c r="M6" s="1481"/>
      <c r="N6" s="1481"/>
      <c r="O6" s="1481"/>
      <c r="P6" s="1481"/>
      <c r="Q6" s="1481"/>
      <c r="R6" s="1481"/>
      <c r="S6" s="1481"/>
    </row>
    <row r="7" spans="1:22">
      <c r="A7" s="2596" t="str">
        <f>'数据-取费表'!AN7</f>
        <v>收益法下</v>
      </c>
      <c r="B7" s="2594">
        <f ca="1">IF(F7="是",'数据-取费表'!AO7,0)</f>
        <v>42464</v>
      </c>
      <c r="C7" s="1864" t="s">
        <v>1651</v>
      </c>
      <c r="D7" s="2701"/>
      <c r="E7" s="2598">
        <f>IF(OR(A7=0,F7="否"),0,'数据-取费表'!K7+'数据-取费表'!S7)</f>
        <v>51763.15</v>
      </c>
      <c r="F7" s="1868" t="s">
        <v>1657</v>
      </c>
      <c r="G7" s="1481"/>
      <c r="H7" s="1481"/>
      <c r="I7" s="1481"/>
      <c r="J7" s="1481"/>
      <c r="K7" s="1481"/>
      <c r="L7" s="1481"/>
      <c r="M7" s="1481"/>
      <c r="N7" s="1481"/>
      <c r="O7" s="1481"/>
      <c r="P7" s="1481"/>
      <c r="Q7" s="1481"/>
      <c r="R7" s="1481"/>
      <c r="S7" s="1481"/>
    </row>
    <row r="8" spans="1:22">
      <c r="A8" s="2596">
        <f>'数据-取费表'!AN8</f>
        <v>0</v>
      </c>
      <c r="B8" s="2594" t="e">
        <f ca="1">IF(F8="是",'数据-取费表'!AO8,0)</f>
        <v>#REF!</v>
      </c>
      <c r="C8" s="1864" t="s">
        <v>1651</v>
      </c>
      <c r="D8" s="2701"/>
      <c r="E8" s="2598">
        <f>IF(OR(A8=0,F8="否"),0,'数据-取费表'!K8+'数据-取费表'!S8)</f>
        <v>0</v>
      </c>
      <c r="F8" s="1868" t="s">
        <v>1657</v>
      </c>
      <c r="G8" s="1481"/>
      <c r="H8" s="1481"/>
      <c r="I8" s="1481"/>
      <c r="J8" s="1481"/>
      <c r="K8" s="1481"/>
      <c r="L8" s="1481"/>
      <c r="M8" s="1481"/>
      <c r="N8" s="1481"/>
      <c r="O8" s="1481"/>
      <c r="P8" s="1481"/>
      <c r="Q8" s="1481"/>
      <c r="R8" s="1481"/>
      <c r="S8" s="1481"/>
    </row>
    <row r="9" spans="1:22">
      <c r="A9" s="2596">
        <f>'数据-取费表'!AN9</f>
        <v>0</v>
      </c>
      <c r="B9" s="2594" t="e">
        <f ca="1">IF(F9="是",'数据-取费表'!AO9,0)</f>
        <v>#REF!</v>
      </c>
      <c r="C9" s="1864" t="s">
        <v>1651</v>
      </c>
      <c r="D9" s="2701"/>
      <c r="E9" s="2598">
        <f>IF(OR(A9=0,F9="否"),0,'数据-取费表'!K9+'数据-取费表'!S9)</f>
        <v>0</v>
      </c>
      <c r="F9" s="1868" t="s">
        <v>1657</v>
      </c>
      <c r="G9" s="1481"/>
      <c r="H9" s="1481"/>
      <c r="I9" s="1481"/>
      <c r="J9" s="1481"/>
      <c r="K9" s="1481"/>
      <c r="L9" s="1481"/>
      <c r="M9" s="1481"/>
      <c r="N9" s="1481"/>
      <c r="O9" s="1481"/>
      <c r="P9" s="1481"/>
      <c r="Q9" s="1481"/>
      <c r="R9" s="1481"/>
      <c r="S9" s="1481"/>
    </row>
    <row r="10" spans="1:22">
      <c r="A10" s="2596">
        <f>'数据-取费表'!AN10</f>
        <v>0</v>
      </c>
      <c r="B10" s="2594" t="e">
        <f ca="1">IF(F10="是",'数据-取费表'!AO10,0)</f>
        <v>#REF!</v>
      </c>
      <c r="C10" s="1864" t="s">
        <v>1651</v>
      </c>
      <c r="D10" s="2701"/>
      <c r="E10" s="2598">
        <f>IF(OR(A10=0,F10="否"),0,'数据-取费表'!K10+'数据-取费表'!S10)</f>
        <v>0</v>
      </c>
      <c r="F10" s="1868" t="s">
        <v>1657</v>
      </c>
      <c r="G10" s="1481"/>
      <c r="H10" s="1481"/>
      <c r="I10" s="1481"/>
      <c r="J10" s="1481"/>
      <c r="K10" s="1481"/>
      <c r="L10" s="1481"/>
      <c r="M10" s="1481"/>
      <c r="N10" s="1481"/>
      <c r="O10" s="1481"/>
      <c r="P10" s="1481"/>
      <c r="Q10" s="1481"/>
      <c r="R10" s="1481"/>
      <c r="S10" s="1481"/>
    </row>
    <row r="11" spans="1:22">
      <c r="A11" s="2596">
        <f>'数据-取费表'!AN11</f>
        <v>0</v>
      </c>
      <c r="B11" s="2594" t="e">
        <f ca="1">IF(F11="是",'数据-取费表'!AO11,0)</f>
        <v>#REF!</v>
      </c>
      <c r="C11" s="1864" t="s">
        <v>1651</v>
      </c>
      <c r="D11" s="2701"/>
      <c r="E11" s="2598">
        <f>IF(OR(A11=0,F11="否"),0,'数据-取费表'!K11+'数据-取费表'!S11)</f>
        <v>0</v>
      </c>
      <c r="F11" s="1868" t="s">
        <v>1657</v>
      </c>
      <c r="G11" s="1481"/>
      <c r="H11" s="1481"/>
      <c r="I11" s="1481"/>
      <c r="J11" s="1481"/>
      <c r="K11" s="1481"/>
      <c r="L11" s="1481"/>
      <c r="M11" s="1481"/>
      <c r="N11" s="1481"/>
      <c r="O11" s="1481"/>
      <c r="P11" s="1481"/>
      <c r="Q11" s="1481"/>
      <c r="R11" s="1481"/>
      <c r="S11" s="1481"/>
    </row>
    <row r="12" spans="1:22">
      <c r="A12" s="2596">
        <f>'数据-取费表'!AN12</f>
        <v>0</v>
      </c>
      <c r="B12" s="2594" t="e">
        <f ca="1">IF(F12="是",'数据-取费表'!AO12,0)</f>
        <v>#REF!</v>
      </c>
      <c r="C12" s="1864" t="s">
        <v>1651</v>
      </c>
      <c r="D12" s="2701"/>
      <c r="E12" s="2598">
        <f>IF(OR(A12=0,F12="否"),0,'数据-取费表'!K12+'数据-取费表'!S12)</f>
        <v>0</v>
      </c>
      <c r="F12" s="1868" t="s">
        <v>1657</v>
      </c>
      <c r="G12" s="1481"/>
      <c r="H12" s="1481"/>
      <c r="I12" s="1481"/>
      <c r="J12" s="1481"/>
      <c r="K12" s="1481"/>
      <c r="L12" s="1481"/>
      <c r="M12" s="1481"/>
      <c r="N12" s="1481"/>
      <c r="O12" s="1481"/>
      <c r="P12" s="1481"/>
      <c r="Q12" s="1481"/>
      <c r="R12" s="1481"/>
      <c r="S12" s="1481"/>
    </row>
    <row r="13" spans="1:22" ht="15" thickBot="1">
      <c r="A13" s="2597">
        <f>'数据-取费表'!AN13</f>
        <v>0</v>
      </c>
      <c r="B13" s="2594" t="e">
        <f ca="1">IF(F13="是",'数据-取费表'!AO13,0)</f>
        <v>#REF!</v>
      </c>
      <c r="C13" s="1869" t="s">
        <v>1651</v>
      </c>
      <c r="D13" s="2702"/>
      <c r="E13" s="2598">
        <f>IF(OR(A13=0,F13="否"),0,'数据-取费表'!K13+'数据-取费表'!S13)</f>
        <v>0</v>
      </c>
      <c r="F13" s="1868"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受贵公司委托，我公司对北京市丰台区四合庄路6号院1-3号楼房地产抵押价值进行了预评估。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估价对象为北京市丰台区四合庄路6号院1-3号楼房地产，为所有。根据《国有土地使用证》[]，估价对象（分摊）出让国有建设用地使用权面积为22117.26平方米，建筑面积为103664.12平方米。</v>
      </c>
    </row>
    <row r="8" spans="1:1" ht="57.75">
      <c r="A8" s="1475" t="s">
        <v>901</v>
      </c>
    </row>
    <row r="9" spans="1:1" ht="18.75">
      <c r="A9" s="1474" t="s">
        <v>902</v>
      </c>
    </row>
    <row r="10" spans="1:1" ht="54">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合庄路6号院1-3号楼房地产,属开发建设的，该项目尚在开发建设中。根据《国有土地使用证》[]，估价对象（分摊）出让国有建设用地使用权面积为22117.26平方米，规划建筑面积为103664.12平方米。</v>
      </c>
    </row>
    <row r="11" spans="1:1" ht="76.5">
      <c r="A11" s="1475" t="s">
        <v>903</v>
      </c>
    </row>
    <row r="12" spans="1:1" ht="18.75">
      <c r="A12" s="1473" t="s">
        <v>904</v>
      </c>
    </row>
    <row r="13" spans="1:1" ht="38.25" customHeight="1">
      <c r="A13" s="1476" t="str">
        <f>IF(项目基本情况!B8="抵押",IF(项目基本情况!B5=项目基本情况!B6,定义!C51,定义!B51),定义!D51)</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2024年4月19日（评估专业人员实地查勘之日）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19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0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870" t="s">
        <v>1661</v>
      </c>
      <c r="C1" s="1230" t="s">
        <v>1662</v>
      </c>
      <c r="D1" s="1217"/>
      <c r="E1" s="3418"/>
      <c r="F1" s="1871"/>
      <c r="G1" s="1227" t="s">
        <v>1663</v>
      </c>
      <c r="H1" s="1226"/>
      <c r="I1" s="1226"/>
      <c r="J1" s="1226"/>
      <c r="K1" s="1228"/>
      <c r="L1" s="1229"/>
      <c r="M1" s="1230"/>
      <c r="N1" s="1230"/>
      <c r="O1" s="1230"/>
      <c r="P1" s="1872"/>
      <c r="Q1" s="1216"/>
      <c r="R1" s="1216"/>
      <c r="S1" s="1216"/>
      <c r="T1" s="1216"/>
      <c r="U1" s="1216"/>
      <c r="V1" s="1216"/>
      <c r="W1" s="1216"/>
      <c r="X1" s="1216"/>
      <c r="Y1" s="1216"/>
      <c r="Z1" s="1216"/>
      <c r="AA1" s="1216"/>
      <c r="AB1" s="1216"/>
      <c r="AC1" s="1224"/>
    </row>
    <row r="2" spans="1:29" s="344" customFormat="1" ht="28.5" customHeight="1" thickTop="1">
      <c r="A2" s="1213" t="s">
        <v>685</v>
      </c>
      <c r="B2" s="3419" t="b">
        <f>IF(E1="项目模式",IF(C2="——",ROUND(C49*D3/10000,0),ROUND(C49*D3/10000,0)-D2),IF(E1="单套模式",IF(C2="——",ROUND(C49*D3/10000,4),ROUND(C49*D3/10000,4)-D2)))</f>
        <v>0</v>
      </c>
      <c r="C2" s="1873"/>
      <c r="D2" s="1107" t="e">
        <f ca="1">IF(E1="项目模式",SUMIF(INDIRECT("'"&amp;F2&amp;"'"&amp;"!A:A"),"承租人权益价值",INDIRECT("'"&amp;F2&amp;"'"&amp;"!c:c")),SUMIF(INDIRECT("'"&amp;F2&amp;"'"&amp;"!A:A"),"承租人权益价值（单套）",INDIRECT("'"&amp;F2&amp;"'"&amp;"!c:c")))</f>
        <v>#REF!</v>
      </c>
      <c r="E2" s="1874" t="s">
        <v>1664</v>
      </c>
      <c r="F2" s="1875"/>
      <c r="G2" s="899"/>
      <c r="H2" s="899"/>
      <c r="I2" s="899"/>
      <c r="J2" s="899"/>
      <c r="K2" s="1876"/>
      <c r="L2" s="2705"/>
      <c r="M2" s="2706"/>
      <c r="N2" s="2706"/>
      <c r="O2" s="2706"/>
      <c r="P2" s="1877"/>
      <c r="Q2" s="1878"/>
      <c r="R2" s="1878"/>
      <c r="S2" s="1878"/>
      <c r="T2" s="1878"/>
      <c r="U2" s="1878"/>
      <c r="V2" s="1878"/>
      <c r="W2" s="1878"/>
      <c r="X2" s="1878"/>
      <c r="Y2" s="1878"/>
      <c r="Z2" s="1878"/>
      <c r="AA2" s="1878"/>
      <c r="AB2" s="1878"/>
      <c r="AC2" s="1879"/>
    </row>
    <row r="3" spans="1:29" s="344" customFormat="1" ht="28.5" customHeight="1" thickBot="1">
      <c r="A3" s="200" t="s">
        <v>686</v>
      </c>
      <c r="B3" s="350">
        <f>IF(C2="——",C49,ROUND(B2*10000/D3,0))</f>
        <v>0</v>
      </c>
      <c r="C3" s="351" t="s">
        <v>1665</v>
      </c>
      <c r="D3" s="350">
        <f>IF(D1="",'数据-汇总表'!E3,SUMIF('数据-汇总表'!$C19:$C33,D1,'数据-汇总表'!$E19:$E33))</f>
        <v>103664.12</v>
      </c>
      <c r="E3" s="899"/>
      <c r="F3" s="1880"/>
      <c r="G3" s="899"/>
      <c r="H3" s="899"/>
      <c r="I3" s="899"/>
      <c r="J3" s="899"/>
      <c r="K3" s="1876"/>
      <c r="L3" s="2705"/>
      <c r="M3" s="2706"/>
      <c r="N3" s="2706"/>
      <c r="O3" s="2706"/>
      <c r="P3" s="1877"/>
      <c r="Q3" s="1878"/>
      <c r="R3" s="1878"/>
      <c r="S3" s="1878"/>
      <c r="T3" s="1878"/>
      <c r="U3" s="1878"/>
      <c r="V3" s="1878"/>
      <c r="W3" s="1878"/>
      <c r="X3" s="1878"/>
      <c r="Y3" s="1878"/>
      <c r="Z3" s="1878"/>
      <c r="AA3" s="1878"/>
      <c r="AB3" s="1878"/>
      <c r="AC3" s="1053"/>
    </row>
    <row r="4" spans="1:29" ht="15">
      <c r="A4" s="352" t="s">
        <v>1666</v>
      </c>
      <c r="B4" s="353"/>
      <c r="C4" s="3762" t="s">
        <v>1667</v>
      </c>
      <c r="D4" s="3763"/>
      <c r="E4" s="3764" t="s">
        <v>1668</v>
      </c>
      <c r="F4" s="3765"/>
      <c r="G4" s="3762" t="s">
        <v>1669</v>
      </c>
      <c r="H4" s="3763"/>
      <c r="I4" s="3762" t="s">
        <v>1670</v>
      </c>
      <c r="J4" s="3763"/>
      <c r="K4" s="1881" t="s">
        <v>1671</v>
      </c>
      <c r="L4" s="2707"/>
      <c r="M4" s="2708"/>
      <c r="N4" s="2708"/>
      <c r="O4" s="2708"/>
      <c r="P4" s="3828" t="s">
        <v>1672</v>
      </c>
      <c r="Q4" s="3829"/>
      <c r="R4" s="3832" t="s">
        <v>1668</v>
      </c>
      <c r="S4" s="3833"/>
      <c r="T4" s="3832" t="s">
        <v>1669</v>
      </c>
      <c r="U4" s="3833"/>
      <c r="V4" s="3779" t="s">
        <v>1670</v>
      </c>
      <c r="W4" s="3779"/>
      <c r="X4" s="1347"/>
      <c r="Y4" s="3832" t="s">
        <v>1672</v>
      </c>
      <c r="Z4" s="3833"/>
      <c r="AA4" s="3827" t="s">
        <v>1668</v>
      </c>
      <c r="AB4" s="3827" t="s">
        <v>1669</v>
      </c>
      <c r="AC4" s="3827" t="s">
        <v>1670</v>
      </c>
    </row>
    <row r="5" spans="1:29" ht="15">
      <c r="A5" s="355"/>
      <c r="B5" s="356"/>
      <c r="C5" s="3782" t="s">
        <v>1673</v>
      </c>
      <c r="D5" s="3783"/>
      <c r="E5" s="3793" t="s">
        <v>1674</v>
      </c>
      <c r="F5" s="3794"/>
      <c r="G5" s="3782" t="s">
        <v>1675</v>
      </c>
      <c r="H5" s="3783"/>
      <c r="I5" s="3782" t="s">
        <v>1676</v>
      </c>
      <c r="J5" s="3783"/>
      <c r="K5" s="1882"/>
      <c r="L5" s="2707"/>
      <c r="M5" s="2708"/>
      <c r="N5" s="2708"/>
      <c r="O5" s="2708"/>
      <c r="P5" s="3830"/>
      <c r="Q5" s="3769"/>
      <c r="R5" s="3774"/>
      <c r="S5" s="3775"/>
      <c r="T5" s="3774"/>
      <c r="U5" s="3775"/>
      <c r="V5" s="3779"/>
      <c r="W5" s="3779"/>
      <c r="X5" s="1347"/>
      <c r="Y5" s="3774"/>
      <c r="Z5" s="3775"/>
      <c r="AA5" s="3791"/>
      <c r="AB5" s="3791"/>
      <c r="AC5" s="3791"/>
    </row>
    <row r="6" spans="1:29" ht="15.75" thickBot="1">
      <c r="A6" s="357"/>
      <c r="B6" s="358"/>
      <c r="C6" s="3780" t="s">
        <v>1677</v>
      </c>
      <c r="D6" s="3781"/>
      <c r="E6" s="3788" t="s">
        <v>1677</v>
      </c>
      <c r="F6" s="3789"/>
      <c r="G6" s="3780" t="s">
        <v>1677</v>
      </c>
      <c r="H6" s="3781"/>
      <c r="I6" s="3780" t="s">
        <v>1677</v>
      </c>
      <c r="J6" s="3781"/>
      <c r="K6" s="1882" t="s">
        <v>1678</v>
      </c>
      <c r="L6" s="2707"/>
      <c r="M6" s="2708"/>
      <c r="N6" s="2708"/>
      <c r="O6" s="2708"/>
      <c r="P6" s="3831"/>
      <c r="Q6" s="3771"/>
      <c r="R6" s="3774"/>
      <c r="S6" s="3775"/>
      <c r="T6" s="3776"/>
      <c r="U6" s="3777"/>
      <c r="V6" s="3779"/>
      <c r="W6" s="3779"/>
      <c r="X6" s="1347"/>
      <c r="Y6" s="3776"/>
      <c r="Z6" s="3777"/>
      <c r="AA6" s="3792"/>
      <c r="AB6" s="3792"/>
      <c r="AC6" s="3792"/>
    </row>
    <row r="7" spans="1:29" s="108" customFormat="1" ht="15.75" thickBot="1">
      <c r="A7" s="359" t="s">
        <v>1679</v>
      </c>
      <c r="B7" s="360"/>
      <c r="C7" s="361">
        <f>'数据-取费表'!B2</f>
        <v>45401</v>
      </c>
      <c r="D7" s="362">
        <v>100</v>
      </c>
      <c r="E7" s="363"/>
      <c r="F7" s="364">
        <f>SUMIF(58:58,YEAR(E7)&amp;"-"&amp;MONTH(E7),59:59)</f>
        <v>0</v>
      </c>
      <c r="G7" s="363"/>
      <c r="H7" s="362">
        <f>SUMIF(58:58,YEAR(G7)&amp;"-"&amp;MONTH(G7),59:59)</f>
        <v>0</v>
      </c>
      <c r="I7" s="363"/>
      <c r="J7" s="362">
        <f>SUMIF(58:58,YEAR(I7)&amp;"-"&amp;MONTH(I7),59:59)</f>
        <v>0</v>
      </c>
      <c r="K7" s="1883"/>
      <c r="L7" s="2709"/>
      <c r="M7" s="2710"/>
      <c r="N7" s="2710"/>
      <c r="O7" s="2710"/>
      <c r="P7" s="3786" t="s">
        <v>1680</v>
      </c>
      <c r="Q7" s="3787"/>
      <c r="R7" s="697" t="s">
        <v>20</v>
      </c>
      <c r="S7" s="698">
        <f t="shared" ref="S7:S15" si="0">F7</f>
        <v>0</v>
      </c>
      <c r="T7" s="697" t="s">
        <v>20</v>
      </c>
      <c r="U7" s="698">
        <f t="shared" ref="U7:U15" si="1">H7</f>
        <v>0</v>
      </c>
      <c r="V7" s="697" t="s">
        <v>20</v>
      </c>
      <c r="W7" s="698">
        <f t="shared" ref="W7:W15" si="2">J7</f>
        <v>0</v>
      </c>
      <c r="X7" s="699"/>
      <c r="Y7" s="3786" t="s">
        <v>1680</v>
      </c>
      <c r="Z7" s="3785"/>
      <c r="AA7" s="700" t="e">
        <f>D7/F7</f>
        <v>#DIV/0!</v>
      </c>
      <c r="AB7" s="700" t="e">
        <f>D7/H7</f>
        <v>#DIV/0!</v>
      </c>
      <c r="AC7" s="700" t="e">
        <f>D7/J7</f>
        <v>#DIV/0!</v>
      </c>
    </row>
    <row r="8" spans="1:29" s="108" customFormat="1" ht="15.75" thickBot="1">
      <c r="A8" s="359" t="s">
        <v>1681</v>
      </c>
      <c r="B8" s="360"/>
      <c r="C8" s="365"/>
      <c r="D8" s="362">
        <v>100</v>
      </c>
      <c r="E8" s="1884"/>
      <c r="F8" s="364">
        <f>SUMIF(61:61,E8,62:62)-SUMIF(61:61,C8,62:62)+100</f>
        <v>100</v>
      </c>
      <c r="G8" s="365"/>
      <c r="H8" s="362">
        <f>SUMIF(61:61,G8,62:62)-SUMIF(61:61,C8,62:62)+100</f>
        <v>100</v>
      </c>
      <c r="I8" s="1884"/>
      <c r="J8" s="362">
        <f>SUMIF(61:61,I8,62:62)-SUMIF(61:61,C8,62:62)+100</f>
        <v>100</v>
      </c>
      <c r="K8" s="1883"/>
      <c r="L8" s="2709"/>
      <c r="M8" s="2710"/>
      <c r="N8" s="2710"/>
      <c r="O8" s="2710"/>
      <c r="P8" s="3786" t="s">
        <v>1683</v>
      </c>
      <c r="Q8" s="3785"/>
      <c r="R8" s="697" t="s">
        <v>20</v>
      </c>
      <c r="S8" s="698">
        <f t="shared" si="0"/>
        <v>100</v>
      </c>
      <c r="T8" s="697" t="s">
        <v>20</v>
      </c>
      <c r="U8" s="698">
        <f t="shared" si="1"/>
        <v>100</v>
      </c>
      <c r="V8" s="697" t="s">
        <v>20</v>
      </c>
      <c r="W8" s="698">
        <f t="shared" si="2"/>
        <v>100</v>
      </c>
      <c r="X8" s="699"/>
      <c r="Y8" s="3786" t="s">
        <v>1683</v>
      </c>
      <c r="Z8" s="3785"/>
      <c r="AA8" s="700">
        <f t="shared" ref="AA8:AA19" si="3">D8/F8</f>
        <v>1</v>
      </c>
      <c r="AB8" s="700">
        <f t="shared" ref="AB8:AB19" si="4">D8/H8</f>
        <v>1</v>
      </c>
      <c r="AC8" s="700">
        <f t="shared" ref="AC8:AC19" si="5">D8/J8</f>
        <v>1</v>
      </c>
    </row>
    <row r="9" spans="1:29" s="108" customFormat="1">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3"/>
      <c r="L9" s="2709"/>
      <c r="M9" s="2710"/>
      <c r="N9" s="2710"/>
      <c r="O9" s="2710"/>
      <c r="P9" s="3744" t="s">
        <v>1686</v>
      </c>
      <c r="Q9" s="1335" t="str">
        <f t="shared" ref="Q9:Q15" si="6">B9</f>
        <v>用途</v>
      </c>
      <c r="R9" s="697" t="s">
        <v>14</v>
      </c>
      <c r="S9" s="698">
        <f t="shared" si="0"/>
        <v>100</v>
      </c>
      <c r="T9" s="697" t="s">
        <v>14</v>
      </c>
      <c r="U9" s="698">
        <f t="shared" si="1"/>
        <v>100</v>
      </c>
      <c r="V9" s="697" t="s">
        <v>14</v>
      </c>
      <c r="W9" s="698">
        <f t="shared" si="2"/>
        <v>100</v>
      </c>
      <c r="X9" s="699"/>
      <c r="Y9" s="3651" t="s">
        <v>1687</v>
      </c>
      <c r="Z9" s="52" t="str">
        <f t="shared" ref="Z9:Z15" si="7">Q9</f>
        <v>用途</v>
      </c>
      <c r="AA9" s="700">
        <f t="shared" si="3"/>
        <v>1</v>
      </c>
      <c r="AB9" s="700">
        <f t="shared" si="4"/>
        <v>1</v>
      </c>
      <c r="AC9" s="700">
        <f t="shared" si="5"/>
        <v>1</v>
      </c>
    </row>
    <row r="10" spans="1:29" s="375" customFormat="1" ht="27">
      <c r="A10" s="371"/>
      <c r="B10" s="372" t="s">
        <v>1688</v>
      </c>
      <c r="C10" s="3426"/>
      <c r="D10" s="124">
        <v>100</v>
      </c>
      <c r="E10" s="3427"/>
      <c r="F10" s="373">
        <f>SUMIF(65:65,E10,66:66)-SUMIF(65:65,C10,66:66)+100</f>
        <v>100</v>
      </c>
      <c r="G10" s="3426"/>
      <c r="H10" s="124">
        <f>SUMIF(65:65,G10,66:66)-SUMIF(65:65,C10,66:66)+100</f>
        <v>100</v>
      </c>
      <c r="I10" s="3426"/>
      <c r="J10" s="124">
        <f>SUMIF(65:65,I10,66:66)-SUMIF(65:65,C10,66:66)+100</f>
        <v>100</v>
      </c>
      <c r="K10" s="1883"/>
      <c r="L10" s="2711"/>
      <c r="M10" s="2712"/>
      <c r="N10" s="2712"/>
      <c r="O10" s="2712"/>
      <c r="P10" s="3744"/>
      <c r="Q10" s="1335" t="str">
        <f t="shared" si="6"/>
        <v>土地使用年限（年）</v>
      </c>
      <c r="R10" s="697" t="s">
        <v>14</v>
      </c>
      <c r="S10" s="698">
        <f t="shared" si="0"/>
        <v>100</v>
      </c>
      <c r="T10" s="697" t="s">
        <v>14</v>
      </c>
      <c r="U10" s="698">
        <f t="shared" si="1"/>
        <v>100</v>
      </c>
      <c r="V10" s="697" t="s">
        <v>14</v>
      </c>
      <c r="W10" s="698">
        <f t="shared" si="2"/>
        <v>100</v>
      </c>
      <c r="X10" s="699"/>
      <c r="Y10" s="3651"/>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3"/>
      <c r="M11" s="2708"/>
      <c r="N11" s="2708"/>
      <c r="O11" s="2708"/>
      <c r="P11" s="3744"/>
      <c r="Q11" s="1335" t="str">
        <f t="shared" si="6"/>
        <v>容积率</v>
      </c>
      <c r="R11" s="697" t="s">
        <v>18</v>
      </c>
      <c r="S11" s="698" t="e">
        <f t="shared" si="0"/>
        <v>#N/A</v>
      </c>
      <c r="T11" s="697" t="s">
        <v>18</v>
      </c>
      <c r="U11" s="698" t="e">
        <f t="shared" si="1"/>
        <v>#N/A</v>
      </c>
      <c r="V11" s="697" t="s">
        <v>18</v>
      </c>
      <c r="W11" s="698" t="e">
        <f t="shared" si="2"/>
        <v>#N/A</v>
      </c>
      <c r="X11" s="699"/>
      <c r="Y11" s="3651"/>
      <c r="Z11" s="52" t="str">
        <f t="shared" si="7"/>
        <v>容积率</v>
      </c>
      <c r="AA11" s="700" t="e">
        <f t="shared" si="3"/>
        <v>#N/A</v>
      </c>
      <c r="AB11" s="700" t="e">
        <f t="shared" si="4"/>
        <v>#N/A</v>
      </c>
      <c r="AC11" s="700" t="e">
        <f t="shared" si="5"/>
        <v>#N/A</v>
      </c>
    </row>
    <row r="12" spans="1:29" s="108" customFormat="1" ht="15">
      <c r="A12" s="379"/>
      <c r="B12" s="1885">
        <v>111</v>
      </c>
      <c r="C12" s="380"/>
      <c r="D12" s="381">
        <v>100</v>
      </c>
      <c r="E12" s="380"/>
      <c r="F12" s="373">
        <f>SUMIF(70:70,E12,71:71)-SUMIF(70:70,C12,71:71)+100</f>
        <v>100</v>
      </c>
      <c r="G12" s="380"/>
      <c r="H12" s="124">
        <f>SUMIF(70:70,G12,71:71)-SUMIF(70:70,C12,71:71)+100</f>
        <v>100</v>
      </c>
      <c r="I12" s="380"/>
      <c r="J12" s="124">
        <f>SUMIF(70:70,I12,71:71)-SUMIF(70:70,C12,71:71)+100</f>
        <v>100</v>
      </c>
      <c r="K12" s="1886"/>
      <c r="L12" s="2709"/>
      <c r="M12" s="2710"/>
      <c r="N12" s="2710"/>
      <c r="O12" s="2710"/>
      <c r="P12" s="3744"/>
      <c r="Q12" s="1335">
        <f t="shared" si="6"/>
        <v>111</v>
      </c>
      <c r="R12" s="697" t="s">
        <v>18</v>
      </c>
      <c r="S12" s="698">
        <f t="shared" si="0"/>
        <v>100</v>
      </c>
      <c r="T12" s="697" t="s">
        <v>18</v>
      </c>
      <c r="U12" s="698">
        <f t="shared" si="1"/>
        <v>100</v>
      </c>
      <c r="V12" s="697" t="s">
        <v>18</v>
      </c>
      <c r="W12" s="698">
        <f t="shared" si="2"/>
        <v>100</v>
      </c>
      <c r="X12" s="699"/>
      <c r="Y12" s="3651"/>
      <c r="Z12" s="52">
        <f t="shared" si="7"/>
        <v>111</v>
      </c>
      <c r="AA12" s="700">
        <f>D12/F12</f>
        <v>1</v>
      </c>
      <c r="AB12" s="700">
        <f>D12/H12</f>
        <v>1</v>
      </c>
      <c r="AC12" s="700">
        <f>D12/J12</f>
        <v>1</v>
      </c>
    </row>
    <row r="13" spans="1:29" ht="15">
      <c r="A13" s="376"/>
      <c r="B13" s="1885">
        <v>111</v>
      </c>
      <c r="C13" s="382"/>
      <c r="D13" s="383">
        <v>100</v>
      </c>
      <c r="E13" s="382"/>
      <c r="F13" s="373">
        <f>SUMIF(72:72,E13,73:73)-SUMIF(72:72,C13,73:73)+100</f>
        <v>100</v>
      </c>
      <c r="G13" s="382"/>
      <c r="H13" s="383">
        <f>SUMIF(72:72,G13,73:73)-SUMIF(72:72,C13,73:73)+100</f>
        <v>100</v>
      </c>
      <c r="I13" s="382"/>
      <c r="J13" s="383">
        <f>SUMIF(72:72,I13,73:73)-SUMIF(72:72,C13,73:73)+100</f>
        <v>100</v>
      </c>
      <c r="K13" s="1886"/>
      <c r="L13" s="2714"/>
      <c r="M13" s="2708"/>
      <c r="N13" s="2708"/>
      <c r="O13" s="2708"/>
      <c r="P13" s="3744"/>
      <c r="Q13" s="1335">
        <f t="shared" si="6"/>
        <v>111</v>
      </c>
      <c r="R13" s="697" t="s">
        <v>18</v>
      </c>
      <c r="S13" s="698">
        <f t="shared" si="0"/>
        <v>100</v>
      </c>
      <c r="T13" s="697" t="s">
        <v>18</v>
      </c>
      <c r="U13" s="698">
        <f t="shared" si="1"/>
        <v>100</v>
      </c>
      <c r="V13" s="697" t="s">
        <v>18</v>
      </c>
      <c r="W13" s="698">
        <f t="shared" si="2"/>
        <v>100</v>
      </c>
      <c r="X13" s="699"/>
      <c r="Y13" s="3651"/>
      <c r="Z13" s="52">
        <f t="shared" si="7"/>
        <v>111</v>
      </c>
      <c r="AA13" s="700">
        <f t="shared" si="3"/>
        <v>1</v>
      </c>
      <c r="AB13" s="700">
        <f t="shared" si="4"/>
        <v>1</v>
      </c>
      <c r="AC13" s="700">
        <f t="shared" si="5"/>
        <v>1</v>
      </c>
    </row>
    <row r="14" spans="1:29" ht="15.75" thickBot="1">
      <c r="A14" s="384"/>
      <c r="B14" s="1887">
        <v>111</v>
      </c>
      <c r="C14" s="385"/>
      <c r="D14" s="386">
        <v>100</v>
      </c>
      <c r="E14" s="385"/>
      <c r="F14" s="387">
        <f>SUMIF(74:74,E14,75:75)-SUMIF(74:74,C14,75:75)+100</f>
        <v>100</v>
      </c>
      <c r="G14" s="385"/>
      <c r="H14" s="386">
        <f>SUMIF(74:74,G14,75:75)-SUMIF(74:74,C14,75:75)+100</f>
        <v>100</v>
      </c>
      <c r="I14" s="385"/>
      <c r="J14" s="386">
        <f>SUMIF(74:74,I14,75:75)-SUMIF(74:74,C14,75:75)+100</f>
        <v>100</v>
      </c>
      <c r="K14" s="1886"/>
      <c r="L14" s="2714"/>
      <c r="M14" s="2708"/>
      <c r="N14" s="2708"/>
      <c r="O14" s="2708"/>
      <c r="P14" s="3744"/>
      <c r="Q14" s="1335">
        <f t="shared" si="6"/>
        <v>111</v>
      </c>
      <c r="R14" s="697" t="s">
        <v>18</v>
      </c>
      <c r="S14" s="698">
        <f t="shared" si="0"/>
        <v>100</v>
      </c>
      <c r="T14" s="697" t="s">
        <v>18</v>
      </c>
      <c r="U14" s="698">
        <f t="shared" si="1"/>
        <v>100</v>
      </c>
      <c r="V14" s="697" t="s">
        <v>18</v>
      </c>
      <c r="W14" s="698">
        <f t="shared" si="2"/>
        <v>100</v>
      </c>
      <c r="X14" s="699"/>
      <c r="Y14" s="3651"/>
      <c r="Z14" s="52">
        <f t="shared" si="7"/>
        <v>111</v>
      </c>
      <c r="AA14" s="700">
        <f t="shared" si="3"/>
        <v>1</v>
      </c>
      <c r="AB14" s="700">
        <f t="shared" si="4"/>
        <v>1</v>
      </c>
      <c r="AC14" s="700">
        <f t="shared" si="5"/>
        <v>1</v>
      </c>
    </row>
    <row r="15" spans="1:29" ht="85.5">
      <c r="A15" s="388" t="s">
        <v>1690</v>
      </c>
      <c r="B15" s="61" t="s">
        <v>1257</v>
      </c>
      <c r="C15" s="1888"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4"/>
      <c r="M15" s="2708"/>
      <c r="N15" s="2708"/>
      <c r="O15" s="2708"/>
      <c r="P15" s="3750" t="s">
        <v>1691</v>
      </c>
      <c r="Q15" s="1344" t="str">
        <f t="shared" si="6"/>
        <v>居住社区成熟度</v>
      </c>
      <c r="R15" s="701" t="s">
        <v>18</v>
      </c>
      <c r="S15" s="702">
        <f t="shared" si="0"/>
        <v>100</v>
      </c>
      <c r="T15" s="701" t="s">
        <v>18</v>
      </c>
      <c r="U15" s="702">
        <f t="shared" si="1"/>
        <v>100</v>
      </c>
      <c r="V15" s="701" t="s">
        <v>18</v>
      </c>
      <c r="W15" s="702">
        <f t="shared" si="2"/>
        <v>100</v>
      </c>
      <c r="X15" s="1347"/>
      <c r="Y15" s="3752" t="s">
        <v>1691</v>
      </c>
      <c r="Z15" s="1348" t="str">
        <f t="shared" si="7"/>
        <v>居住社区成熟度</v>
      </c>
      <c r="AA15" s="1345">
        <f t="shared" si="3"/>
        <v>1</v>
      </c>
      <c r="AB15" s="1345">
        <f t="shared" si="4"/>
        <v>1</v>
      </c>
      <c r="AC15" s="1345">
        <f t="shared" si="5"/>
        <v>1</v>
      </c>
    </row>
    <row r="16" spans="1:29" ht="15">
      <c r="A16" s="376"/>
      <c r="B16" s="394"/>
      <c r="C16" s="395"/>
      <c r="D16" s="396"/>
      <c r="E16" s="1889"/>
      <c r="F16" s="396"/>
      <c r="G16" s="1890"/>
      <c r="H16" s="398"/>
      <c r="I16" s="1890"/>
      <c r="J16" s="396"/>
      <c r="K16" s="1891"/>
      <c r="L16" s="2714"/>
      <c r="M16" s="2708"/>
      <c r="N16" s="2708"/>
      <c r="O16" s="2708"/>
      <c r="P16" s="3751"/>
      <c r="Q16" s="1344"/>
      <c r="R16" s="701"/>
      <c r="S16" s="702"/>
      <c r="T16" s="701"/>
      <c r="U16" s="702"/>
      <c r="V16" s="701"/>
      <c r="W16" s="702"/>
      <c r="X16" s="1347"/>
      <c r="Y16" s="3753"/>
      <c r="Z16" s="1348"/>
      <c r="AA16" s="1345">
        <v>1</v>
      </c>
      <c r="AB16" s="1345">
        <v>1</v>
      </c>
      <c r="AC16" s="1345">
        <v>1</v>
      </c>
    </row>
    <row r="17" spans="1:29" ht="71.25">
      <c r="A17" s="376"/>
      <c r="B17" s="399" t="s">
        <v>1259</v>
      </c>
      <c r="C17" s="1892"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4"/>
      <c r="M17" s="2708"/>
      <c r="N17" s="2708"/>
      <c r="O17" s="2708"/>
      <c r="P17" s="3751"/>
      <c r="Q17" s="1344" t="str">
        <f>B17</f>
        <v>交通便捷度</v>
      </c>
      <c r="R17" s="701" t="s">
        <v>18</v>
      </c>
      <c r="S17" s="702">
        <f>F17</f>
        <v>100</v>
      </c>
      <c r="T17" s="701" t="s">
        <v>18</v>
      </c>
      <c r="U17" s="702">
        <f>H17</f>
        <v>100</v>
      </c>
      <c r="V17" s="701" t="s">
        <v>18</v>
      </c>
      <c r="W17" s="702">
        <f>J17</f>
        <v>100</v>
      </c>
      <c r="X17" s="1347"/>
      <c r="Y17" s="3753"/>
      <c r="Z17" s="1348" t="str">
        <f>Q17</f>
        <v>交通便捷度</v>
      </c>
      <c r="AA17" s="1345">
        <f t="shared" si="3"/>
        <v>1</v>
      </c>
      <c r="AB17" s="1345">
        <f t="shared" si="4"/>
        <v>1</v>
      </c>
      <c r="AC17" s="1345">
        <f t="shared" si="5"/>
        <v>1</v>
      </c>
    </row>
    <row r="18" spans="1:29" ht="15">
      <c r="A18" s="376"/>
      <c r="B18" s="404"/>
      <c r="C18" s="1893"/>
      <c r="D18" s="398"/>
      <c r="E18" s="1894"/>
      <c r="F18" s="398"/>
      <c r="G18" s="1895"/>
      <c r="H18" s="396"/>
      <c r="I18" s="1895"/>
      <c r="J18" s="396"/>
      <c r="K18" s="1891"/>
      <c r="L18" s="2714"/>
      <c r="M18" s="2708"/>
      <c r="N18" s="2708"/>
      <c r="O18" s="2708"/>
      <c r="P18" s="3751"/>
      <c r="Q18" s="1344"/>
      <c r="R18" s="701"/>
      <c r="S18" s="702"/>
      <c r="T18" s="701"/>
      <c r="U18" s="702"/>
      <c r="V18" s="701"/>
      <c r="W18" s="702"/>
      <c r="X18" s="1347"/>
      <c r="Y18" s="3753"/>
      <c r="Z18" s="1348"/>
      <c r="AA18" s="1345">
        <v>1</v>
      </c>
      <c r="AB18" s="1345">
        <v>1</v>
      </c>
      <c r="AC18" s="1345">
        <v>1</v>
      </c>
    </row>
    <row r="19" spans="1:29" ht="42.75">
      <c r="A19" s="376"/>
      <c r="B19" s="399" t="s">
        <v>1258</v>
      </c>
      <c r="C19" s="1892"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4"/>
      <c r="M19" s="2708"/>
      <c r="N19" s="2708"/>
      <c r="O19" s="2708"/>
      <c r="P19" s="3751"/>
      <c r="Q19" s="1344" t="str">
        <f>B19</f>
        <v>公共配套设施</v>
      </c>
      <c r="R19" s="701" t="s">
        <v>18</v>
      </c>
      <c r="S19" s="702">
        <f>F19</f>
        <v>100</v>
      </c>
      <c r="T19" s="701" t="s">
        <v>18</v>
      </c>
      <c r="U19" s="702">
        <f>H19</f>
        <v>100</v>
      </c>
      <c r="V19" s="701" t="s">
        <v>18</v>
      </c>
      <c r="W19" s="702">
        <f>J19</f>
        <v>100</v>
      </c>
      <c r="X19" s="1347"/>
      <c r="Y19" s="3753"/>
      <c r="Z19" s="1348" t="str">
        <f>Q19</f>
        <v>公共配套设施</v>
      </c>
      <c r="AA19" s="1345">
        <f t="shared" si="3"/>
        <v>1</v>
      </c>
      <c r="AB19" s="1345">
        <f t="shared" si="4"/>
        <v>1</v>
      </c>
      <c r="AC19" s="1345">
        <f t="shared" si="5"/>
        <v>1</v>
      </c>
    </row>
    <row r="20" spans="1:29" ht="15">
      <c r="A20" s="376"/>
      <c r="B20" s="404"/>
      <c r="C20" s="395"/>
      <c r="D20" s="396"/>
      <c r="E20" s="1889"/>
      <c r="F20" s="396"/>
      <c r="G20" s="1890"/>
      <c r="H20" s="396"/>
      <c r="I20" s="1890"/>
      <c r="J20" s="396"/>
      <c r="K20" s="1891"/>
      <c r="L20" s="2714"/>
      <c r="M20" s="2708"/>
      <c r="N20" s="2708"/>
      <c r="O20" s="2708"/>
      <c r="P20" s="3751"/>
      <c r="Q20" s="1344"/>
      <c r="R20" s="701"/>
      <c r="S20" s="702"/>
      <c r="T20" s="701"/>
      <c r="U20" s="702"/>
      <c r="V20" s="701"/>
      <c r="W20" s="702"/>
      <c r="X20" s="1347"/>
      <c r="Y20" s="3753"/>
      <c r="Z20" s="1348"/>
      <c r="AA20" s="1345">
        <v>1</v>
      </c>
      <c r="AB20" s="1345">
        <v>1</v>
      </c>
      <c r="AC20" s="1345">
        <v>1</v>
      </c>
    </row>
    <row r="21" spans="1:29" ht="28.5">
      <c r="A21" s="376"/>
      <c r="B21" s="1123" t="s">
        <v>1260</v>
      </c>
      <c r="C21" s="1892"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4"/>
      <c r="M21" s="2708"/>
      <c r="N21" s="2708"/>
      <c r="O21" s="2708"/>
      <c r="P21" s="3751"/>
      <c r="Q21" s="1344" t="str">
        <f>B21</f>
        <v>基础设施水平</v>
      </c>
      <c r="R21" s="701" t="s">
        <v>14</v>
      </c>
      <c r="S21" s="702">
        <f>F21</f>
        <v>100</v>
      </c>
      <c r="T21" s="701" t="s">
        <v>14</v>
      </c>
      <c r="U21" s="702">
        <f>H21</f>
        <v>100</v>
      </c>
      <c r="V21" s="701" t="s">
        <v>14</v>
      </c>
      <c r="W21" s="702">
        <f>J21</f>
        <v>100</v>
      </c>
      <c r="X21" s="1347"/>
      <c r="Y21" s="3753"/>
      <c r="Z21" s="1348" t="str">
        <f>Q21</f>
        <v>基础设施水平</v>
      </c>
      <c r="AA21" s="1345">
        <f t="shared" ref="AA21" si="8">D21/F21</f>
        <v>1</v>
      </c>
      <c r="AB21" s="1345">
        <f t="shared" ref="AB21" si="9">D21/H21</f>
        <v>1</v>
      </c>
      <c r="AC21" s="1345">
        <f t="shared" ref="AC21" si="10">D21/J21</f>
        <v>1</v>
      </c>
    </row>
    <row r="22" spans="1:29" ht="15">
      <c r="A22" s="376"/>
      <c r="B22" s="1123"/>
      <c r="C22" s="1893"/>
      <c r="D22" s="396"/>
      <c r="E22" s="395"/>
      <c r="F22" s="396"/>
      <c r="G22" s="1896"/>
      <c r="H22" s="396"/>
      <c r="I22" s="395"/>
      <c r="J22" s="396"/>
      <c r="K22" s="1897"/>
      <c r="L22" s="2714"/>
      <c r="M22" s="2708"/>
      <c r="N22" s="2708"/>
      <c r="O22" s="2708"/>
      <c r="P22" s="3751"/>
      <c r="Q22" s="1344"/>
      <c r="R22" s="701"/>
      <c r="S22" s="702"/>
      <c r="T22" s="701"/>
      <c r="U22" s="702"/>
      <c r="V22" s="701"/>
      <c r="W22" s="702"/>
      <c r="X22" s="1347"/>
      <c r="Y22" s="3753"/>
      <c r="Z22" s="1348"/>
      <c r="AA22" s="1345">
        <v>1</v>
      </c>
      <c r="AB22" s="1345">
        <v>1</v>
      </c>
      <c r="AC22" s="1345">
        <v>1</v>
      </c>
    </row>
    <row r="23" spans="1:29" ht="42.75">
      <c r="A23" s="376"/>
      <c r="B23" s="399" t="s">
        <v>1261</v>
      </c>
      <c r="C23" s="1892"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4"/>
      <c r="M23" s="2708"/>
      <c r="N23" s="2708"/>
      <c r="O23" s="2708"/>
      <c r="P23" s="3751"/>
      <c r="Q23" s="1344" t="str">
        <f>B23</f>
        <v>自然及人文环境</v>
      </c>
      <c r="R23" s="701" t="s">
        <v>18</v>
      </c>
      <c r="S23" s="702">
        <f>F23</f>
        <v>100</v>
      </c>
      <c r="T23" s="701" t="s">
        <v>18</v>
      </c>
      <c r="U23" s="702">
        <f>H23</f>
        <v>100</v>
      </c>
      <c r="V23" s="701" t="s">
        <v>18</v>
      </c>
      <c r="W23" s="702">
        <f>J23</f>
        <v>100</v>
      </c>
      <c r="X23" s="1347"/>
      <c r="Y23" s="3753"/>
      <c r="Z23" s="1348" t="str">
        <f>Q23</f>
        <v>自然及人文环境</v>
      </c>
      <c r="AA23" s="1345">
        <f>D23/F23</f>
        <v>1</v>
      </c>
      <c r="AB23" s="1345">
        <f>D23/H23</f>
        <v>1</v>
      </c>
      <c r="AC23" s="1345">
        <f>D23/J23</f>
        <v>1</v>
      </c>
    </row>
    <row r="24" spans="1:29" ht="15">
      <c r="A24" s="376"/>
      <c r="B24" s="404"/>
      <c r="C24" s="395"/>
      <c r="D24" s="396"/>
      <c r="E24" s="1889"/>
      <c r="F24" s="396"/>
      <c r="G24" s="1890"/>
      <c r="H24" s="396"/>
      <c r="I24" s="1890"/>
      <c r="J24" s="396"/>
      <c r="K24" s="1891"/>
      <c r="L24" s="2714"/>
      <c r="M24" s="2708"/>
      <c r="N24" s="2708"/>
      <c r="O24" s="2708"/>
      <c r="P24" s="3751"/>
      <c r="Q24" s="1344"/>
      <c r="R24" s="701"/>
      <c r="S24" s="702"/>
      <c r="T24" s="701"/>
      <c r="U24" s="702"/>
      <c r="V24" s="701"/>
      <c r="W24" s="702"/>
      <c r="X24" s="1347"/>
      <c r="Y24" s="3753"/>
      <c r="Z24" s="1348"/>
      <c r="AA24" s="1345">
        <v>1</v>
      </c>
      <c r="AB24" s="1345">
        <v>1</v>
      </c>
      <c r="AC24" s="1345">
        <v>1</v>
      </c>
    </row>
    <row r="25" spans="1:29" ht="15">
      <c r="A25" s="376"/>
      <c r="B25" s="372" t="s">
        <v>1692</v>
      </c>
      <c r="C25" s="408"/>
      <c r="D25" s="383">
        <v>100</v>
      </c>
      <c r="E25" s="1898"/>
      <c r="F25" s="383">
        <f>SUMIF(86:86,E25,87:87)-SUMIF(86:86,C25,87:87)+100</f>
        <v>100</v>
      </c>
      <c r="G25" s="1899"/>
      <c r="H25" s="383">
        <f>SUMIF(86:86,G25,87:87)-SUMIF(86:86,C25,87:87)+100</f>
        <v>100</v>
      </c>
      <c r="I25" s="1899"/>
      <c r="J25" s="383">
        <f>SUMIF(86:86,I25,87:87)-SUMIF(86:86,C25,87:87)+100</f>
        <v>100</v>
      </c>
      <c r="K25" s="374"/>
      <c r="L25" s="2714"/>
      <c r="M25" s="2708"/>
      <c r="N25" s="2708"/>
      <c r="O25" s="2708"/>
      <c r="P25" s="3751"/>
      <c r="Q25" s="1344" t="str">
        <f t="shared" ref="Q25:Q46" si="11">B25</f>
        <v>楼层-1</v>
      </c>
      <c r="R25" s="701" t="s">
        <v>18</v>
      </c>
      <c r="S25" s="702">
        <f t="shared" ref="S25:S46" si="12">F25</f>
        <v>100</v>
      </c>
      <c r="T25" s="701" t="s">
        <v>18</v>
      </c>
      <c r="U25" s="702">
        <f t="shared" ref="U25:U46" si="13">H25</f>
        <v>100</v>
      </c>
      <c r="V25" s="701" t="s">
        <v>18</v>
      </c>
      <c r="W25" s="702">
        <f t="shared" ref="W25:W46" si="14">J25</f>
        <v>100</v>
      </c>
      <c r="X25" s="1347"/>
      <c r="Y25" s="3753"/>
      <c r="Z25" s="1348" t="str">
        <f>Q25</f>
        <v>楼层-1</v>
      </c>
      <c r="AA25" s="1345">
        <f t="shared" ref="AA25:AA46" si="15">D25/F25</f>
        <v>1</v>
      </c>
      <c r="AB25" s="1345">
        <f t="shared" ref="AB25:AB46" si="16">D25/H25</f>
        <v>1</v>
      </c>
      <c r="AC25" s="1345">
        <f t="shared" ref="AC25:AC46" si="17">D25/J25</f>
        <v>1</v>
      </c>
    </row>
    <row r="26" spans="1:29" ht="15">
      <c r="A26" s="376"/>
      <c r="B26" s="372" t="s">
        <v>1693</v>
      </c>
      <c r="C26" s="408"/>
      <c r="D26" s="383">
        <v>100</v>
      </c>
      <c r="E26" s="1898"/>
      <c r="F26" s="383">
        <f>SUMIF(88:88,E26,89:89)-SUMIF(88:88,C26,89:89)+100</f>
        <v>100</v>
      </c>
      <c r="G26" s="1899"/>
      <c r="H26" s="383">
        <f>SUMIF(88:88,G26,89:89)-SUMIF(88:88,C26,89:89)+100</f>
        <v>100</v>
      </c>
      <c r="I26" s="1899"/>
      <c r="J26" s="383">
        <f>SUMIF(88:88,I26,89:89)-SUMIF(88:88,C26,89:89)+100</f>
        <v>100</v>
      </c>
      <c r="K26" s="374"/>
      <c r="L26" s="2714"/>
      <c r="M26" s="2708"/>
      <c r="N26" s="2708"/>
      <c r="O26" s="2708"/>
      <c r="P26" s="3751"/>
      <c r="Q26" s="1344" t="str">
        <f t="shared" si="11"/>
        <v>朝向</v>
      </c>
      <c r="R26" s="701" t="s">
        <v>18</v>
      </c>
      <c r="S26" s="702">
        <f t="shared" si="12"/>
        <v>100</v>
      </c>
      <c r="T26" s="701" t="s">
        <v>18</v>
      </c>
      <c r="U26" s="702">
        <f t="shared" si="13"/>
        <v>100</v>
      </c>
      <c r="V26" s="701" t="s">
        <v>18</v>
      </c>
      <c r="W26" s="702">
        <f t="shared" si="14"/>
        <v>100</v>
      </c>
      <c r="X26" s="1347"/>
      <c r="Y26" s="3753"/>
      <c r="Z26" s="1348" t="str">
        <f>Q26</f>
        <v>朝向</v>
      </c>
      <c r="AA26" s="1345">
        <f t="shared" si="15"/>
        <v>1</v>
      </c>
      <c r="AB26" s="1345">
        <f t="shared" si="16"/>
        <v>1</v>
      </c>
      <c r="AC26" s="1345">
        <f t="shared" si="17"/>
        <v>1</v>
      </c>
    </row>
    <row r="27" spans="1:29" s="108" customFormat="1" ht="15">
      <c r="A27" s="379"/>
      <c r="B27" s="1125">
        <v>111</v>
      </c>
      <c r="C27" s="380"/>
      <c r="D27" s="410">
        <v>100</v>
      </c>
      <c r="E27" s="413"/>
      <c r="F27" s="410">
        <f>SUMIF(90:90,E27,91:91)-SUMIF(90:90,C27,91:91)+100</f>
        <v>100</v>
      </c>
      <c r="G27" s="411"/>
      <c r="H27" s="410">
        <f>SUMIF(90:90,G27,91:91)-SUMIF(90:90,C27,91:91)+100</f>
        <v>100</v>
      </c>
      <c r="I27" s="411"/>
      <c r="J27" s="410">
        <f>SUMIF(90:90,I27,91:91)-SUMIF(90:90,C27,91:91)+100</f>
        <v>100</v>
      </c>
      <c r="K27" s="1886"/>
      <c r="L27" s="2709"/>
      <c r="M27" s="2710"/>
      <c r="N27" s="2710"/>
      <c r="O27" s="2710"/>
      <c r="P27" s="3751"/>
      <c r="Q27" s="1335">
        <f t="shared" si="11"/>
        <v>111</v>
      </c>
      <c r="R27" s="697" t="s">
        <v>18</v>
      </c>
      <c r="S27" s="698">
        <f t="shared" si="12"/>
        <v>100</v>
      </c>
      <c r="T27" s="697" t="s">
        <v>18</v>
      </c>
      <c r="U27" s="698">
        <f t="shared" si="13"/>
        <v>100</v>
      </c>
      <c r="V27" s="697" t="s">
        <v>18</v>
      </c>
      <c r="W27" s="698">
        <f t="shared" si="14"/>
        <v>100</v>
      </c>
      <c r="X27" s="699"/>
      <c r="Y27" s="3753"/>
      <c r="Z27" s="52">
        <f>Q27</f>
        <v>111</v>
      </c>
      <c r="AA27" s="1345">
        <f t="shared" si="15"/>
        <v>1</v>
      </c>
      <c r="AB27" s="1345">
        <f t="shared" si="16"/>
        <v>1</v>
      </c>
      <c r="AC27" s="1345">
        <f t="shared" si="17"/>
        <v>1</v>
      </c>
    </row>
    <row r="28" spans="1:29" ht="15">
      <c r="A28" s="376"/>
      <c r="B28" s="1125">
        <v>111</v>
      </c>
      <c r="C28" s="382"/>
      <c r="D28" s="383">
        <v>100</v>
      </c>
      <c r="E28" s="382"/>
      <c r="F28" s="383">
        <f>SUMIF(92:92,E28,93:93)-SUMIF(92:92,C28,93:93)+100</f>
        <v>100</v>
      </c>
      <c r="G28" s="1900"/>
      <c r="H28" s="383">
        <f>SUMIF(92:92,G28,93:93)-SUMIF(92:92,C28,93:93)+100</f>
        <v>100</v>
      </c>
      <c r="I28" s="382"/>
      <c r="J28" s="383">
        <f>SUMIF(92:92,I28,93:93)-SUMIF(92:92,C28,93:93)+100</f>
        <v>100</v>
      </c>
      <c r="K28" s="1886"/>
      <c r="L28" s="2714"/>
      <c r="M28" s="2708"/>
      <c r="N28" s="2708"/>
      <c r="O28" s="2708"/>
      <c r="P28" s="3751"/>
      <c r="Q28" s="1344">
        <f t="shared" si="11"/>
        <v>111</v>
      </c>
      <c r="R28" s="701" t="s">
        <v>18</v>
      </c>
      <c r="S28" s="702">
        <f t="shared" si="12"/>
        <v>100</v>
      </c>
      <c r="T28" s="701" t="s">
        <v>18</v>
      </c>
      <c r="U28" s="702">
        <f t="shared" si="13"/>
        <v>100</v>
      </c>
      <c r="V28" s="701" t="s">
        <v>18</v>
      </c>
      <c r="W28" s="702">
        <f t="shared" si="14"/>
        <v>100</v>
      </c>
      <c r="X28" s="1347"/>
      <c r="Y28" s="3753"/>
      <c r="Z28" s="1348">
        <f t="shared" ref="Z28:Z46" si="18">Q28</f>
        <v>111</v>
      </c>
      <c r="AA28" s="1345">
        <f t="shared" si="15"/>
        <v>1</v>
      </c>
      <c r="AB28" s="1345">
        <f t="shared" si="16"/>
        <v>1</v>
      </c>
      <c r="AC28" s="1345">
        <f t="shared" si="17"/>
        <v>1</v>
      </c>
    </row>
    <row r="29" spans="1:29" ht="15">
      <c r="A29" s="376"/>
      <c r="B29" s="1125">
        <v>111</v>
      </c>
      <c r="C29" s="382"/>
      <c r="D29" s="383">
        <v>100</v>
      </c>
      <c r="E29" s="382"/>
      <c r="F29" s="383">
        <f>SUMIF(94:94,E29,95:95)-SUMIF(94:94,C29,95:95)+100</f>
        <v>100</v>
      </c>
      <c r="G29" s="1900"/>
      <c r="H29" s="383">
        <f>SUMIF(94:94,G29,95:95)-SUMIF(94:94,C29,95:95)+100</f>
        <v>100</v>
      </c>
      <c r="I29" s="382"/>
      <c r="J29" s="383">
        <f>SUMIF(94:94,I29,95:95)-SUMIF(94:94,C29,95:95)+100</f>
        <v>100</v>
      </c>
      <c r="K29" s="1886"/>
      <c r="L29" s="2714"/>
      <c r="M29" s="2708"/>
      <c r="N29" s="2708"/>
      <c r="O29" s="2708"/>
      <c r="P29" s="3751"/>
      <c r="Q29" s="1344">
        <f t="shared" si="11"/>
        <v>111</v>
      </c>
      <c r="R29" s="701" t="s">
        <v>18</v>
      </c>
      <c r="S29" s="702">
        <f t="shared" si="12"/>
        <v>100</v>
      </c>
      <c r="T29" s="701" t="s">
        <v>18</v>
      </c>
      <c r="U29" s="702">
        <f t="shared" si="13"/>
        <v>100</v>
      </c>
      <c r="V29" s="701" t="s">
        <v>18</v>
      </c>
      <c r="W29" s="702">
        <f t="shared" si="14"/>
        <v>100</v>
      </c>
      <c r="X29" s="1347"/>
      <c r="Y29" s="3753"/>
      <c r="Z29" s="1348">
        <f t="shared" si="18"/>
        <v>111</v>
      </c>
      <c r="AA29" s="1345">
        <f t="shared" si="15"/>
        <v>1</v>
      </c>
      <c r="AB29" s="1345">
        <f t="shared" si="16"/>
        <v>1</v>
      </c>
      <c r="AC29" s="1345">
        <f t="shared" si="17"/>
        <v>1</v>
      </c>
    </row>
    <row r="30" spans="1:29" ht="15">
      <c r="A30" s="376"/>
      <c r="B30" s="1125">
        <v>111</v>
      </c>
      <c r="C30" s="382"/>
      <c r="D30" s="383">
        <v>100</v>
      </c>
      <c r="E30" s="382"/>
      <c r="F30" s="383">
        <f>SUMIF(96:96,E30,97:97)-SUMIF(96:96,C30,97:97)+100</f>
        <v>100</v>
      </c>
      <c r="G30" s="1900"/>
      <c r="H30" s="383">
        <f>SUMIF(96:96,G30,97:97)-SUMIF(96:96,C30,97:97)+100</f>
        <v>100</v>
      </c>
      <c r="I30" s="382"/>
      <c r="J30" s="383">
        <f>SUMIF(96:96,I30,97:97)-SUMIF(96:96,C30,97:97)+100</f>
        <v>100</v>
      </c>
      <c r="K30" s="1886"/>
      <c r="L30" s="2714"/>
      <c r="M30" s="2708"/>
      <c r="N30" s="2708"/>
      <c r="O30" s="2708"/>
      <c r="P30" s="3751"/>
      <c r="Q30" s="1344">
        <f t="shared" si="11"/>
        <v>111</v>
      </c>
      <c r="R30" s="701" t="s">
        <v>18</v>
      </c>
      <c r="S30" s="702">
        <f t="shared" si="12"/>
        <v>100</v>
      </c>
      <c r="T30" s="701" t="s">
        <v>18</v>
      </c>
      <c r="U30" s="702">
        <f t="shared" si="13"/>
        <v>100</v>
      </c>
      <c r="V30" s="701" t="s">
        <v>18</v>
      </c>
      <c r="W30" s="702">
        <f t="shared" si="14"/>
        <v>100</v>
      </c>
      <c r="X30" s="1347"/>
      <c r="Y30" s="3753"/>
      <c r="Z30" s="1348">
        <f t="shared" si="18"/>
        <v>111</v>
      </c>
      <c r="AA30" s="1345">
        <f t="shared" si="15"/>
        <v>1</v>
      </c>
      <c r="AB30" s="1345">
        <f t="shared" si="16"/>
        <v>1</v>
      </c>
      <c r="AC30" s="1345">
        <f t="shared" si="17"/>
        <v>1</v>
      </c>
    </row>
    <row r="31" spans="1:29" ht="15.75" thickBot="1">
      <c r="A31" s="384"/>
      <c r="B31" s="1125">
        <v>111</v>
      </c>
      <c r="C31" s="385"/>
      <c r="D31" s="386">
        <v>100</v>
      </c>
      <c r="E31" s="385"/>
      <c r="F31" s="386">
        <f>SUMIF(98:98,E31,99:99)-SUMIF(98:98,C31,99:99)+100</f>
        <v>100</v>
      </c>
      <c r="G31" s="1901"/>
      <c r="H31" s="386">
        <f>SUMIF(98:98,G31,99:99)-SUMIF(98:98,C31,99:99)+100</f>
        <v>100</v>
      </c>
      <c r="I31" s="385"/>
      <c r="J31" s="386">
        <f>SUMIF(98:98,I31,99:99)-SUMIF(98:98,C31,99:99)+100</f>
        <v>100</v>
      </c>
      <c r="K31" s="1886"/>
      <c r="L31" s="2714"/>
      <c r="M31" s="2708"/>
      <c r="N31" s="2708"/>
      <c r="O31" s="2708"/>
      <c r="P31" s="3751"/>
      <c r="Q31" s="1344">
        <f t="shared" si="11"/>
        <v>111</v>
      </c>
      <c r="R31" s="701" t="s">
        <v>18</v>
      </c>
      <c r="S31" s="702">
        <f t="shared" si="12"/>
        <v>100</v>
      </c>
      <c r="T31" s="701" t="s">
        <v>18</v>
      </c>
      <c r="U31" s="702">
        <f t="shared" si="13"/>
        <v>100</v>
      </c>
      <c r="V31" s="701" t="s">
        <v>18</v>
      </c>
      <c r="W31" s="702">
        <f t="shared" si="14"/>
        <v>100</v>
      </c>
      <c r="X31" s="1347"/>
      <c r="Y31" s="3753"/>
      <c r="Z31" s="1348">
        <f t="shared" si="18"/>
        <v>111</v>
      </c>
      <c r="AA31" s="1345">
        <f t="shared" si="15"/>
        <v>1</v>
      </c>
      <c r="AB31" s="1345">
        <f t="shared" si="16"/>
        <v>1</v>
      </c>
      <c r="AC31" s="1345">
        <f t="shared" si="17"/>
        <v>1</v>
      </c>
    </row>
    <row r="32" spans="1:29" ht="15">
      <c r="A32" s="388" t="s">
        <v>1694</v>
      </c>
      <c r="B32" s="63" t="s">
        <v>1695</v>
      </c>
      <c r="C32" s="1902"/>
      <c r="D32" s="415">
        <v>100</v>
      </c>
      <c r="E32" s="1903"/>
      <c r="F32" s="409">
        <f>SUMIF(100:100,E32,101:101)-SUMIF(100:100,C32,101:101)+100</f>
        <v>100</v>
      </c>
      <c r="G32" s="1902"/>
      <c r="H32" s="415">
        <f>SUMIF(100:100,G32,101:101)-SUMIF(100:100,C32,101:101)+100</f>
        <v>100</v>
      </c>
      <c r="I32" s="1903"/>
      <c r="J32" s="383">
        <f>SUMIF(100:100,I32,101:101)-SUMIF(100:100,C32,101:101)+100</f>
        <v>100</v>
      </c>
      <c r="K32" s="374"/>
      <c r="L32" s="2714"/>
      <c r="M32" s="2708"/>
      <c r="N32" s="2708"/>
      <c r="O32" s="2708"/>
      <c r="P32" s="3754" t="s">
        <v>1696</v>
      </c>
      <c r="Q32" s="1344" t="str">
        <f t="shared" si="11"/>
        <v>建筑类型</v>
      </c>
      <c r="R32" s="701" t="s">
        <v>18</v>
      </c>
      <c r="S32" s="702">
        <f t="shared" si="12"/>
        <v>100</v>
      </c>
      <c r="T32" s="701" t="s">
        <v>18</v>
      </c>
      <c r="U32" s="702">
        <f t="shared" si="13"/>
        <v>100</v>
      </c>
      <c r="V32" s="701" t="s">
        <v>18</v>
      </c>
      <c r="W32" s="702">
        <f t="shared" si="14"/>
        <v>100</v>
      </c>
      <c r="X32" s="1347"/>
      <c r="Y32" s="3757" t="s">
        <v>1696</v>
      </c>
      <c r="Z32" s="1348" t="str">
        <f t="shared" si="18"/>
        <v>建筑类型</v>
      </c>
      <c r="AA32" s="1345">
        <f t="shared" si="15"/>
        <v>1</v>
      </c>
      <c r="AB32" s="1345">
        <f t="shared" si="16"/>
        <v>1</v>
      </c>
      <c r="AC32" s="1345">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86"/>
      <c r="L33" s="2713"/>
      <c r="M33" s="2715"/>
      <c r="N33" s="2715"/>
      <c r="O33" s="2715"/>
      <c r="P33" s="3755"/>
      <c r="Q33" s="703" t="str">
        <f t="shared" si="11"/>
        <v>项目建筑规模</v>
      </c>
      <c r="R33" s="704" t="s">
        <v>18</v>
      </c>
      <c r="S33" s="705" t="e">
        <f t="shared" si="12"/>
        <v>#N/A</v>
      </c>
      <c r="T33" s="704" t="s">
        <v>18</v>
      </c>
      <c r="U33" s="705" t="e">
        <f t="shared" si="13"/>
        <v>#N/A</v>
      </c>
      <c r="V33" s="704" t="s">
        <v>18</v>
      </c>
      <c r="W33" s="705" t="e">
        <f t="shared" si="14"/>
        <v>#N/A</v>
      </c>
      <c r="X33" s="706"/>
      <c r="Y33" s="3757"/>
      <c r="Z33" s="707" t="str">
        <f t="shared" si="18"/>
        <v>项目建筑规模</v>
      </c>
      <c r="AA33" s="1345" t="e">
        <f t="shared" si="15"/>
        <v>#N/A</v>
      </c>
      <c r="AB33" s="1345" t="e">
        <f t="shared" si="16"/>
        <v>#N/A</v>
      </c>
      <c r="AC33" s="1345" t="e">
        <f t="shared" si="17"/>
        <v>#N/A</v>
      </c>
    </row>
    <row r="34" spans="1:29" ht="15">
      <c r="A34" s="420"/>
      <c r="B34" s="372" t="s">
        <v>1698</v>
      </c>
      <c r="C34" s="1904"/>
      <c r="D34" s="383">
        <v>100</v>
      </c>
      <c r="E34" s="1905"/>
      <c r="F34" s="409">
        <f>SUMIF(105:105,E34,106:106)-SUMIF(105:105,C34,106:106)+100</f>
        <v>100</v>
      </c>
      <c r="G34" s="1904"/>
      <c r="H34" s="383">
        <f>SUMIF(105:105,G34,106:106)-SUMIF(105:105,C34,106:106)+100</f>
        <v>100</v>
      </c>
      <c r="I34" s="1905"/>
      <c r="J34" s="383">
        <f>SUMIF(105:105,I34,106:106)-SUMIF(105:105,C34,106:106)+100</f>
        <v>100</v>
      </c>
      <c r="K34" s="374"/>
      <c r="L34" s="2714"/>
      <c r="M34" s="2708"/>
      <c r="N34" s="2708"/>
      <c r="O34" s="2708"/>
      <c r="P34" s="3755"/>
      <c r="Q34" s="1344" t="str">
        <f t="shared" si="11"/>
        <v>建筑结构</v>
      </c>
      <c r="R34" s="701" t="s">
        <v>18</v>
      </c>
      <c r="S34" s="702">
        <f t="shared" si="12"/>
        <v>100</v>
      </c>
      <c r="T34" s="701" t="s">
        <v>18</v>
      </c>
      <c r="U34" s="702">
        <f t="shared" si="13"/>
        <v>100</v>
      </c>
      <c r="V34" s="701" t="s">
        <v>18</v>
      </c>
      <c r="W34" s="702">
        <f t="shared" si="14"/>
        <v>100</v>
      </c>
      <c r="X34" s="1347"/>
      <c r="Y34" s="3757"/>
      <c r="Z34" s="1348" t="str">
        <f t="shared" si="18"/>
        <v>建筑结构</v>
      </c>
      <c r="AA34" s="1345">
        <f t="shared" si="15"/>
        <v>1</v>
      </c>
      <c r="AB34" s="1345">
        <f t="shared" si="16"/>
        <v>1</v>
      </c>
      <c r="AC34" s="1345">
        <f t="shared" si="17"/>
        <v>1</v>
      </c>
    </row>
    <row r="35" spans="1:29" ht="15">
      <c r="A35" s="420"/>
      <c r="B35" s="372" t="s">
        <v>1699</v>
      </c>
      <c r="C35" s="1898"/>
      <c r="D35" s="383">
        <v>100</v>
      </c>
      <c r="E35" s="1899"/>
      <c r="F35" s="409">
        <f>SUMIF(107:107,E35,108:108)-SUMIF(107:107,C35,108:108)+100</f>
        <v>100</v>
      </c>
      <c r="G35" s="1898"/>
      <c r="H35" s="383">
        <f>SUMIF(107:107,G35,108:108)-SUMIF(107:107,C35,108:108)+100</f>
        <v>100</v>
      </c>
      <c r="I35" s="1899"/>
      <c r="J35" s="383">
        <f>SUMIF(107:107,I35,108:108)-SUMIF(107:107,C35,108:108)+100</f>
        <v>100</v>
      </c>
      <c r="K35" s="374"/>
      <c r="L35" s="2714"/>
      <c r="M35" s="2708"/>
      <c r="N35" s="2708"/>
      <c r="O35" s="2708"/>
      <c r="P35" s="3755"/>
      <c r="Q35" s="1344" t="str">
        <f t="shared" si="11"/>
        <v>建筑品质</v>
      </c>
      <c r="R35" s="701" t="s">
        <v>18</v>
      </c>
      <c r="S35" s="702">
        <f t="shared" si="12"/>
        <v>100</v>
      </c>
      <c r="T35" s="701" t="s">
        <v>18</v>
      </c>
      <c r="U35" s="702">
        <f t="shared" si="13"/>
        <v>100</v>
      </c>
      <c r="V35" s="701" t="s">
        <v>18</v>
      </c>
      <c r="W35" s="702">
        <f t="shared" si="14"/>
        <v>100</v>
      </c>
      <c r="X35" s="1347"/>
      <c r="Y35" s="3757"/>
      <c r="Z35" s="1348" t="str">
        <f t="shared" si="18"/>
        <v>建筑品质</v>
      </c>
      <c r="AA35" s="1345">
        <f t="shared" si="15"/>
        <v>1</v>
      </c>
      <c r="AB35" s="1345">
        <f t="shared" si="16"/>
        <v>1</v>
      </c>
      <c r="AC35" s="1345">
        <f t="shared" si="17"/>
        <v>1</v>
      </c>
    </row>
    <row r="36" spans="1:29" ht="15">
      <c r="A36" s="420"/>
      <c r="B36" s="372" t="s">
        <v>1700</v>
      </c>
      <c r="C36" s="1898"/>
      <c r="D36" s="383">
        <v>100</v>
      </c>
      <c r="E36" s="1899"/>
      <c r="F36" s="409">
        <f>SUMIF(109:109,E36,110:110)-SUMIF(109:109,C36,110:110)+100</f>
        <v>100</v>
      </c>
      <c r="G36" s="1898"/>
      <c r="H36" s="383">
        <f>SUMIF(109:109,G36,110:110)-SUMIF(109:109,C36,110:110)+100</f>
        <v>100</v>
      </c>
      <c r="I36" s="1899"/>
      <c r="J36" s="383">
        <f>SUMIF(109:109,I36,110:110)-SUMIF(109:109,C36,110:110)+100</f>
        <v>100</v>
      </c>
      <c r="K36" s="374"/>
      <c r="L36" s="2714"/>
      <c r="M36" s="2708"/>
      <c r="N36" s="2708"/>
      <c r="O36" s="2708"/>
      <c r="P36" s="3755"/>
      <c r="Q36" s="1344" t="str">
        <f t="shared" si="11"/>
        <v>公共部分装修</v>
      </c>
      <c r="R36" s="701" t="s">
        <v>18</v>
      </c>
      <c r="S36" s="702">
        <f t="shared" si="12"/>
        <v>100</v>
      </c>
      <c r="T36" s="701" t="s">
        <v>18</v>
      </c>
      <c r="U36" s="702">
        <f t="shared" si="13"/>
        <v>100</v>
      </c>
      <c r="V36" s="701" t="s">
        <v>18</v>
      </c>
      <c r="W36" s="702">
        <f t="shared" si="14"/>
        <v>100</v>
      </c>
      <c r="X36" s="1347"/>
      <c r="Y36" s="3757"/>
      <c r="Z36" s="1348" t="str">
        <f t="shared" si="18"/>
        <v>公共部分装修</v>
      </c>
      <c r="AA36" s="1345">
        <f t="shared" si="15"/>
        <v>1</v>
      </c>
      <c r="AB36" s="1345">
        <f t="shared" si="16"/>
        <v>1</v>
      </c>
      <c r="AC36" s="1345">
        <f t="shared" si="17"/>
        <v>1</v>
      </c>
    </row>
    <row r="37" spans="1:29" s="108"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09"/>
      <c r="M37" s="2710"/>
      <c r="N37" s="2710"/>
      <c r="O37" s="2710"/>
      <c r="P37" s="3755"/>
      <c r="Q37" s="1335" t="str">
        <f t="shared" si="11"/>
        <v>成新度</v>
      </c>
      <c r="R37" s="697" t="s">
        <v>18</v>
      </c>
      <c r="S37" s="698" t="e">
        <f t="shared" si="12"/>
        <v>#N/A</v>
      </c>
      <c r="T37" s="697" t="s">
        <v>18</v>
      </c>
      <c r="U37" s="698" t="e">
        <f t="shared" si="13"/>
        <v>#N/A</v>
      </c>
      <c r="V37" s="697" t="s">
        <v>18</v>
      </c>
      <c r="W37" s="698" t="e">
        <f t="shared" si="14"/>
        <v>#N/A</v>
      </c>
      <c r="X37" s="699"/>
      <c r="Y37" s="3757"/>
      <c r="Z37" s="52" t="str">
        <f t="shared" si="18"/>
        <v>成新度</v>
      </c>
      <c r="AA37" s="700" t="e">
        <f t="shared" si="15"/>
        <v>#N/A</v>
      </c>
      <c r="AB37" s="700" t="e">
        <f t="shared" si="16"/>
        <v>#N/A</v>
      </c>
      <c r="AC37" s="700" t="e">
        <f t="shared" si="17"/>
        <v>#N/A</v>
      </c>
    </row>
    <row r="38" spans="1:29" ht="15">
      <c r="A38" s="420"/>
      <c r="B38" s="372" t="s">
        <v>1702</v>
      </c>
      <c r="C38" s="1898"/>
      <c r="D38" s="383">
        <v>100</v>
      </c>
      <c r="E38" s="1899"/>
      <c r="F38" s="409">
        <f>SUMIF(114:114,E38,115:115)-SUMIF(114:114,C38,115:115)+100</f>
        <v>100</v>
      </c>
      <c r="G38" s="1898"/>
      <c r="H38" s="383">
        <f>SUMIF(114:114,G38,115:115)-SUMIF(114:114,C38,115:115)+100</f>
        <v>100</v>
      </c>
      <c r="I38" s="1899"/>
      <c r="J38" s="383">
        <f>SUMIF(114:114,I38,115:115)-SUMIF(114:114,C38,115:115)+100</f>
        <v>100</v>
      </c>
      <c r="K38" s="374"/>
      <c r="L38" s="2714"/>
      <c r="M38" s="2708"/>
      <c r="N38" s="2708"/>
      <c r="O38" s="2708"/>
      <c r="P38" s="3755" t="s">
        <v>1696</v>
      </c>
      <c r="Q38" s="1344" t="str">
        <f t="shared" si="11"/>
        <v>物业管理</v>
      </c>
      <c r="R38" s="701" t="s">
        <v>18</v>
      </c>
      <c r="S38" s="702">
        <f t="shared" si="12"/>
        <v>100</v>
      </c>
      <c r="T38" s="701" t="s">
        <v>18</v>
      </c>
      <c r="U38" s="702">
        <f t="shared" si="13"/>
        <v>100</v>
      </c>
      <c r="V38" s="701" t="s">
        <v>18</v>
      </c>
      <c r="W38" s="702">
        <f t="shared" si="14"/>
        <v>100</v>
      </c>
      <c r="X38" s="1347"/>
      <c r="Y38" s="3757" t="s">
        <v>1696</v>
      </c>
      <c r="Z38" s="1348" t="str">
        <f t="shared" si="18"/>
        <v>物业管理</v>
      </c>
      <c r="AA38" s="1345">
        <f t="shared" si="15"/>
        <v>1</v>
      </c>
      <c r="AB38" s="1345">
        <f t="shared" si="16"/>
        <v>1</v>
      </c>
      <c r="AC38" s="1345">
        <f t="shared" si="17"/>
        <v>1</v>
      </c>
    </row>
    <row r="39" spans="1:29" ht="15">
      <c r="A39" s="420"/>
      <c r="B39" s="372" t="s">
        <v>1703</v>
      </c>
      <c r="C39" s="1898"/>
      <c r="D39" s="383">
        <v>100</v>
      </c>
      <c r="E39" s="1899"/>
      <c r="F39" s="409">
        <f>SUMIF(116:116,E39,117:117)-SUMIF(116:116,C39,117:117)+100</f>
        <v>100</v>
      </c>
      <c r="G39" s="1898"/>
      <c r="H39" s="383">
        <f>SUMIF(116:116,G39,117:117)-SUMIF(116:116,C39,117:117)+100</f>
        <v>100</v>
      </c>
      <c r="I39" s="1899"/>
      <c r="J39" s="383">
        <f>SUMIF(116:116,I39,117:117)-SUMIF(116:116,C39,117:117)+100</f>
        <v>100</v>
      </c>
      <c r="K39" s="374"/>
      <c r="L39" s="2714"/>
      <c r="M39" s="2708"/>
      <c r="N39" s="2708"/>
      <c r="O39" s="2708"/>
      <c r="P39" s="3755"/>
      <c r="Q39" s="1344" t="str">
        <f t="shared" si="11"/>
        <v>市政基础设施</v>
      </c>
      <c r="R39" s="701" t="s">
        <v>18</v>
      </c>
      <c r="S39" s="702">
        <f t="shared" si="12"/>
        <v>100</v>
      </c>
      <c r="T39" s="701" t="s">
        <v>18</v>
      </c>
      <c r="U39" s="702">
        <f t="shared" si="13"/>
        <v>100</v>
      </c>
      <c r="V39" s="701" t="s">
        <v>18</v>
      </c>
      <c r="W39" s="702">
        <f t="shared" si="14"/>
        <v>100</v>
      </c>
      <c r="X39" s="1347"/>
      <c r="Y39" s="3757"/>
      <c r="Z39" s="1348" t="str">
        <f t="shared" si="18"/>
        <v>市政基础设施</v>
      </c>
      <c r="AA39" s="1345">
        <f t="shared" si="15"/>
        <v>1</v>
      </c>
      <c r="AB39" s="1345">
        <f t="shared" si="16"/>
        <v>1</v>
      </c>
      <c r="AC39" s="1345">
        <f t="shared" si="17"/>
        <v>1</v>
      </c>
    </row>
    <row r="40" spans="1:29" ht="15">
      <c r="A40" s="420"/>
      <c r="B40" s="372" t="s">
        <v>1704</v>
      </c>
      <c r="C40" s="1898"/>
      <c r="D40" s="383">
        <v>100</v>
      </c>
      <c r="E40" s="1899"/>
      <c r="F40" s="409">
        <f>SUMIF(118:118,E40,119:119)-SUMIF(118:118,C40,119:119)+100</f>
        <v>100</v>
      </c>
      <c r="G40" s="1898"/>
      <c r="H40" s="383">
        <f>SUMIF(118:118,G40,119:119)-SUMIF(118:118,C40,119:119)+100</f>
        <v>100</v>
      </c>
      <c r="I40" s="1899"/>
      <c r="J40" s="383">
        <f>SUMIF(118:118,I40,119:119)-SUMIF(118:118,C40,119:119)+100</f>
        <v>100</v>
      </c>
      <c r="K40" s="374"/>
      <c r="L40" s="2714"/>
      <c r="M40" s="2708"/>
      <c r="N40" s="2708"/>
      <c r="O40" s="2708"/>
      <c r="P40" s="3755"/>
      <c r="Q40" s="1344" t="str">
        <f t="shared" si="11"/>
        <v>房型</v>
      </c>
      <c r="R40" s="701" t="s">
        <v>18</v>
      </c>
      <c r="S40" s="702">
        <f t="shared" si="12"/>
        <v>100</v>
      </c>
      <c r="T40" s="701" t="s">
        <v>18</v>
      </c>
      <c r="U40" s="702">
        <f t="shared" si="13"/>
        <v>100</v>
      </c>
      <c r="V40" s="701" t="s">
        <v>18</v>
      </c>
      <c r="W40" s="702">
        <f t="shared" si="14"/>
        <v>100</v>
      </c>
      <c r="X40" s="1347"/>
      <c r="Y40" s="3757"/>
      <c r="Z40" s="1348" t="str">
        <f t="shared" si="18"/>
        <v>房型</v>
      </c>
      <c r="AA40" s="1345">
        <f t="shared" si="15"/>
        <v>1</v>
      </c>
      <c r="AB40" s="1345">
        <f t="shared" si="16"/>
        <v>1</v>
      </c>
      <c r="AC40" s="1345">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86"/>
      <c r="L41" s="2713"/>
      <c r="M41" s="2715"/>
      <c r="N41" s="2715"/>
      <c r="O41" s="2715"/>
      <c r="P41" s="3755"/>
      <c r="Q41" s="703" t="str">
        <f t="shared" si="11"/>
        <v>单套/主力户型建筑面积</v>
      </c>
      <c r="R41" s="704" t="s">
        <v>18</v>
      </c>
      <c r="S41" s="705">
        <f t="shared" si="12"/>
        <v>100</v>
      </c>
      <c r="T41" s="704" t="s">
        <v>18</v>
      </c>
      <c r="U41" s="705">
        <f t="shared" si="13"/>
        <v>100</v>
      </c>
      <c r="V41" s="704" t="s">
        <v>18</v>
      </c>
      <c r="W41" s="705">
        <f t="shared" si="14"/>
        <v>100</v>
      </c>
      <c r="X41" s="706"/>
      <c r="Y41" s="3757"/>
      <c r="Z41" s="707" t="str">
        <f t="shared" si="18"/>
        <v>单套/主力户型建筑面积</v>
      </c>
      <c r="AA41" s="1345">
        <f t="shared" si="15"/>
        <v>1</v>
      </c>
      <c r="AB41" s="1345">
        <f t="shared" si="16"/>
        <v>1</v>
      </c>
      <c r="AC41" s="1345">
        <f t="shared" si="17"/>
        <v>1</v>
      </c>
    </row>
    <row r="42" spans="1:29" ht="15">
      <c r="A42" s="420"/>
      <c r="B42" s="372" t="s">
        <v>1706</v>
      </c>
      <c r="C42" s="1898"/>
      <c r="D42" s="383">
        <v>100</v>
      </c>
      <c r="E42" s="1899"/>
      <c r="F42" s="409">
        <f>SUMIF(122:122,E42,123:123)-SUMIF(122:122,C42,123:123)+100</f>
        <v>100</v>
      </c>
      <c r="G42" s="1898"/>
      <c r="H42" s="383">
        <f>SUMIF(122:122,G42,123:123)-SUMIF(122:122,C42,123:123)+100</f>
        <v>100</v>
      </c>
      <c r="I42" s="1899"/>
      <c r="J42" s="383">
        <f>SUMIF(122:122,I42,123:123)-SUMIF(122:122,C42,123:123)+100</f>
        <v>100</v>
      </c>
      <c r="K42" s="374"/>
      <c r="L42" s="2714"/>
      <c r="M42" s="2708"/>
      <c r="N42" s="2708"/>
      <c r="O42" s="2708"/>
      <c r="P42" s="3755"/>
      <c r="Q42" s="1344" t="str">
        <f t="shared" si="11"/>
        <v>内部装修</v>
      </c>
      <c r="R42" s="701" t="s">
        <v>18</v>
      </c>
      <c r="S42" s="702">
        <f t="shared" si="12"/>
        <v>100</v>
      </c>
      <c r="T42" s="701" t="s">
        <v>18</v>
      </c>
      <c r="U42" s="702">
        <f t="shared" si="13"/>
        <v>100</v>
      </c>
      <c r="V42" s="701" t="s">
        <v>18</v>
      </c>
      <c r="W42" s="702">
        <f t="shared" si="14"/>
        <v>100</v>
      </c>
      <c r="X42" s="1347"/>
      <c r="Y42" s="3757"/>
      <c r="Z42" s="1348" t="str">
        <f t="shared" si="18"/>
        <v>内部装修</v>
      </c>
      <c r="AA42" s="1345">
        <f t="shared" si="15"/>
        <v>1</v>
      </c>
      <c r="AB42" s="1345">
        <f t="shared" si="16"/>
        <v>1</v>
      </c>
      <c r="AC42" s="1345">
        <f t="shared" si="17"/>
        <v>1</v>
      </c>
    </row>
    <row r="43" spans="1:29" ht="15">
      <c r="A43" s="420"/>
      <c r="B43" s="372" t="s">
        <v>1707</v>
      </c>
      <c r="C43" s="1898"/>
      <c r="D43" s="383">
        <v>100</v>
      </c>
      <c r="E43" s="1899"/>
      <c r="F43" s="409">
        <f>SUMIF(124:124,E43,125:125)-SUMIF(124:124,C43,125:125)+100</f>
        <v>100</v>
      </c>
      <c r="G43" s="1898"/>
      <c r="H43" s="383">
        <f>SUMIF(124:124,G43,125:125)-SUMIF(124:124,C43,125:125)+100</f>
        <v>100</v>
      </c>
      <c r="I43" s="1899"/>
      <c r="J43" s="383">
        <f>SUMIF(124:124,I43,125:125)-SUMIF(124:124,C43,125:125)+100</f>
        <v>100</v>
      </c>
      <c r="K43" s="374"/>
      <c r="L43" s="2714"/>
      <c r="M43" s="2708"/>
      <c r="N43" s="2708"/>
      <c r="O43" s="2708"/>
      <c r="P43" s="3755"/>
      <c r="Q43" s="1344" t="str">
        <f t="shared" si="11"/>
        <v>内部装修维护情况</v>
      </c>
      <c r="R43" s="701" t="s">
        <v>18</v>
      </c>
      <c r="S43" s="702">
        <f t="shared" si="12"/>
        <v>100</v>
      </c>
      <c r="T43" s="701" t="s">
        <v>18</v>
      </c>
      <c r="U43" s="702">
        <f t="shared" si="13"/>
        <v>100</v>
      </c>
      <c r="V43" s="701" t="s">
        <v>18</v>
      </c>
      <c r="W43" s="702">
        <f t="shared" si="14"/>
        <v>100</v>
      </c>
      <c r="X43" s="1347"/>
      <c r="Y43" s="3757"/>
      <c r="Z43" s="1348" t="str">
        <f t="shared" si="18"/>
        <v>内部装修维护情况</v>
      </c>
      <c r="AA43" s="1345">
        <f t="shared" si="15"/>
        <v>1</v>
      </c>
      <c r="AB43" s="1345">
        <f t="shared" si="16"/>
        <v>1</v>
      </c>
      <c r="AC43" s="1345">
        <f t="shared" si="17"/>
        <v>1</v>
      </c>
    </row>
    <row r="44" spans="1:29" s="108" customFormat="1" ht="15">
      <c r="A44" s="421"/>
      <c r="B44" s="1125">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86"/>
      <c r="L44" s="2709"/>
      <c r="M44" s="2710"/>
      <c r="N44" s="2710"/>
      <c r="O44" s="2710"/>
      <c r="P44" s="3755"/>
      <c r="Q44" s="1335">
        <f t="shared" si="11"/>
        <v>111</v>
      </c>
      <c r="R44" s="697" t="s">
        <v>18</v>
      </c>
      <c r="S44" s="698">
        <f t="shared" si="12"/>
        <v>100</v>
      </c>
      <c r="T44" s="697" t="s">
        <v>18</v>
      </c>
      <c r="U44" s="698">
        <f t="shared" si="13"/>
        <v>100</v>
      </c>
      <c r="V44" s="697" t="s">
        <v>18</v>
      </c>
      <c r="W44" s="698">
        <f t="shared" si="14"/>
        <v>100</v>
      </c>
      <c r="X44" s="699"/>
      <c r="Y44" s="3757"/>
      <c r="Z44" s="52">
        <f t="shared" si="18"/>
        <v>111</v>
      </c>
      <c r="AA44" s="700">
        <f t="shared" si="15"/>
        <v>1</v>
      </c>
      <c r="AB44" s="700">
        <f t="shared" si="16"/>
        <v>1</v>
      </c>
      <c r="AC44" s="700">
        <f t="shared" si="17"/>
        <v>1</v>
      </c>
    </row>
    <row r="45" spans="1:29" ht="15">
      <c r="A45" s="420"/>
      <c r="B45" s="1125">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6"/>
      <c r="L45" s="2714"/>
      <c r="M45" s="2708"/>
      <c r="N45" s="2708"/>
      <c r="O45" s="2708"/>
      <c r="P45" s="3755"/>
      <c r="Q45" s="1344">
        <f t="shared" si="11"/>
        <v>111</v>
      </c>
      <c r="R45" s="701" t="s">
        <v>18</v>
      </c>
      <c r="S45" s="702">
        <f t="shared" si="12"/>
        <v>100</v>
      </c>
      <c r="T45" s="701" t="s">
        <v>18</v>
      </c>
      <c r="U45" s="702">
        <f t="shared" si="13"/>
        <v>100</v>
      </c>
      <c r="V45" s="701" t="s">
        <v>18</v>
      </c>
      <c r="W45" s="702">
        <f t="shared" si="14"/>
        <v>100</v>
      </c>
      <c r="X45" s="1347"/>
      <c r="Y45" s="3757"/>
      <c r="Z45" s="1348">
        <f t="shared" si="18"/>
        <v>111</v>
      </c>
      <c r="AA45" s="1345">
        <f t="shared" si="15"/>
        <v>1</v>
      </c>
      <c r="AB45" s="1345">
        <f t="shared" si="16"/>
        <v>1</v>
      </c>
      <c r="AC45" s="1345">
        <f t="shared" si="17"/>
        <v>1</v>
      </c>
    </row>
    <row r="46" spans="1:29" ht="15.75" thickBot="1">
      <c r="A46" s="426"/>
      <c r="B46" s="1887">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6"/>
      <c r="L46" s="2714"/>
      <c r="M46" s="2708"/>
      <c r="N46" s="2708"/>
      <c r="O46" s="2708"/>
      <c r="P46" s="3756"/>
      <c r="Q46" s="1344">
        <f t="shared" si="11"/>
        <v>111</v>
      </c>
      <c r="R46" s="701" t="s">
        <v>17</v>
      </c>
      <c r="S46" s="702">
        <f t="shared" si="12"/>
        <v>100</v>
      </c>
      <c r="T46" s="701" t="s">
        <v>17</v>
      </c>
      <c r="U46" s="702">
        <f t="shared" si="13"/>
        <v>100</v>
      </c>
      <c r="V46" s="701" t="s">
        <v>17</v>
      </c>
      <c r="W46" s="702">
        <f t="shared" si="14"/>
        <v>100</v>
      </c>
      <c r="X46" s="1347"/>
      <c r="Y46" s="3758"/>
      <c r="Z46" s="1348">
        <f t="shared" si="18"/>
        <v>111</v>
      </c>
      <c r="AA46" s="1345">
        <f t="shared" si="15"/>
        <v>1</v>
      </c>
      <c r="AB46" s="1345">
        <f t="shared" si="16"/>
        <v>1</v>
      </c>
      <c r="AC46" s="1345">
        <f t="shared" si="17"/>
        <v>1</v>
      </c>
    </row>
    <row r="47" spans="1:29" ht="15">
      <c r="A47" s="427" t="s">
        <v>1708</v>
      </c>
      <c r="B47" s="428"/>
      <c r="C47" s="1146" t="s">
        <v>16</v>
      </c>
      <c r="D47" s="1147"/>
      <c r="E47" s="1148"/>
      <c r="F47" s="1149"/>
      <c r="G47" s="1150"/>
      <c r="H47" s="1151"/>
      <c r="I47" s="1148"/>
      <c r="J47" s="1151"/>
      <c r="K47" s="1906"/>
      <c r="L47" s="2716"/>
      <c r="M47" s="2717"/>
      <c r="N47" s="2708"/>
      <c r="O47" s="2717"/>
      <c r="P47" s="3745" t="str">
        <f>A47</f>
        <v>成交单价（元/平方米）</v>
      </c>
      <c r="Q47" s="3745"/>
      <c r="R47" s="3746">
        <f>E47</f>
        <v>0</v>
      </c>
      <c r="S47" s="3746"/>
      <c r="T47" s="3746">
        <f>G47</f>
        <v>0</v>
      </c>
      <c r="U47" s="3746"/>
      <c r="V47" s="3746">
        <f>I47</f>
        <v>0</v>
      </c>
      <c r="W47" s="3746"/>
      <c r="X47" s="686"/>
      <c r="Y47" s="708"/>
      <c r="Z47" s="686"/>
      <c r="AA47" s="686"/>
      <c r="AB47" s="686"/>
      <c r="AC47" s="686"/>
    </row>
    <row r="48" spans="1:29" ht="15.75" thickBot="1">
      <c r="A48" s="434" t="s">
        <v>1709</v>
      </c>
      <c r="B48" s="435"/>
      <c r="C48" s="1152" t="e">
        <f>R49</f>
        <v>#DIV/0!</v>
      </c>
      <c r="D48" s="2309" t="s">
        <v>2138</v>
      </c>
      <c r="E48" s="1153" t="e">
        <f>R48</f>
        <v>#DIV/0!</v>
      </c>
      <c r="F48" s="2310"/>
      <c r="G48" s="1152" t="e">
        <f>T48</f>
        <v>#DIV/0!</v>
      </c>
      <c r="H48" s="2310"/>
      <c r="I48" s="1153" t="e">
        <f>V48</f>
        <v>#DIV/0!</v>
      </c>
      <c r="J48" s="2310"/>
      <c r="K48" s="2311">
        <f>F48+H48+J48</f>
        <v>0</v>
      </c>
      <c r="L48" s="2716"/>
      <c r="M48" s="2717"/>
      <c r="N48" s="2717"/>
      <c r="O48" s="2717"/>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86"/>
      <c r="Y48" s="686"/>
      <c r="Z48" s="686"/>
      <c r="AA48" s="686"/>
      <c r="AB48" s="686"/>
      <c r="AC48" s="686"/>
    </row>
    <row r="49" spans="1:29" ht="15.75" thickBot="1">
      <c r="A49" s="438" t="s">
        <v>1710</v>
      </c>
      <c r="B49" s="439"/>
      <c r="C49" s="1154" t="e">
        <f>R49</f>
        <v>#DIV/0!</v>
      </c>
      <c r="D49" s="1155"/>
      <c r="E49" s="1155"/>
      <c r="F49" s="1155"/>
      <c r="G49" s="1155"/>
      <c r="H49" s="1155"/>
      <c r="I49" s="1155"/>
      <c r="J49" s="1155"/>
      <c r="K49" s="1907"/>
      <c r="L49" s="2716"/>
      <c r="M49" s="2717"/>
      <c r="N49" s="2717"/>
      <c r="O49" s="2717"/>
      <c r="P49" s="3824" t="str">
        <f>A49</f>
        <v>估价对象XX用房的比较价值（楼面单价，元/平方米）</v>
      </c>
      <c r="Q49" s="3825"/>
      <c r="R49" s="3826" t="e">
        <f>IF(F1="售价",ROUND(IF(D48="简单平均",AVERAGE(R48:V48),R48*F48+T48*H48+V48*J48),0),ROUND(IF(D48="简单平均",AVERAGE(R48:V48),R48*F48+T48*H48+V48*J48),1))</f>
        <v>#DIV/0!</v>
      </c>
      <c r="S49" s="3826"/>
      <c r="T49" s="3826"/>
      <c r="U49" s="3826"/>
      <c r="V49" s="3826"/>
      <c r="W49" s="3826"/>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row>
    <row r="53" spans="1:29" ht="13.5" customHeight="1">
      <c r="A53" s="2717"/>
      <c r="B53" s="2717"/>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row>
    <row r="54" spans="1:29" s="448" customFormat="1" ht="13.5" customHeight="1">
      <c r="A54" s="2720"/>
      <c r="B54" s="2720"/>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1909"/>
    </row>
    <row r="55" spans="1:29" s="448" customFormat="1">
      <c r="A55" s="2720"/>
      <c r="B55" s="2723"/>
      <c r="C55" s="2724"/>
      <c r="D55" s="2720"/>
      <c r="E55" s="2720"/>
      <c r="F55" s="2720"/>
      <c r="G55" s="2720"/>
      <c r="H55" s="2720"/>
      <c r="I55" s="2720"/>
      <c r="J55" s="2720"/>
      <c r="K55" s="2725"/>
      <c r="L55" s="2719"/>
      <c r="M55" s="2720"/>
      <c r="N55" s="2720"/>
      <c r="O55" s="2720"/>
      <c r="P55" s="1909"/>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3"/>
      <c r="L57" s="934"/>
      <c r="M57" s="932"/>
      <c r="N57" s="932"/>
      <c r="O57" s="932"/>
      <c r="P57" s="1910"/>
      <c r="Q57" s="450"/>
    </row>
    <row r="58" spans="1:29" s="454" customFormat="1" ht="15">
      <c r="A58" s="451" t="s">
        <v>1715</v>
      </c>
      <c r="B58" s="452"/>
      <c r="C58" s="1178" t="str">
        <f>YEAR(C7)&amp;"-"&amp;MONTH(C7)</f>
        <v>2024-4</v>
      </c>
      <c r="D58" s="1177">
        <f>EDATE(C58,-1)</f>
        <v>45352</v>
      </c>
      <c r="E58" s="1177">
        <f>EDATE(D58,-1)</f>
        <v>45323</v>
      </c>
      <c r="F58" s="1177">
        <f t="shared" ref="F58:O58" si="19">EDATE(E58,-1)</f>
        <v>45292</v>
      </c>
      <c r="G58" s="1177">
        <f t="shared" si="19"/>
        <v>45261</v>
      </c>
      <c r="H58" s="1177">
        <f t="shared" si="19"/>
        <v>45231</v>
      </c>
      <c r="I58" s="1177">
        <f t="shared" si="19"/>
        <v>45200</v>
      </c>
      <c r="J58" s="1177">
        <f t="shared" si="19"/>
        <v>45170</v>
      </c>
      <c r="K58" s="1177">
        <f t="shared" si="19"/>
        <v>45139</v>
      </c>
      <c r="L58" s="1177">
        <f t="shared" si="19"/>
        <v>45108</v>
      </c>
      <c r="M58" s="1177">
        <f t="shared" si="19"/>
        <v>45078</v>
      </c>
      <c r="N58" s="1177">
        <f t="shared" si="19"/>
        <v>45047</v>
      </c>
      <c r="O58" s="1177">
        <f t="shared" si="19"/>
        <v>45017</v>
      </c>
      <c r="P58" s="1173"/>
    </row>
    <row r="59" spans="1:29" s="108" customFormat="1" ht="15">
      <c r="A59" s="455"/>
      <c r="B59" s="1911"/>
      <c r="C59" s="1175">
        <v>100</v>
      </c>
      <c r="D59" s="457"/>
      <c r="E59" s="458"/>
      <c r="F59" s="458"/>
      <c r="G59" s="458"/>
      <c r="H59" s="458"/>
      <c r="I59" s="458"/>
      <c r="J59" s="458"/>
      <c r="K59" s="458"/>
      <c r="L59" s="458"/>
      <c r="M59" s="459"/>
      <c r="N59" s="458"/>
      <c r="O59" s="459"/>
      <c r="P59" s="1912"/>
    </row>
    <row r="60" spans="1:29" s="108" customFormat="1" ht="15.75" thickBot="1">
      <c r="A60" s="461" t="s">
        <v>1716</v>
      </c>
      <c r="B60" s="462"/>
      <c r="C60" s="463"/>
      <c r="D60" s="464"/>
      <c r="E60" s="464"/>
      <c r="F60" s="464"/>
      <c r="G60" s="464"/>
      <c r="H60" s="464"/>
      <c r="I60" s="464"/>
      <c r="J60" s="464"/>
      <c r="K60" s="464"/>
      <c r="L60" s="464"/>
      <c r="M60" s="465"/>
      <c r="N60" s="464"/>
      <c r="O60" s="465"/>
      <c r="P60" s="1912"/>
      <c r="Q60" s="450"/>
    </row>
    <row r="61" spans="1:29" s="108" customFormat="1" ht="15">
      <c r="A61" s="467" t="s">
        <v>1717</v>
      </c>
      <c r="B61" s="456"/>
      <c r="C61" s="468" t="s">
        <v>1718</v>
      </c>
      <c r="D61" s="469"/>
      <c r="E61" s="469"/>
      <c r="F61" s="469"/>
      <c r="G61" s="469"/>
      <c r="H61" s="469"/>
      <c r="I61" s="469"/>
      <c r="J61" s="469"/>
      <c r="K61" s="469"/>
      <c r="L61" s="470"/>
      <c r="M61" s="471"/>
      <c r="N61" s="924"/>
      <c r="O61" s="924"/>
      <c r="P61" s="1913"/>
      <c r="Q61" s="450"/>
    </row>
    <row r="62" spans="1:29" s="108" customFormat="1" ht="15.75" thickBot="1">
      <c r="A62" s="467"/>
      <c r="B62" s="456"/>
      <c r="C62" s="457">
        <v>100</v>
      </c>
      <c r="D62" s="458"/>
      <c r="E62" s="458"/>
      <c r="F62" s="458"/>
      <c r="G62" s="458"/>
      <c r="H62" s="458"/>
      <c r="I62" s="458"/>
      <c r="J62" s="458"/>
      <c r="K62" s="458"/>
      <c r="L62" s="458"/>
      <c r="M62" s="460"/>
      <c r="N62" s="924"/>
      <c r="O62" s="924"/>
      <c r="P62" s="1912"/>
      <c r="Q62" s="450"/>
    </row>
    <row r="63" spans="1:29">
      <c r="A63" s="473" t="s">
        <v>1719</v>
      </c>
      <c r="B63" s="474" t="s">
        <v>1685</v>
      </c>
      <c r="C63" s="475">
        <f>C9</f>
        <v>0</v>
      </c>
      <c r="D63" s="476"/>
      <c r="E63" s="476"/>
      <c r="F63" s="476"/>
      <c r="G63" s="476"/>
      <c r="H63" s="476"/>
      <c r="I63" s="476"/>
      <c r="J63" s="476"/>
      <c r="K63" s="477"/>
      <c r="L63" s="478"/>
      <c r="M63" s="479"/>
      <c r="N63" s="925"/>
      <c r="O63" s="925"/>
      <c r="P63" s="1914"/>
      <c r="Q63" s="450"/>
    </row>
    <row r="64" spans="1:29" ht="15.75" thickBot="1">
      <c r="A64" s="480"/>
      <c r="B64" s="481"/>
      <c r="C64" s="482">
        <v>100</v>
      </c>
      <c r="D64" s="482"/>
      <c r="E64" s="482"/>
      <c r="F64" s="482"/>
      <c r="G64" s="482"/>
      <c r="H64" s="482"/>
      <c r="I64" s="482"/>
      <c r="J64" s="482"/>
      <c r="K64" s="482"/>
      <c r="L64" s="482"/>
      <c r="M64" s="483"/>
      <c r="N64" s="926"/>
      <c r="O64" s="926"/>
      <c r="P64" s="1914"/>
      <c r="Q64" s="450"/>
    </row>
    <row r="65" spans="1:17" ht="27.75" thickTop="1">
      <c r="A65" s="480"/>
      <c r="B65" s="484" t="s">
        <v>1688</v>
      </c>
      <c r="C65" s="529"/>
      <c r="D65" s="529"/>
      <c r="E65" s="529"/>
      <c r="F65" s="529"/>
      <c r="G65" s="529"/>
      <c r="H65" s="529"/>
      <c r="I65" s="529"/>
      <c r="J65" s="529"/>
      <c r="K65" s="529"/>
      <c r="L65" s="529"/>
      <c r="M65" s="529"/>
      <c r="N65" s="926"/>
      <c r="O65" s="926"/>
      <c r="P65" s="1914"/>
      <c r="Q65" s="450"/>
    </row>
    <row r="66" spans="1:17" ht="15.75" thickBot="1">
      <c r="A66" s="480"/>
      <c r="B66" s="489"/>
      <c r="C66" s="482"/>
      <c r="D66" s="482"/>
      <c r="E66" s="482"/>
      <c r="F66" s="482"/>
      <c r="G66" s="482"/>
      <c r="H66" s="482"/>
      <c r="I66" s="482"/>
      <c r="J66" s="482"/>
      <c r="K66" s="482"/>
      <c r="L66" s="482"/>
      <c r="M66" s="483"/>
      <c r="N66" s="926"/>
      <c r="O66" s="926"/>
      <c r="P66" s="1914"/>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26"/>
      <c r="O67" s="926"/>
      <c r="P67" s="1914"/>
      <c r="Q67" s="450"/>
    </row>
    <row r="68" spans="1:17" ht="15">
      <c r="A68" s="480"/>
      <c r="B68" s="494"/>
      <c r="C68" s="495"/>
      <c r="D68" s="495"/>
      <c r="E68" s="495"/>
      <c r="F68" s="495"/>
      <c r="G68" s="495"/>
      <c r="H68" s="495"/>
      <c r="I68" s="495"/>
      <c r="J68" s="495"/>
      <c r="K68" s="496"/>
      <c r="L68" s="497"/>
      <c r="M68" s="498"/>
      <c r="N68" s="925"/>
      <c r="O68" s="925"/>
      <c r="P68" s="1914"/>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4"/>
      <c r="Q69" s="450"/>
    </row>
    <row r="70" spans="1:17" s="419" customFormat="1" ht="15.75" thickTop="1">
      <c r="A70" s="499"/>
      <c r="B70" s="484">
        <f>B12</f>
        <v>111</v>
      </c>
      <c r="C70" s="500"/>
      <c r="D70" s="500"/>
      <c r="E70" s="500"/>
      <c r="F70" s="500"/>
      <c r="G70" s="500"/>
      <c r="H70" s="501"/>
      <c r="I70" s="501"/>
      <c r="J70" s="501"/>
      <c r="K70" s="501"/>
      <c r="L70" s="502"/>
      <c r="M70" s="503"/>
      <c r="N70" s="927"/>
      <c r="O70" s="927"/>
      <c r="P70" s="1915"/>
      <c r="Q70" s="505"/>
    </row>
    <row r="71" spans="1:17" s="419" customFormat="1" ht="15.75" thickBot="1">
      <c r="A71" s="499"/>
      <c r="B71" s="489"/>
      <c r="C71" s="506"/>
      <c r="D71" s="482"/>
      <c r="E71" s="482"/>
      <c r="F71" s="482"/>
      <c r="G71" s="482"/>
      <c r="H71" s="482"/>
      <c r="I71" s="482"/>
      <c r="J71" s="482"/>
      <c r="K71" s="482"/>
      <c r="L71" s="482"/>
      <c r="M71" s="483"/>
      <c r="N71" s="926"/>
      <c r="O71" s="926"/>
      <c r="P71" s="1915"/>
      <c r="Q71" s="505"/>
    </row>
    <row r="72" spans="1:17" s="419" customFormat="1" ht="15.75" thickTop="1">
      <c r="A72" s="499"/>
      <c r="B72" s="484">
        <f>B13</f>
        <v>111</v>
      </c>
      <c r="C72" s="500"/>
      <c r="D72" s="500"/>
      <c r="E72" s="500"/>
      <c r="F72" s="500"/>
      <c r="G72" s="500"/>
      <c r="H72" s="501"/>
      <c r="I72" s="501"/>
      <c r="J72" s="501"/>
      <c r="K72" s="501"/>
      <c r="L72" s="502"/>
      <c r="M72" s="503"/>
      <c r="N72" s="927"/>
      <c r="O72" s="927"/>
      <c r="P72" s="1916"/>
      <c r="Q72" s="507"/>
    </row>
    <row r="73" spans="1:17" s="419" customFormat="1" ht="15.75" thickBot="1">
      <c r="A73" s="499"/>
      <c r="B73" s="489"/>
      <c r="C73" s="506"/>
      <c r="D73" s="506"/>
      <c r="E73" s="506"/>
      <c r="F73" s="506"/>
      <c r="G73" s="506"/>
      <c r="H73" s="508"/>
      <c r="I73" s="508"/>
      <c r="J73" s="508"/>
      <c r="K73" s="508"/>
      <c r="L73" s="508"/>
      <c r="M73" s="509"/>
      <c r="N73" s="927"/>
      <c r="O73" s="927"/>
      <c r="P73" s="1915"/>
      <c r="Q73" s="505"/>
    </row>
    <row r="74" spans="1:17" s="419" customFormat="1" ht="15.75" thickTop="1">
      <c r="A74" s="499"/>
      <c r="B74" s="492">
        <f>B14</f>
        <v>111</v>
      </c>
      <c r="C74" s="500"/>
      <c r="D74" s="500"/>
      <c r="E74" s="500"/>
      <c r="F74" s="500"/>
      <c r="G74" s="469"/>
      <c r="H74" s="510"/>
      <c r="I74" s="510"/>
      <c r="J74" s="510"/>
      <c r="K74" s="510"/>
      <c r="L74" s="511"/>
      <c r="M74" s="512"/>
      <c r="N74" s="927"/>
      <c r="O74" s="927"/>
      <c r="P74" s="1917"/>
      <c r="Q74" s="505"/>
    </row>
    <row r="75" spans="1:17" s="419" customFormat="1" ht="15.75" thickBot="1">
      <c r="A75" s="514"/>
      <c r="B75" s="515"/>
      <c r="C75" s="516"/>
      <c r="D75" s="516"/>
      <c r="E75" s="516"/>
      <c r="F75" s="516"/>
      <c r="G75" s="516"/>
      <c r="H75" s="517"/>
      <c r="I75" s="517"/>
      <c r="J75" s="517"/>
      <c r="K75" s="517"/>
      <c r="L75" s="517"/>
      <c r="M75" s="518"/>
      <c r="N75" s="927"/>
      <c r="O75" s="927"/>
      <c r="P75" s="1915"/>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8"/>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26"/>
      <c r="O77" s="926"/>
      <c r="P77" s="1914"/>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4"/>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26"/>
      <c r="O79" s="926"/>
      <c r="P79" s="1914"/>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4"/>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26"/>
      <c r="O81" s="926"/>
      <c r="P81" s="1914"/>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4"/>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26"/>
      <c r="O83" s="926"/>
      <c r="P83" s="1914"/>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4"/>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26"/>
      <c r="O85" s="926"/>
      <c r="P85" s="1914"/>
      <c r="Q85" s="450"/>
    </row>
    <row r="86" spans="1:17" s="108" customFormat="1" ht="15.75" thickTop="1">
      <c r="A86" s="525"/>
      <c r="B86" s="484" t="s">
        <v>1734</v>
      </c>
      <c r="C86" s="500"/>
      <c r="D86" s="500"/>
      <c r="E86" s="500"/>
      <c r="F86" s="500"/>
      <c r="G86" s="500"/>
      <c r="H86" s="500"/>
      <c r="I86" s="500"/>
      <c r="J86" s="500"/>
      <c r="K86" s="500"/>
      <c r="L86" s="526"/>
      <c r="M86" s="527"/>
      <c r="N86" s="924"/>
      <c r="O86" s="924"/>
      <c r="P86" s="1914"/>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4"/>
      <c r="Q87" s="450"/>
    </row>
    <row r="88" spans="1:17" s="108" customFormat="1" ht="15.75" thickTop="1">
      <c r="A88" s="525"/>
      <c r="B88" s="484" t="s">
        <v>1735</v>
      </c>
      <c r="C88" s="500"/>
      <c r="D88" s="500"/>
      <c r="E88" s="500"/>
      <c r="F88" s="1919"/>
      <c r="G88" s="500"/>
      <c r="H88" s="500"/>
      <c r="I88" s="500"/>
      <c r="J88" s="500"/>
      <c r="K88" s="500"/>
      <c r="L88" s="500"/>
      <c r="M88" s="527"/>
      <c r="N88" s="924"/>
      <c r="O88" s="924"/>
      <c r="P88" s="1914"/>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4"/>
      <c r="Q89" s="450"/>
    </row>
    <row r="90" spans="1:17" s="419" customFormat="1" ht="15.75" thickTop="1">
      <c r="A90" s="499"/>
      <c r="B90" s="484">
        <f>B27</f>
        <v>111</v>
      </c>
      <c r="C90" s="500"/>
      <c r="D90" s="500"/>
      <c r="E90" s="500"/>
      <c r="F90" s="500"/>
      <c r="G90" s="500"/>
      <c r="H90" s="501"/>
      <c r="I90" s="501"/>
      <c r="J90" s="501"/>
      <c r="K90" s="501"/>
      <c r="L90" s="502"/>
      <c r="M90" s="503"/>
      <c r="N90" s="927"/>
      <c r="O90" s="927"/>
      <c r="P90" s="1915"/>
      <c r="Q90" s="505"/>
    </row>
    <row r="91" spans="1:17" s="419" customFormat="1" ht="15.75" thickBot="1">
      <c r="A91" s="499"/>
      <c r="B91" s="489"/>
      <c r="C91" s="506"/>
      <c r="D91" s="506"/>
      <c r="E91" s="506"/>
      <c r="F91" s="506"/>
      <c r="G91" s="506"/>
      <c r="H91" s="508"/>
      <c r="I91" s="508"/>
      <c r="J91" s="508"/>
      <c r="K91" s="508"/>
      <c r="L91" s="508"/>
      <c r="M91" s="509"/>
      <c r="N91" s="927"/>
      <c r="O91" s="927"/>
      <c r="P91" s="1915"/>
      <c r="Q91" s="505"/>
    </row>
    <row r="92" spans="1:17" ht="15.75" thickTop="1">
      <c r="A92" s="480"/>
      <c r="B92" s="484">
        <f>B28</f>
        <v>111</v>
      </c>
      <c r="C92" s="500"/>
      <c r="D92" s="500"/>
      <c r="E92" s="500"/>
      <c r="F92" s="500"/>
      <c r="G92" s="529"/>
      <c r="H92" s="529"/>
      <c r="I92" s="529"/>
      <c r="J92" s="529"/>
      <c r="K92" s="530"/>
      <c r="L92" s="531"/>
      <c r="M92" s="532"/>
      <c r="N92" s="925"/>
      <c r="O92" s="925"/>
      <c r="P92" s="1914"/>
      <c r="Q92" s="450"/>
    </row>
    <row r="93" spans="1:17" ht="15.75" thickBot="1">
      <c r="A93" s="480"/>
      <c r="B93" s="489"/>
      <c r="C93" s="506"/>
      <c r="D93" s="482"/>
      <c r="E93" s="482"/>
      <c r="F93" s="482"/>
      <c r="G93" s="482"/>
      <c r="H93" s="482"/>
      <c r="I93" s="482"/>
      <c r="J93" s="482"/>
      <c r="K93" s="482"/>
      <c r="L93" s="482"/>
      <c r="M93" s="483"/>
      <c r="N93" s="926"/>
      <c r="O93" s="926"/>
      <c r="P93" s="1914"/>
      <c r="Q93" s="450"/>
    </row>
    <row r="94" spans="1:17" ht="15.75" thickTop="1">
      <c r="A94" s="480"/>
      <c r="B94" s="484">
        <f>B29</f>
        <v>111</v>
      </c>
      <c r="C94" s="500"/>
      <c r="D94" s="500"/>
      <c r="E94" s="500"/>
      <c r="F94" s="500"/>
      <c r="G94" s="529"/>
      <c r="H94" s="529"/>
      <c r="I94" s="529"/>
      <c r="J94" s="529"/>
      <c r="K94" s="530"/>
      <c r="L94" s="531"/>
      <c r="M94" s="532"/>
      <c r="N94" s="925"/>
      <c r="O94" s="925"/>
      <c r="P94" s="1914"/>
      <c r="Q94" s="450"/>
    </row>
    <row r="95" spans="1:17" ht="15.75" thickBot="1">
      <c r="A95" s="480"/>
      <c r="B95" s="489"/>
      <c r="C95" s="506"/>
      <c r="D95" s="506"/>
      <c r="E95" s="506"/>
      <c r="F95" s="506"/>
      <c r="G95" s="482"/>
      <c r="H95" s="482"/>
      <c r="I95" s="482"/>
      <c r="J95" s="482"/>
      <c r="K95" s="482"/>
      <c r="L95" s="482"/>
      <c r="M95" s="483"/>
      <c r="N95" s="926"/>
      <c r="O95" s="926"/>
      <c r="P95" s="1914"/>
      <c r="Q95" s="450"/>
    </row>
    <row r="96" spans="1:17" ht="15.75" thickTop="1">
      <c r="A96" s="480"/>
      <c r="B96" s="484">
        <f>B30</f>
        <v>111</v>
      </c>
      <c r="C96" s="500"/>
      <c r="D96" s="500"/>
      <c r="E96" s="500"/>
      <c r="F96" s="500"/>
      <c r="G96" s="529"/>
      <c r="H96" s="529"/>
      <c r="I96" s="529"/>
      <c r="J96" s="529"/>
      <c r="K96" s="530"/>
      <c r="L96" s="531"/>
      <c r="M96" s="532"/>
      <c r="N96" s="925"/>
      <c r="O96" s="925"/>
      <c r="P96" s="1914"/>
      <c r="Q96" s="450"/>
    </row>
    <row r="97" spans="1:17" ht="15.75" thickBot="1">
      <c r="A97" s="480"/>
      <c r="B97" s="489"/>
      <c r="C97" s="516"/>
      <c r="D97" s="516"/>
      <c r="E97" s="516"/>
      <c r="F97" s="516"/>
      <c r="G97" s="482"/>
      <c r="H97" s="482"/>
      <c r="I97" s="482"/>
      <c r="J97" s="482"/>
      <c r="K97" s="482"/>
      <c r="L97" s="482"/>
      <c r="M97" s="483"/>
      <c r="N97" s="926"/>
      <c r="O97" s="926"/>
      <c r="P97" s="1914"/>
      <c r="Q97" s="450"/>
    </row>
    <row r="98" spans="1:17" ht="15.75" thickTop="1">
      <c r="A98" s="480"/>
      <c r="B98" s="492">
        <f>B31</f>
        <v>111</v>
      </c>
      <c r="C98" s="533"/>
      <c r="D98" s="533"/>
      <c r="E98" s="533"/>
      <c r="F98" s="533"/>
      <c r="G98" s="533"/>
      <c r="H98" s="533"/>
      <c r="I98" s="533"/>
      <c r="J98" s="533"/>
      <c r="K98" s="534"/>
      <c r="L98" s="535"/>
      <c r="M98" s="536"/>
      <c r="N98" s="925"/>
      <c r="O98" s="925"/>
      <c r="P98" s="1914"/>
      <c r="Q98" s="450"/>
    </row>
    <row r="99" spans="1:17" ht="15.75" thickBot="1">
      <c r="A99" s="1920"/>
      <c r="B99" s="515"/>
      <c r="C99" s="537"/>
      <c r="D99" s="537"/>
      <c r="E99" s="537"/>
      <c r="F99" s="537"/>
      <c r="G99" s="537"/>
      <c r="H99" s="537"/>
      <c r="I99" s="537"/>
      <c r="J99" s="537"/>
      <c r="K99" s="537"/>
      <c r="L99" s="537"/>
      <c r="M99" s="538"/>
      <c r="N99" s="926"/>
      <c r="O99" s="926"/>
      <c r="P99" s="1914"/>
      <c r="Q99" s="450"/>
    </row>
    <row r="100" spans="1:17">
      <c r="A100" s="473" t="s">
        <v>1694</v>
      </c>
      <c r="B100" s="474" t="s">
        <v>1736</v>
      </c>
      <c r="C100" s="476"/>
      <c r="D100" s="476"/>
      <c r="E100" s="476"/>
      <c r="F100" s="476"/>
      <c r="G100" s="476"/>
      <c r="H100" s="476"/>
      <c r="I100" s="476"/>
      <c r="J100" s="476"/>
      <c r="K100" s="477"/>
      <c r="L100" s="478"/>
      <c r="M100" s="479"/>
      <c r="N100" s="925"/>
      <c r="O100" s="925"/>
      <c r="P100" s="1914"/>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26"/>
      <c r="O101" s="926"/>
      <c r="P101" s="1914"/>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4"/>
      <c r="Q102" s="450"/>
    </row>
    <row r="103" spans="1:17" s="419" customFormat="1">
      <c r="A103" s="539"/>
      <c r="B103" s="540"/>
      <c r="C103" s="541"/>
      <c r="D103" s="541"/>
      <c r="E103" s="541"/>
      <c r="F103" s="541"/>
      <c r="G103" s="541"/>
      <c r="H103" s="541"/>
      <c r="I103" s="541"/>
      <c r="J103" s="542"/>
      <c r="K103" s="542"/>
      <c r="L103" s="543"/>
      <c r="M103" s="544"/>
      <c r="N103" s="927"/>
      <c r="O103" s="927"/>
      <c r="P103" s="1915"/>
      <c r="Q103" s="505"/>
    </row>
    <row r="104" spans="1:17" s="419" customFormat="1" ht="15.75" thickBot="1">
      <c r="A104" s="499"/>
      <c r="B104" s="489"/>
      <c r="C104" s="506"/>
      <c r="D104" s="482"/>
      <c r="E104" s="482"/>
      <c r="F104" s="482"/>
      <c r="G104" s="482"/>
      <c r="H104" s="482"/>
      <c r="I104" s="482"/>
      <c r="J104" s="482"/>
      <c r="K104" s="482"/>
      <c r="L104" s="482"/>
      <c r="M104" s="482"/>
      <c r="N104" s="926"/>
      <c r="O104" s="926"/>
      <c r="P104" s="1915"/>
      <c r="Q104" s="505"/>
    </row>
    <row r="105" spans="1:17" ht="15" thickTop="1">
      <c r="A105" s="545"/>
      <c r="B105" s="484" t="s">
        <v>1738</v>
      </c>
      <c r="C105" s="500"/>
      <c r="D105" s="500"/>
      <c r="E105" s="529"/>
      <c r="F105" s="529"/>
      <c r="G105" s="529"/>
      <c r="H105" s="529"/>
      <c r="I105" s="529"/>
      <c r="J105" s="529"/>
      <c r="K105" s="530"/>
      <c r="L105" s="531"/>
      <c r="M105" s="532"/>
      <c r="N105" s="925"/>
      <c r="O105" s="925"/>
      <c r="P105" s="1914"/>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26"/>
      <c r="O106" s="926"/>
      <c r="P106" s="1914"/>
      <c r="Q106" s="450"/>
    </row>
    <row r="107" spans="1:17" ht="15" thickTop="1">
      <c r="A107" s="545"/>
      <c r="B107" s="484" t="s">
        <v>1739</v>
      </c>
      <c r="C107" s="529"/>
      <c r="D107" s="529"/>
      <c r="E107" s="529"/>
      <c r="F107" s="529"/>
      <c r="G107" s="529"/>
      <c r="H107" s="529"/>
      <c r="I107" s="529"/>
      <c r="J107" s="529"/>
      <c r="K107" s="530"/>
      <c r="L107" s="531"/>
      <c r="M107" s="532"/>
      <c r="N107" s="925"/>
      <c r="O107" s="925"/>
      <c r="P107" s="1914"/>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26"/>
      <c r="O108" s="926"/>
      <c r="P108" s="1914"/>
      <c r="Q108" s="450"/>
    </row>
    <row r="109" spans="1:17" ht="15" thickTop="1">
      <c r="A109" s="545"/>
      <c r="B109" s="484" t="s">
        <v>1740</v>
      </c>
      <c r="C109" s="500"/>
      <c r="D109" s="500"/>
      <c r="E109" s="500"/>
      <c r="F109" s="529"/>
      <c r="G109" s="529"/>
      <c r="H109" s="529"/>
      <c r="I109" s="529"/>
      <c r="J109" s="529"/>
      <c r="K109" s="530"/>
      <c r="L109" s="531"/>
      <c r="M109" s="532"/>
      <c r="N109" s="925"/>
      <c r="O109" s="925"/>
      <c r="P109" s="1914"/>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26"/>
      <c r="O110" s="926"/>
      <c r="P110" s="1914"/>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5"/>
      <c r="Q111" s="505"/>
    </row>
    <row r="112" spans="1:17" s="419" customFormat="1">
      <c r="A112" s="539"/>
      <c r="B112" s="492"/>
      <c r="C112" s="549">
        <v>0.5</v>
      </c>
      <c r="D112" s="549">
        <v>0.6</v>
      </c>
      <c r="E112" s="549">
        <v>0.7</v>
      </c>
      <c r="F112" s="549">
        <v>0.8</v>
      </c>
      <c r="G112" s="549">
        <v>0.9</v>
      </c>
      <c r="H112" s="549">
        <v>1.0001</v>
      </c>
      <c r="I112" s="549"/>
      <c r="J112" s="550"/>
      <c r="K112" s="550"/>
      <c r="L112" s="551"/>
      <c r="M112" s="552"/>
      <c r="N112" s="927"/>
      <c r="O112" s="927"/>
      <c r="P112" s="1915"/>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27"/>
      <c r="O113" s="927"/>
      <c r="P113" s="1915"/>
      <c r="Q113" s="505"/>
    </row>
    <row r="114" spans="1:17" ht="15" thickTop="1">
      <c r="A114" s="545"/>
      <c r="B114" s="484" t="s">
        <v>1741</v>
      </c>
      <c r="C114" s="500"/>
      <c r="D114" s="500"/>
      <c r="E114" s="529"/>
      <c r="F114" s="529"/>
      <c r="G114" s="529"/>
      <c r="H114" s="529"/>
      <c r="I114" s="529"/>
      <c r="J114" s="529"/>
      <c r="K114" s="530"/>
      <c r="L114" s="531"/>
      <c r="M114" s="532"/>
      <c r="N114" s="925"/>
      <c r="O114" s="925"/>
      <c r="P114" s="1914"/>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26"/>
      <c r="O115" s="926"/>
      <c r="P115" s="1914"/>
      <c r="Q115" s="450"/>
    </row>
    <row r="116" spans="1:17" ht="15" thickTop="1">
      <c r="A116" s="545"/>
      <c r="B116" s="484" t="s">
        <v>1742</v>
      </c>
      <c r="C116" s="500"/>
      <c r="D116" s="500"/>
      <c r="E116" s="500"/>
      <c r="F116" s="500"/>
      <c r="G116" s="500"/>
      <c r="H116" s="529"/>
      <c r="I116" s="529"/>
      <c r="J116" s="529"/>
      <c r="K116" s="530"/>
      <c r="L116" s="531"/>
      <c r="M116" s="532"/>
      <c r="N116" s="925"/>
      <c r="O116" s="925"/>
      <c r="P116" s="1914"/>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26"/>
      <c r="O117" s="926"/>
      <c r="P117" s="1914"/>
      <c r="Q117" s="450"/>
    </row>
    <row r="118" spans="1:17" ht="15" thickTop="1">
      <c r="A118" s="545"/>
      <c r="B118" s="484" t="s">
        <v>1743</v>
      </c>
      <c r="C118" s="529"/>
      <c r="D118" s="529"/>
      <c r="E118" s="529"/>
      <c r="F118" s="529"/>
      <c r="G118" s="529"/>
      <c r="H118" s="529"/>
      <c r="I118" s="529"/>
      <c r="J118" s="529"/>
      <c r="K118" s="530"/>
      <c r="L118" s="531"/>
      <c r="M118" s="532"/>
      <c r="N118" s="925"/>
      <c r="O118" s="925"/>
      <c r="P118" s="1914"/>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26"/>
      <c r="O119" s="926"/>
      <c r="P119" s="1914"/>
      <c r="Q119" s="450"/>
    </row>
    <row r="120" spans="1:17" s="419" customFormat="1" ht="28.5" thickTop="1">
      <c r="A120" s="539"/>
      <c r="B120" s="484" t="s">
        <v>1705</v>
      </c>
      <c r="C120" s="500"/>
      <c r="D120" s="500"/>
      <c r="E120" s="500"/>
      <c r="F120" s="500"/>
      <c r="G120" s="500"/>
      <c r="H120" s="500"/>
      <c r="I120" s="500"/>
      <c r="J120" s="500"/>
      <c r="K120" s="500"/>
      <c r="L120" s="526"/>
      <c r="M120" s="527"/>
      <c r="N120" s="927"/>
      <c r="O120" s="927"/>
      <c r="P120" s="1915"/>
      <c r="Q120" s="505"/>
    </row>
    <row r="121" spans="1:17" s="419" customFormat="1" ht="15.75" thickBot="1">
      <c r="A121" s="499"/>
      <c r="B121" s="481"/>
      <c r="C121" s="506"/>
      <c r="D121" s="482"/>
      <c r="E121" s="482"/>
      <c r="F121" s="482"/>
      <c r="G121" s="482"/>
      <c r="H121" s="482"/>
      <c r="I121" s="482"/>
      <c r="J121" s="482"/>
      <c r="K121" s="482"/>
      <c r="L121" s="482"/>
      <c r="M121" s="482"/>
      <c r="N121" s="927"/>
      <c r="O121" s="927"/>
      <c r="P121" s="1915"/>
      <c r="Q121" s="505"/>
    </row>
    <row r="122" spans="1:17" ht="15" thickTop="1">
      <c r="A122" s="545"/>
      <c r="B122" s="484" t="s">
        <v>1744</v>
      </c>
      <c r="C122" s="500"/>
      <c r="D122" s="500"/>
      <c r="E122" s="500"/>
      <c r="F122" s="529"/>
      <c r="G122" s="529"/>
      <c r="H122" s="529"/>
      <c r="I122" s="529"/>
      <c r="J122" s="529"/>
      <c r="K122" s="530"/>
      <c r="L122" s="531"/>
      <c r="M122" s="532"/>
      <c r="N122" s="925"/>
      <c r="O122" s="925"/>
      <c r="P122" s="1914"/>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26"/>
      <c r="O123" s="926"/>
      <c r="P123" s="1914"/>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5"/>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26"/>
      <c r="O125" s="926"/>
      <c r="P125" s="1914"/>
      <c r="Q125" s="450"/>
    </row>
    <row r="126" spans="1:17" s="419" customFormat="1" ht="15" thickTop="1">
      <c r="A126" s="539"/>
      <c r="B126" s="484">
        <f>B44</f>
        <v>111</v>
      </c>
      <c r="C126" s="500"/>
      <c r="D126" s="500"/>
      <c r="E126" s="500"/>
      <c r="F126" s="500"/>
      <c r="G126" s="500"/>
      <c r="H126" s="501"/>
      <c r="I126" s="501"/>
      <c r="J126" s="501"/>
      <c r="K126" s="501"/>
      <c r="L126" s="502"/>
      <c r="M126" s="503"/>
      <c r="N126" s="927"/>
      <c r="O126" s="927"/>
      <c r="P126" s="1915"/>
      <c r="Q126" s="505"/>
    </row>
    <row r="127" spans="1:17" s="419" customFormat="1" ht="15.75" thickBot="1">
      <c r="A127" s="499"/>
      <c r="B127" s="489"/>
      <c r="C127" s="506"/>
      <c r="D127" s="482"/>
      <c r="E127" s="482"/>
      <c r="F127" s="482"/>
      <c r="G127" s="506"/>
      <c r="H127" s="508"/>
      <c r="I127" s="508"/>
      <c r="J127" s="508"/>
      <c r="K127" s="508"/>
      <c r="L127" s="508"/>
      <c r="M127" s="509"/>
      <c r="N127" s="927"/>
      <c r="O127" s="927"/>
      <c r="P127" s="1915"/>
      <c r="Q127" s="505"/>
    </row>
    <row r="128" spans="1:17" ht="15" thickTop="1">
      <c r="A128" s="545"/>
      <c r="B128" s="484">
        <f>B45</f>
        <v>111</v>
      </c>
      <c r="C128" s="500"/>
      <c r="D128" s="500"/>
      <c r="E128" s="500"/>
      <c r="F128" s="500"/>
      <c r="G128" s="529"/>
      <c r="H128" s="529"/>
      <c r="I128" s="529"/>
      <c r="J128" s="529"/>
      <c r="K128" s="530"/>
      <c r="L128" s="531"/>
      <c r="M128" s="532"/>
      <c r="N128" s="925"/>
      <c r="O128" s="925"/>
      <c r="P128" s="1914"/>
      <c r="Q128" s="450"/>
    </row>
    <row r="129" spans="1:17" ht="15.75" thickBot="1">
      <c r="A129" s="480"/>
      <c r="B129" s="489"/>
      <c r="C129" s="506"/>
      <c r="D129" s="506"/>
      <c r="E129" s="506"/>
      <c r="F129" s="506"/>
      <c r="G129" s="482"/>
      <c r="H129" s="482"/>
      <c r="I129" s="482"/>
      <c r="J129" s="482"/>
      <c r="K129" s="482"/>
      <c r="L129" s="482"/>
      <c r="M129" s="483"/>
      <c r="N129" s="926"/>
      <c r="O129" s="926"/>
      <c r="P129" s="1914"/>
      <c r="Q129" s="450"/>
    </row>
    <row r="130" spans="1:17" ht="15" thickTop="1">
      <c r="A130" s="545"/>
      <c r="B130" s="492">
        <f>B46</f>
        <v>111</v>
      </c>
      <c r="C130" s="500"/>
      <c r="D130" s="500"/>
      <c r="E130" s="500"/>
      <c r="F130" s="500"/>
      <c r="G130" s="533"/>
      <c r="H130" s="533"/>
      <c r="I130" s="533"/>
      <c r="J130" s="533"/>
      <c r="K130" s="469"/>
      <c r="L130" s="470"/>
      <c r="M130" s="536"/>
      <c r="N130" s="925"/>
      <c r="O130" s="925"/>
      <c r="P130" s="1914"/>
      <c r="Q130" s="450"/>
    </row>
    <row r="131" spans="1:17" ht="15.75" thickBot="1">
      <c r="A131" s="1920"/>
      <c r="B131" s="515"/>
      <c r="C131" s="516"/>
      <c r="D131" s="516"/>
      <c r="E131" s="516"/>
      <c r="F131" s="516"/>
      <c r="G131" s="537"/>
      <c r="H131" s="537"/>
      <c r="I131" s="537"/>
      <c r="J131" s="537"/>
      <c r="K131" s="537"/>
      <c r="L131" s="537"/>
      <c r="M131" s="538"/>
      <c r="N131" s="926"/>
      <c r="O131" s="926"/>
      <c r="P131" s="1914"/>
      <c r="Q131" s="450"/>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4" t="s">
        <v>1749</v>
      </c>
      <c r="D138" s="134" t="s">
        <v>1750</v>
      </c>
      <c r="E138" s="1929" t="s">
        <v>1751</v>
      </c>
      <c r="F138" s="1930" t="s">
        <v>1752</v>
      </c>
      <c r="G138" s="134" t="s">
        <v>1750</v>
      </c>
      <c r="H138" s="135" t="s">
        <v>1751</v>
      </c>
      <c r="I138" s="1931"/>
      <c r="J138" s="134" t="s">
        <v>1753</v>
      </c>
      <c r="K138" s="135" t="s">
        <v>1754</v>
      </c>
    </row>
    <row r="139" spans="1:17" ht="15">
      <c r="B139" s="859">
        <v>6</v>
      </c>
      <c r="C139" s="860">
        <v>96</v>
      </c>
      <c r="D139" s="1932" t="s">
        <v>1755</v>
      </c>
      <c r="E139" s="861">
        <v>100</v>
      </c>
      <c r="F139" s="862">
        <v>102.5</v>
      </c>
      <c r="G139" s="1932" t="s">
        <v>1755</v>
      </c>
      <c r="H139" s="863">
        <v>105</v>
      </c>
      <c r="I139" s="1933" t="s">
        <v>1756</v>
      </c>
      <c r="J139" s="860">
        <v>20</v>
      </c>
      <c r="K139" s="864">
        <f>C145/(J139-2)</f>
        <v>4.0555555555555553E-3</v>
      </c>
    </row>
    <row r="140" spans="1:17" ht="15">
      <c r="B140" s="865">
        <v>5</v>
      </c>
      <c r="C140" s="866">
        <v>100</v>
      </c>
      <c r="D140" s="866"/>
      <c r="E140" s="867"/>
      <c r="F140" s="868">
        <v>102</v>
      </c>
      <c r="G140" s="866"/>
      <c r="H140" s="869"/>
      <c r="I140" s="1934" t="s">
        <v>1757</v>
      </c>
      <c r="J140" s="268">
        <f>ROUNDUP((J139-1)/2,0)</f>
        <v>10</v>
      </c>
      <c r="K140" s="870">
        <v>100</v>
      </c>
    </row>
    <row r="141" spans="1:17" ht="15">
      <c r="B141" s="865">
        <v>4</v>
      </c>
      <c r="C141" s="866">
        <v>102</v>
      </c>
      <c r="D141" s="866"/>
      <c r="E141" s="867"/>
      <c r="F141" s="868">
        <v>101.5</v>
      </c>
      <c r="G141" s="866"/>
      <c r="H141" s="869"/>
      <c r="I141" s="1934" t="s">
        <v>1758</v>
      </c>
      <c r="J141" s="268">
        <v>1</v>
      </c>
      <c r="K141" s="871">
        <f>ROUND(100+(J141-J140)*K139*100,1)</f>
        <v>96.4</v>
      </c>
    </row>
    <row r="142" spans="1:17" ht="15">
      <c r="B142" s="865">
        <v>3</v>
      </c>
      <c r="C142" s="866">
        <v>103</v>
      </c>
      <c r="D142" s="866"/>
      <c r="E142" s="867"/>
      <c r="F142" s="868">
        <v>101</v>
      </c>
      <c r="G142" s="866"/>
      <c r="H142" s="869"/>
      <c r="I142" s="1934" t="s">
        <v>1759</v>
      </c>
      <c r="J142" s="268">
        <f>J139</f>
        <v>20</v>
      </c>
      <c r="K142" s="872">
        <v>95</v>
      </c>
    </row>
    <row r="143" spans="1:17" ht="15">
      <c r="B143" s="865">
        <v>2</v>
      </c>
      <c r="C143" s="866">
        <v>100</v>
      </c>
      <c r="D143" s="866"/>
      <c r="E143" s="867"/>
      <c r="F143" s="868">
        <v>100.5</v>
      </c>
      <c r="G143" s="866"/>
      <c r="H143" s="869"/>
      <c r="I143" s="1934" t="s">
        <v>1760</v>
      </c>
      <c r="J143" s="866">
        <v>15</v>
      </c>
      <c r="K143" s="871">
        <f>ROUND(100+(J143-J140)*K139*100,1)</f>
        <v>102</v>
      </c>
    </row>
    <row r="144" spans="1:17" ht="15">
      <c r="B144" s="865">
        <v>1</v>
      </c>
      <c r="C144" s="866">
        <v>98</v>
      </c>
      <c r="D144" s="1935" t="s">
        <v>1761</v>
      </c>
      <c r="E144" s="867">
        <v>102</v>
      </c>
      <c r="F144" s="873">
        <v>100</v>
      </c>
      <c r="G144" s="1935" t="s">
        <v>1761</v>
      </c>
      <c r="H144" s="869">
        <v>105</v>
      </c>
      <c r="I144" s="1934" t="s">
        <v>1760</v>
      </c>
      <c r="J144" s="866">
        <v>18</v>
      </c>
      <c r="K144" s="871">
        <f>ROUND(100+(J144-J140)*K139*100,1)</f>
        <v>103.2</v>
      </c>
    </row>
    <row r="145" spans="2:11" ht="15.75" thickBot="1">
      <c r="B145" s="1936" t="s">
        <v>1762</v>
      </c>
      <c r="C145" s="874">
        <f>ROUND(MAX(C139:C144)/MIN(C139:C144)-1,3)</f>
        <v>7.2999999999999995E-2</v>
      </c>
      <c r="D145" s="875"/>
      <c r="E145" s="875"/>
      <c r="F145" s="1937" t="s">
        <v>1763</v>
      </c>
      <c r="G145" s="1938"/>
      <c r="H145" s="1939"/>
      <c r="I145" s="1940" t="s">
        <v>1760</v>
      </c>
      <c r="J145" s="876">
        <v>8</v>
      </c>
      <c r="K145" s="877">
        <f>ROUND(100+(J145-J140)*K139*100,1)</f>
        <v>99.2</v>
      </c>
    </row>
    <row r="147" spans="2:11">
      <c r="B147" s="1921" t="s">
        <v>1764</v>
      </c>
    </row>
    <row r="148" spans="2:11">
      <c r="B148" s="192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0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870" t="s">
        <v>1766</v>
      </c>
      <c r="C1" s="1230" t="s">
        <v>1662</v>
      </c>
      <c r="D1" s="1217"/>
      <c r="E1" s="3418"/>
      <c r="F1" s="1871"/>
      <c r="G1" s="1227" t="s">
        <v>1767</v>
      </c>
      <c r="H1" s="1226"/>
      <c r="I1" s="1226"/>
      <c r="J1" s="1226"/>
      <c r="K1" s="1228"/>
      <c r="L1" s="1229"/>
      <c r="M1" s="1230"/>
      <c r="N1" s="1230"/>
      <c r="O1" s="1230"/>
      <c r="P1" s="1941"/>
      <c r="Q1" s="1942"/>
      <c r="R1" s="1942"/>
      <c r="S1" s="1942"/>
      <c r="T1" s="1942"/>
      <c r="U1" s="1942"/>
      <c r="V1" s="1942"/>
      <c r="W1" s="1942"/>
      <c r="X1" s="1942"/>
      <c r="Y1" s="1942"/>
      <c r="Z1" s="1942"/>
      <c r="AA1" s="1942"/>
      <c r="AB1" s="1942"/>
      <c r="AC1" s="1943"/>
    </row>
    <row r="2" spans="1:29" s="349" customFormat="1" ht="28.5" customHeight="1" thickTop="1">
      <c r="A2" s="1213" t="s">
        <v>1462</v>
      </c>
      <c r="B2" s="1156" t="b">
        <f>IF(E1="项目模式",IF(C2="——",ROUND(C49*D3/10000,0),ROUND(C49*D3/10000,0)-D2),IF(E1="单套模式",IF(C2="——",ROUND(C49*D3/10000,4),ROUND(C49*D3/10000,4)-D2)))</f>
        <v>0</v>
      </c>
      <c r="C2" s="1873"/>
      <c r="D2" s="1107" t="e">
        <f ca="1">IF(E1="项目模式",SUMIF(INDIRECT("'"&amp;F2&amp;"'"&amp;"!A:A"),"承租人权益价值",INDIRECT("'"&amp;F2&amp;"'"&amp;"!c:c")),SUMIF(INDIRECT("'"&amp;F2&amp;"'"&amp;"!A:A"),"承租人权益价值（单套）",INDIRECT("'"&amp;F2&amp;"'"&amp;"!c:c")))</f>
        <v>#REF!</v>
      </c>
      <c r="E2" s="1874" t="s">
        <v>1463</v>
      </c>
      <c r="F2" s="1875"/>
      <c r="G2" s="900"/>
      <c r="H2" s="900"/>
      <c r="I2" s="900"/>
      <c r="J2" s="900"/>
      <c r="K2" s="900"/>
      <c r="L2" s="2726"/>
      <c r="M2" s="2727"/>
      <c r="N2" s="2727"/>
      <c r="O2" s="2727"/>
      <c r="P2" s="1944"/>
      <c r="Q2" s="904"/>
      <c r="R2" s="904"/>
      <c r="S2" s="904"/>
      <c r="T2" s="904"/>
      <c r="U2" s="904"/>
      <c r="V2" s="904"/>
      <c r="W2" s="904"/>
      <c r="X2" s="904"/>
      <c r="Y2" s="904"/>
      <c r="Z2" s="904"/>
      <c r="AA2" s="904"/>
      <c r="AB2" s="904"/>
      <c r="AC2" s="1945"/>
    </row>
    <row r="3" spans="1:29" s="349" customFormat="1" ht="28.5" customHeight="1" thickBot="1">
      <c r="A3" s="200" t="s">
        <v>1464</v>
      </c>
      <c r="B3" s="555">
        <f>IF(C2="——",C49,ROUND(B2*10000/D3,0))</f>
        <v>0</v>
      </c>
      <c r="C3" s="351" t="s">
        <v>1768</v>
      </c>
      <c r="D3" s="350">
        <f>IF(D1="",'数据-汇总表'!E3,SUMIF('数据-汇总表'!$C19:$C33,D1,'数据-汇总表'!$E19:$E33))</f>
        <v>103664.12</v>
      </c>
      <c r="E3" s="1946"/>
      <c r="F3" s="901"/>
      <c r="G3" s="900"/>
      <c r="H3" s="900"/>
      <c r="I3" s="900"/>
      <c r="J3" s="900"/>
      <c r="K3" s="902"/>
      <c r="L3" s="2726"/>
      <c r="M3" s="2727"/>
      <c r="N3" s="2727"/>
      <c r="O3" s="2727"/>
      <c r="P3" s="1944"/>
      <c r="Q3" s="904"/>
      <c r="R3" s="904"/>
      <c r="S3" s="904"/>
      <c r="T3" s="904"/>
      <c r="U3" s="904"/>
      <c r="V3" s="904"/>
      <c r="W3" s="904"/>
      <c r="X3" s="904"/>
      <c r="Y3" s="904"/>
      <c r="Z3" s="904"/>
      <c r="AA3" s="904"/>
      <c r="AB3" s="904"/>
      <c r="AC3" s="1946"/>
    </row>
    <row r="4" spans="1:29" ht="15">
      <c r="A4" s="352" t="s">
        <v>1769</v>
      </c>
      <c r="B4" s="353"/>
      <c r="C4" s="3762" t="s">
        <v>1770</v>
      </c>
      <c r="D4" s="3763"/>
      <c r="E4" s="3764" t="s">
        <v>1771</v>
      </c>
      <c r="F4" s="3765"/>
      <c r="G4" s="3762" t="s">
        <v>1772</v>
      </c>
      <c r="H4" s="3763"/>
      <c r="I4" s="3762" t="s">
        <v>1773</v>
      </c>
      <c r="J4" s="3763"/>
      <c r="K4" s="556" t="s">
        <v>1774</v>
      </c>
      <c r="L4" s="2707"/>
      <c r="M4" s="2708"/>
      <c r="N4" s="2708"/>
      <c r="O4" s="2708"/>
      <c r="P4" s="3828" t="s">
        <v>1775</v>
      </c>
      <c r="Q4" s="3829"/>
      <c r="R4" s="3832" t="s">
        <v>1771</v>
      </c>
      <c r="S4" s="3833"/>
      <c r="T4" s="3832" t="s">
        <v>1772</v>
      </c>
      <c r="U4" s="3833"/>
      <c r="V4" s="3779" t="s">
        <v>1773</v>
      </c>
      <c r="W4" s="3779"/>
      <c r="X4" s="1347"/>
      <c r="Y4" s="3832" t="s">
        <v>1775</v>
      </c>
      <c r="Z4" s="3833"/>
      <c r="AA4" s="3827" t="s">
        <v>1771</v>
      </c>
      <c r="AB4" s="3779" t="s">
        <v>1772</v>
      </c>
      <c r="AC4" s="3827" t="s">
        <v>1773</v>
      </c>
    </row>
    <row r="5" spans="1:29" ht="15">
      <c r="A5" s="355"/>
      <c r="B5" s="356"/>
      <c r="C5" s="3782" t="s">
        <v>1673</v>
      </c>
      <c r="D5" s="3783"/>
      <c r="E5" s="3793" t="s">
        <v>1674</v>
      </c>
      <c r="F5" s="3794"/>
      <c r="G5" s="3782" t="s">
        <v>1675</v>
      </c>
      <c r="H5" s="3783"/>
      <c r="I5" s="3782" t="s">
        <v>1676</v>
      </c>
      <c r="J5" s="3783"/>
      <c r="K5" s="556"/>
      <c r="L5" s="2707"/>
      <c r="M5" s="2708"/>
      <c r="N5" s="2708"/>
      <c r="O5" s="2708"/>
      <c r="P5" s="3830"/>
      <c r="Q5" s="3769"/>
      <c r="R5" s="3774"/>
      <c r="S5" s="3775"/>
      <c r="T5" s="3774"/>
      <c r="U5" s="3775"/>
      <c r="V5" s="3779"/>
      <c r="W5" s="3779"/>
      <c r="X5" s="1347"/>
      <c r="Y5" s="3774"/>
      <c r="Z5" s="3775"/>
      <c r="AA5" s="3791"/>
      <c r="AB5" s="3779"/>
      <c r="AC5" s="3791"/>
    </row>
    <row r="6" spans="1:29" ht="15.75" thickBot="1">
      <c r="A6" s="357"/>
      <c r="B6" s="358"/>
      <c r="C6" s="3780" t="s">
        <v>1677</v>
      </c>
      <c r="D6" s="3781"/>
      <c r="E6" s="3788" t="s">
        <v>1677</v>
      </c>
      <c r="F6" s="3789"/>
      <c r="G6" s="3780" t="s">
        <v>1677</v>
      </c>
      <c r="H6" s="3781"/>
      <c r="I6" s="3780" t="s">
        <v>1677</v>
      </c>
      <c r="J6" s="3781"/>
      <c r="K6" s="556" t="s">
        <v>1678</v>
      </c>
      <c r="L6" s="2707"/>
      <c r="M6" s="2708"/>
      <c r="N6" s="2708"/>
      <c r="O6" s="2708"/>
      <c r="P6" s="3831"/>
      <c r="Q6" s="3771"/>
      <c r="R6" s="3774"/>
      <c r="S6" s="3775"/>
      <c r="T6" s="3776"/>
      <c r="U6" s="3777"/>
      <c r="V6" s="3779"/>
      <c r="W6" s="3779"/>
      <c r="X6" s="1347"/>
      <c r="Y6" s="3776"/>
      <c r="Z6" s="3777"/>
      <c r="AA6" s="3792"/>
      <c r="AB6" s="3779"/>
      <c r="AC6" s="3792"/>
    </row>
    <row r="7" spans="1:29" s="108" customFormat="1" ht="15.75" thickBot="1">
      <c r="A7" s="359" t="s">
        <v>1679</v>
      </c>
      <c r="B7" s="360"/>
      <c r="C7" s="361">
        <f>'数据-取费表'!B2</f>
        <v>45401</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86" t="s">
        <v>1680</v>
      </c>
      <c r="Q7" s="3787"/>
      <c r="R7" s="697" t="s">
        <v>14</v>
      </c>
      <c r="S7" s="698">
        <f t="shared" ref="S7:S15" si="0">F7</f>
        <v>0</v>
      </c>
      <c r="T7" s="697" t="s">
        <v>14</v>
      </c>
      <c r="U7" s="698">
        <f t="shared" ref="U7:U15" si="1">H7</f>
        <v>0</v>
      </c>
      <c r="V7" s="697" t="s">
        <v>14</v>
      </c>
      <c r="W7" s="698">
        <f t="shared" ref="W7:W15" si="2">J7</f>
        <v>0</v>
      </c>
      <c r="X7" s="699"/>
      <c r="Y7" s="3786" t="s">
        <v>1680</v>
      </c>
      <c r="Z7" s="3785"/>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86" t="s">
        <v>1683</v>
      </c>
      <c r="Q8" s="3785"/>
      <c r="R8" s="697" t="s">
        <v>14</v>
      </c>
      <c r="S8" s="698">
        <f t="shared" si="0"/>
        <v>100</v>
      </c>
      <c r="T8" s="697" t="s">
        <v>14</v>
      </c>
      <c r="U8" s="698">
        <f t="shared" si="1"/>
        <v>100</v>
      </c>
      <c r="V8" s="697" t="s">
        <v>14</v>
      </c>
      <c r="W8" s="698">
        <f t="shared" si="2"/>
        <v>100</v>
      </c>
      <c r="X8" s="699"/>
      <c r="Y8" s="3786" t="s">
        <v>1683</v>
      </c>
      <c r="Z8" s="3785"/>
      <c r="AA8" s="700">
        <f t="shared" ref="AA8:AA46" si="3">D8/F8</f>
        <v>1</v>
      </c>
      <c r="AB8" s="700">
        <f t="shared" ref="AB8:AB46" si="4">D8/H8</f>
        <v>1</v>
      </c>
      <c r="AC8" s="700">
        <f t="shared" ref="AC8:AC46" si="5">D8/J8</f>
        <v>1</v>
      </c>
    </row>
    <row r="9" spans="1:29" s="108" customFormat="1">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09"/>
      <c r="M9" s="2710"/>
      <c r="N9" s="2710"/>
      <c r="O9" s="2710"/>
      <c r="P9" s="3744" t="s">
        <v>1686</v>
      </c>
      <c r="Q9" s="1335" t="str">
        <f t="shared" ref="Q9:Q15" si="6">B9</f>
        <v>用途</v>
      </c>
      <c r="R9" s="697" t="s">
        <v>14</v>
      </c>
      <c r="S9" s="698">
        <f t="shared" si="0"/>
        <v>100</v>
      </c>
      <c r="T9" s="697" t="s">
        <v>14</v>
      </c>
      <c r="U9" s="698">
        <f t="shared" si="1"/>
        <v>100</v>
      </c>
      <c r="V9" s="697" t="s">
        <v>14</v>
      </c>
      <c r="W9" s="698">
        <f t="shared" si="2"/>
        <v>100</v>
      </c>
      <c r="X9" s="699"/>
      <c r="Y9" s="3651" t="s">
        <v>1687</v>
      </c>
      <c r="Z9" s="52" t="str">
        <f t="shared" ref="Z9:Z15" si="7">Q9</f>
        <v>用途</v>
      </c>
      <c r="AA9" s="700">
        <f t="shared" si="3"/>
        <v>1</v>
      </c>
      <c r="AB9" s="700">
        <f t="shared" si="4"/>
        <v>1</v>
      </c>
      <c r="AC9" s="700">
        <f t="shared" si="5"/>
        <v>1</v>
      </c>
    </row>
    <row r="10" spans="1:29" s="375" customFormat="1" ht="27">
      <c r="A10" s="371"/>
      <c r="B10" s="372" t="s">
        <v>1688</v>
      </c>
      <c r="C10" s="3426"/>
      <c r="D10" s="124">
        <v>100</v>
      </c>
      <c r="E10" s="3427"/>
      <c r="F10" s="373">
        <f>SUMIF(65:65,E10,66:66)-SUMIF(65:65,C10,66:66)+100</f>
        <v>100</v>
      </c>
      <c r="G10" s="3426"/>
      <c r="H10" s="124">
        <f>SUMIF(65:65,G10,66:66)-SUMIF(65:65,C10,66:66)+100</f>
        <v>100</v>
      </c>
      <c r="I10" s="3426"/>
      <c r="J10" s="124">
        <f>SUMIF(65:65,I10,66:66)-SUMIF(65:65,C10,66:66)+100</f>
        <v>100</v>
      </c>
      <c r="K10" s="557"/>
      <c r="L10" s="2711"/>
      <c r="M10" s="2712"/>
      <c r="N10" s="2712"/>
      <c r="O10" s="2712"/>
      <c r="P10" s="3744"/>
      <c r="Q10" s="1335" t="str">
        <f t="shared" si="6"/>
        <v>土地使用年限（年）</v>
      </c>
      <c r="R10" s="697" t="s">
        <v>14</v>
      </c>
      <c r="S10" s="698">
        <f t="shared" si="0"/>
        <v>100</v>
      </c>
      <c r="T10" s="697" t="s">
        <v>14</v>
      </c>
      <c r="U10" s="698">
        <f t="shared" si="1"/>
        <v>100</v>
      </c>
      <c r="V10" s="697" t="s">
        <v>14</v>
      </c>
      <c r="W10" s="698">
        <f t="shared" si="2"/>
        <v>100</v>
      </c>
      <c r="X10" s="699"/>
      <c r="Y10" s="3651"/>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3"/>
      <c r="M11" s="2708"/>
      <c r="N11" s="2708"/>
      <c r="O11" s="2708"/>
      <c r="P11" s="3744"/>
      <c r="Q11" s="1335" t="str">
        <f t="shared" si="6"/>
        <v>容积率</v>
      </c>
      <c r="R11" s="697" t="s">
        <v>14</v>
      </c>
      <c r="S11" s="698" t="e">
        <f t="shared" si="0"/>
        <v>#N/A</v>
      </c>
      <c r="T11" s="697" t="s">
        <v>14</v>
      </c>
      <c r="U11" s="698" t="e">
        <f t="shared" si="1"/>
        <v>#N/A</v>
      </c>
      <c r="V11" s="697" t="s">
        <v>14</v>
      </c>
      <c r="W11" s="698" t="e">
        <f t="shared" si="2"/>
        <v>#N/A</v>
      </c>
      <c r="X11" s="699"/>
      <c r="Y11" s="3651"/>
      <c r="Z11" s="52" t="str">
        <f t="shared" si="7"/>
        <v>容积率</v>
      </c>
      <c r="AA11" s="700" t="e">
        <f t="shared" si="3"/>
        <v>#N/A</v>
      </c>
      <c r="AB11" s="700" t="e">
        <f t="shared" si="4"/>
        <v>#N/A</v>
      </c>
      <c r="AC11" s="700" t="e">
        <f t="shared" si="5"/>
        <v>#N/A</v>
      </c>
    </row>
    <row r="12" spans="1:29" s="108" customFormat="1" ht="15">
      <c r="A12" s="379"/>
      <c r="B12" s="1885">
        <v>111</v>
      </c>
      <c r="C12" s="380"/>
      <c r="D12" s="381">
        <v>100</v>
      </c>
      <c r="E12" s="382"/>
      <c r="F12" s="373">
        <f>SUMIF(70:70,E12,71:71)-SUMIF(70:70,C12,71:71)+100</f>
        <v>100</v>
      </c>
      <c r="G12" s="382"/>
      <c r="H12" s="124">
        <f>SUMIF(70:70,G12,71:71)-SUMIF(70:70,C12,71:71)+100</f>
        <v>100</v>
      </c>
      <c r="I12" s="382"/>
      <c r="J12" s="124">
        <f>SUMIF(70:70,I12,71:71)-SUMIF(70:70,C12,71:71)+100</f>
        <v>100</v>
      </c>
      <c r="K12" s="559"/>
      <c r="L12" s="2709"/>
      <c r="M12" s="2710"/>
      <c r="N12" s="2710"/>
      <c r="O12" s="2710"/>
      <c r="P12" s="3744"/>
      <c r="Q12" s="1335">
        <f t="shared" si="6"/>
        <v>111</v>
      </c>
      <c r="R12" s="697" t="s">
        <v>14</v>
      </c>
      <c r="S12" s="698">
        <f t="shared" si="0"/>
        <v>100</v>
      </c>
      <c r="T12" s="697" t="s">
        <v>14</v>
      </c>
      <c r="U12" s="698">
        <f t="shared" si="1"/>
        <v>100</v>
      </c>
      <c r="V12" s="697" t="s">
        <v>14</v>
      </c>
      <c r="W12" s="698">
        <f t="shared" si="2"/>
        <v>100</v>
      </c>
      <c r="X12" s="699"/>
      <c r="Y12" s="3651"/>
      <c r="Z12" s="52">
        <f t="shared" si="7"/>
        <v>111</v>
      </c>
      <c r="AA12" s="700">
        <f>D12/F12</f>
        <v>1</v>
      </c>
      <c r="AB12" s="700">
        <f>D12/H12</f>
        <v>1</v>
      </c>
      <c r="AC12" s="700">
        <f>D12/J12</f>
        <v>1</v>
      </c>
    </row>
    <row r="13" spans="1:29" ht="15">
      <c r="A13" s="376"/>
      <c r="B13" s="1885">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44"/>
      <c r="Q13" s="1335">
        <f t="shared" si="6"/>
        <v>111</v>
      </c>
      <c r="R13" s="697" t="s">
        <v>14</v>
      </c>
      <c r="S13" s="698">
        <f t="shared" si="0"/>
        <v>100</v>
      </c>
      <c r="T13" s="697" t="s">
        <v>14</v>
      </c>
      <c r="U13" s="698">
        <f t="shared" si="1"/>
        <v>100</v>
      </c>
      <c r="V13" s="697" t="s">
        <v>14</v>
      </c>
      <c r="W13" s="698">
        <f t="shared" si="2"/>
        <v>100</v>
      </c>
      <c r="X13" s="699"/>
      <c r="Y13" s="3651"/>
      <c r="Z13" s="52">
        <f t="shared" si="7"/>
        <v>111</v>
      </c>
      <c r="AA13" s="700">
        <f t="shared" si="3"/>
        <v>1</v>
      </c>
      <c r="AB13" s="700">
        <f t="shared" si="4"/>
        <v>1</v>
      </c>
      <c r="AC13" s="700">
        <f t="shared" si="5"/>
        <v>1</v>
      </c>
    </row>
    <row r="14" spans="1:29" ht="15.75" thickBot="1">
      <c r="A14" s="384"/>
      <c r="B14" s="1887">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44"/>
      <c r="Q14" s="1335">
        <f t="shared" si="6"/>
        <v>111</v>
      </c>
      <c r="R14" s="697" t="s">
        <v>14</v>
      </c>
      <c r="S14" s="698">
        <f t="shared" si="0"/>
        <v>100</v>
      </c>
      <c r="T14" s="697" t="s">
        <v>14</v>
      </c>
      <c r="U14" s="698">
        <f t="shared" si="1"/>
        <v>100</v>
      </c>
      <c r="V14" s="697" t="s">
        <v>14</v>
      </c>
      <c r="W14" s="698">
        <f t="shared" si="2"/>
        <v>100</v>
      </c>
      <c r="X14" s="699"/>
      <c r="Y14" s="3651"/>
      <c r="Z14" s="52">
        <f t="shared" si="7"/>
        <v>111</v>
      </c>
      <c r="AA14" s="700">
        <f t="shared" si="3"/>
        <v>1</v>
      </c>
      <c r="AB14" s="700">
        <f t="shared" si="4"/>
        <v>1</v>
      </c>
      <c r="AC14" s="700">
        <f t="shared" si="5"/>
        <v>1</v>
      </c>
    </row>
    <row r="15" spans="1:29" ht="71.25">
      <c r="A15" s="388" t="s">
        <v>1690</v>
      </c>
      <c r="B15" s="61" t="s">
        <v>1777</v>
      </c>
      <c r="C15" s="1888"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750" t="s">
        <v>1691</v>
      </c>
      <c r="Q15" s="1344" t="str">
        <f t="shared" si="6"/>
        <v>商业繁华度</v>
      </c>
      <c r="R15" s="701" t="s">
        <v>14</v>
      </c>
      <c r="S15" s="702">
        <f t="shared" si="0"/>
        <v>100</v>
      </c>
      <c r="T15" s="701" t="s">
        <v>14</v>
      </c>
      <c r="U15" s="702">
        <f t="shared" si="1"/>
        <v>100</v>
      </c>
      <c r="V15" s="701" t="s">
        <v>14</v>
      </c>
      <c r="W15" s="702">
        <f t="shared" si="2"/>
        <v>100</v>
      </c>
      <c r="X15" s="1347"/>
      <c r="Y15" s="3752" t="s">
        <v>1691</v>
      </c>
      <c r="Z15" s="1348" t="str">
        <f t="shared" si="7"/>
        <v>商业繁华度</v>
      </c>
      <c r="AA15" s="1345">
        <f t="shared" si="3"/>
        <v>1</v>
      </c>
      <c r="AB15" s="1345">
        <f t="shared" si="4"/>
        <v>1</v>
      </c>
      <c r="AC15" s="1345">
        <f t="shared" si="5"/>
        <v>1</v>
      </c>
    </row>
    <row r="16" spans="1:29" ht="15">
      <c r="A16" s="376"/>
      <c r="B16" s="394"/>
      <c r="C16" s="395"/>
      <c r="D16" s="396"/>
      <c r="E16" s="395"/>
      <c r="F16" s="397"/>
      <c r="G16" s="395"/>
      <c r="H16" s="398"/>
      <c r="I16" s="395"/>
      <c r="J16" s="396"/>
      <c r="K16" s="561"/>
      <c r="L16" s="2714"/>
      <c r="M16" s="2708"/>
      <c r="N16" s="2708"/>
      <c r="O16" s="2708"/>
      <c r="P16" s="3751"/>
      <c r="Q16" s="1344"/>
      <c r="R16" s="701"/>
      <c r="S16" s="702"/>
      <c r="T16" s="701"/>
      <c r="U16" s="702"/>
      <c r="V16" s="701"/>
      <c r="W16" s="702"/>
      <c r="X16" s="1347"/>
      <c r="Y16" s="3753"/>
      <c r="Z16" s="1348"/>
      <c r="AA16" s="1345">
        <v>1</v>
      </c>
      <c r="AB16" s="1345">
        <v>1</v>
      </c>
      <c r="AC16" s="1345">
        <v>1</v>
      </c>
    </row>
    <row r="17" spans="1:29" ht="85.5">
      <c r="A17" s="376"/>
      <c r="B17" s="399" t="s">
        <v>1259</v>
      </c>
      <c r="C17" s="1892"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751"/>
      <c r="Q17" s="1344" t="str">
        <f>B17</f>
        <v>交通便捷度</v>
      </c>
      <c r="R17" s="701" t="s">
        <v>14</v>
      </c>
      <c r="S17" s="702">
        <f>F17</f>
        <v>100</v>
      </c>
      <c r="T17" s="701" t="s">
        <v>14</v>
      </c>
      <c r="U17" s="702">
        <f>H17</f>
        <v>100</v>
      </c>
      <c r="V17" s="701" t="s">
        <v>14</v>
      </c>
      <c r="W17" s="702">
        <f>J17</f>
        <v>100</v>
      </c>
      <c r="X17" s="1347"/>
      <c r="Y17" s="3753"/>
      <c r="Z17" s="1348" t="str">
        <f>Q17</f>
        <v>交通便捷度</v>
      </c>
      <c r="AA17" s="1345">
        <f t="shared" si="3"/>
        <v>1</v>
      </c>
      <c r="AB17" s="1345">
        <f t="shared" si="4"/>
        <v>1</v>
      </c>
      <c r="AC17" s="1345">
        <f t="shared" si="5"/>
        <v>1</v>
      </c>
    </row>
    <row r="18" spans="1:29" ht="15">
      <c r="A18" s="376"/>
      <c r="B18" s="404"/>
      <c r="C18" s="1893"/>
      <c r="D18" s="398"/>
      <c r="E18" s="1895"/>
      <c r="F18" s="401"/>
      <c r="G18" s="1894"/>
      <c r="H18" s="396"/>
      <c r="I18" s="1895"/>
      <c r="J18" s="396"/>
      <c r="K18" s="561"/>
      <c r="L18" s="2714"/>
      <c r="M18" s="2708"/>
      <c r="N18" s="2708"/>
      <c r="O18" s="2708"/>
      <c r="P18" s="3751"/>
      <c r="Q18" s="1344"/>
      <c r="R18" s="701"/>
      <c r="S18" s="702"/>
      <c r="T18" s="701"/>
      <c r="U18" s="702"/>
      <c r="V18" s="701"/>
      <c r="W18" s="702"/>
      <c r="X18" s="1347"/>
      <c r="Y18" s="3753"/>
      <c r="Z18" s="1348"/>
      <c r="AA18" s="1345">
        <v>1</v>
      </c>
      <c r="AB18" s="1345">
        <v>1</v>
      </c>
      <c r="AC18" s="1345">
        <v>1</v>
      </c>
    </row>
    <row r="19" spans="1:29" ht="42.75">
      <c r="A19" s="376"/>
      <c r="B19" s="399" t="s">
        <v>1778</v>
      </c>
      <c r="C19" s="1892"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751"/>
      <c r="Q19" s="1344" t="str">
        <f>B19</f>
        <v>公共配套设施</v>
      </c>
      <c r="R19" s="701" t="s">
        <v>14</v>
      </c>
      <c r="S19" s="702">
        <f>F19</f>
        <v>100</v>
      </c>
      <c r="T19" s="701" t="s">
        <v>14</v>
      </c>
      <c r="U19" s="702">
        <f>H19</f>
        <v>100</v>
      </c>
      <c r="V19" s="701" t="s">
        <v>14</v>
      </c>
      <c r="W19" s="702">
        <f>J19</f>
        <v>100</v>
      </c>
      <c r="X19" s="1347"/>
      <c r="Y19" s="3753"/>
      <c r="Z19" s="1348" t="str">
        <f>Q19</f>
        <v>公共配套设施</v>
      </c>
      <c r="AA19" s="1345">
        <f t="shared" si="3"/>
        <v>1</v>
      </c>
      <c r="AB19" s="1345">
        <f t="shared" si="4"/>
        <v>1</v>
      </c>
      <c r="AC19" s="1345">
        <f t="shared" si="5"/>
        <v>1</v>
      </c>
    </row>
    <row r="20" spans="1:29" ht="15">
      <c r="A20" s="376"/>
      <c r="B20" s="404"/>
      <c r="C20" s="395"/>
      <c r="D20" s="396"/>
      <c r="E20" s="1890"/>
      <c r="F20" s="397"/>
      <c r="G20" s="1889"/>
      <c r="H20" s="396"/>
      <c r="I20" s="1890"/>
      <c r="J20" s="396"/>
      <c r="K20" s="561"/>
      <c r="L20" s="2714"/>
      <c r="M20" s="2708"/>
      <c r="N20" s="2708"/>
      <c r="O20" s="2708"/>
      <c r="P20" s="3751"/>
      <c r="Q20" s="1344"/>
      <c r="R20" s="701"/>
      <c r="S20" s="702"/>
      <c r="T20" s="701"/>
      <c r="U20" s="702"/>
      <c r="V20" s="701"/>
      <c r="W20" s="702"/>
      <c r="X20" s="1347"/>
      <c r="Y20" s="3753"/>
      <c r="Z20" s="1348"/>
      <c r="AA20" s="1345">
        <v>1</v>
      </c>
      <c r="AB20" s="1345">
        <v>1</v>
      </c>
      <c r="AC20" s="1345">
        <v>1</v>
      </c>
    </row>
    <row r="21" spans="1:29" ht="28.5">
      <c r="A21" s="376"/>
      <c r="B21" s="1123" t="s">
        <v>1779</v>
      </c>
      <c r="C21" s="1892"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751"/>
      <c r="Q21" s="1344" t="str">
        <f>B21</f>
        <v>基础设施水平</v>
      </c>
      <c r="R21" s="701" t="s">
        <v>14</v>
      </c>
      <c r="S21" s="702">
        <f>F21</f>
        <v>100</v>
      </c>
      <c r="T21" s="701" t="s">
        <v>14</v>
      </c>
      <c r="U21" s="702">
        <f>H21</f>
        <v>100</v>
      </c>
      <c r="V21" s="701" t="s">
        <v>14</v>
      </c>
      <c r="W21" s="702">
        <f>J21</f>
        <v>100</v>
      </c>
      <c r="X21" s="1347"/>
      <c r="Y21" s="3753"/>
      <c r="Z21" s="1348" t="str">
        <f>Q21</f>
        <v>基础设施水平</v>
      </c>
      <c r="AA21" s="1345">
        <f t="shared" ref="AA21" si="8">D21/F21</f>
        <v>1</v>
      </c>
      <c r="AB21" s="1345">
        <f t="shared" ref="AB21" si="9">D21/H21</f>
        <v>1</v>
      </c>
      <c r="AC21" s="1345">
        <f t="shared" ref="AC21" si="10">D21/J21</f>
        <v>1</v>
      </c>
    </row>
    <row r="22" spans="1:29" ht="15">
      <c r="A22" s="376"/>
      <c r="B22" s="1123"/>
      <c r="C22" s="1893"/>
      <c r="D22" s="396"/>
      <c r="E22" s="395"/>
      <c r="F22" s="397"/>
      <c r="G22" s="395"/>
      <c r="H22" s="396"/>
      <c r="I22" s="395"/>
      <c r="J22" s="396"/>
      <c r="K22" s="1122"/>
      <c r="L22" s="2714"/>
      <c r="M22" s="2708"/>
      <c r="N22" s="2708"/>
      <c r="O22" s="2708"/>
      <c r="P22" s="3751"/>
      <c r="Q22" s="1344"/>
      <c r="R22" s="701"/>
      <c r="S22" s="702"/>
      <c r="T22" s="701"/>
      <c r="U22" s="702"/>
      <c r="V22" s="701"/>
      <c r="W22" s="702"/>
      <c r="X22" s="1347"/>
      <c r="Y22" s="3753"/>
      <c r="Z22" s="1348"/>
      <c r="AA22" s="1345">
        <v>1</v>
      </c>
      <c r="AB22" s="1345">
        <v>1</v>
      </c>
      <c r="AC22" s="1345">
        <v>1</v>
      </c>
    </row>
    <row r="23" spans="1:29" ht="57">
      <c r="A23" s="376"/>
      <c r="B23" s="399" t="s">
        <v>1261</v>
      </c>
      <c r="C23" s="1947"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751"/>
      <c r="Q23" s="1344" t="str">
        <f>B23</f>
        <v>自然及人文环境</v>
      </c>
      <c r="R23" s="701" t="s">
        <v>14</v>
      </c>
      <c r="S23" s="702">
        <f>F23</f>
        <v>100</v>
      </c>
      <c r="T23" s="701" t="s">
        <v>14</v>
      </c>
      <c r="U23" s="702">
        <f>H23</f>
        <v>100</v>
      </c>
      <c r="V23" s="701" t="s">
        <v>14</v>
      </c>
      <c r="W23" s="702">
        <f>J23</f>
        <v>100</v>
      </c>
      <c r="X23" s="1347"/>
      <c r="Y23" s="3753"/>
      <c r="Z23" s="1348" t="str">
        <f>Q23</f>
        <v>自然及人文环境</v>
      </c>
      <c r="AA23" s="1345">
        <f t="shared" si="3"/>
        <v>1</v>
      </c>
      <c r="AB23" s="1345">
        <f t="shared" si="4"/>
        <v>1</v>
      </c>
      <c r="AC23" s="1345">
        <f t="shared" si="5"/>
        <v>1</v>
      </c>
    </row>
    <row r="24" spans="1:29" ht="15">
      <c r="A24" s="376"/>
      <c r="B24" s="404"/>
      <c r="C24" s="395"/>
      <c r="D24" s="396"/>
      <c r="E24" s="1890"/>
      <c r="F24" s="397"/>
      <c r="G24" s="1889"/>
      <c r="H24" s="396"/>
      <c r="I24" s="1890"/>
      <c r="J24" s="396"/>
      <c r="K24" s="561"/>
      <c r="L24" s="2714"/>
      <c r="M24" s="2708"/>
      <c r="N24" s="2708"/>
      <c r="O24" s="2708"/>
      <c r="P24" s="3751"/>
      <c r="Q24" s="1344"/>
      <c r="R24" s="701"/>
      <c r="S24" s="702"/>
      <c r="T24" s="701"/>
      <c r="U24" s="702"/>
      <c r="V24" s="701"/>
      <c r="W24" s="702"/>
      <c r="X24" s="1347"/>
      <c r="Y24" s="3753"/>
      <c r="Z24" s="1348"/>
      <c r="AA24" s="1345">
        <v>1</v>
      </c>
      <c r="AB24" s="1345">
        <v>1</v>
      </c>
      <c r="AC24" s="1345">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751"/>
      <c r="Q25" s="1344" t="str">
        <f t="shared" ref="Q25:Q46" si="11">B25</f>
        <v>临街状况</v>
      </c>
      <c r="R25" s="701" t="s">
        <v>14</v>
      </c>
      <c r="S25" s="702">
        <f>F25</f>
        <v>100</v>
      </c>
      <c r="T25" s="701" t="s">
        <v>14</v>
      </c>
      <c r="U25" s="702">
        <f>H25</f>
        <v>100</v>
      </c>
      <c r="V25" s="701" t="s">
        <v>14</v>
      </c>
      <c r="W25" s="702">
        <f>J25</f>
        <v>100</v>
      </c>
      <c r="X25" s="1347"/>
      <c r="Y25" s="3753"/>
      <c r="Z25" s="1348" t="str">
        <f>Q25</f>
        <v>临街状况</v>
      </c>
      <c r="AA25" s="1345">
        <f t="shared" si="3"/>
        <v>1</v>
      </c>
      <c r="AB25" s="1345">
        <f t="shared" si="4"/>
        <v>1</v>
      </c>
      <c r="AC25" s="1345">
        <f t="shared" si="5"/>
        <v>1</v>
      </c>
    </row>
    <row r="26" spans="1:29" ht="15">
      <c r="A26" s="376"/>
      <c r="B26" s="1125"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751"/>
      <c r="Q26" s="1344" t="str">
        <f t="shared" si="11"/>
        <v>平面位置/可视性</v>
      </c>
      <c r="R26" s="701" t="s">
        <v>14</v>
      </c>
      <c r="S26" s="702">
        <f>F26</f>
        <v>100</v>
      </c>
      <c r="T26" s="701" t="s">
        <v>14</v>
      </c>
      <c r="U26" s="702">
        <f>H26</f>
        <v>100</v>
      </c>
      <c r="V26" s="701" t="s">
        <v>14</v>
      </c>
      <c r="W26" s="702">
        <f>J26</f>
        <v>100</v>
      </c>
      <c r="X26" s="1347"/>
      <c r="Y26" s="3753"/>
      <c r="Z26" s="1348" t="str">
        <f>Q26</f>
        <v>平面位置/可视性</v>
      </c>
      <c r="AA26" s="1345">
        <f t="shared" si="3"/>
        <v>1</v>
      </c>
      <c r="AB26" s="1345">
        <f t="shared" si="4"/>
        <v>1</v>
      </c>
      <c r="AC26" s="1345">
        <f t="shared" si="5"/>
        <v>1</v>
      </c>
    </row>
    <row r="27" spans="1:29" s="108" customFormat="1" ht="15">
      <c r="A27" s="379"/>
      <c r="B27" s="399" t="s">
        <v>1782</v>
      </c>
      <c r="C27" s="1948"/>
      <c r="D27" s="410">
        <v>100</v>
      </c>
      <c r="E27" s="1948"/>
      <c r="F27" s="412">
        <f>SUMIF(90:90,E27,91:91)-SUMIF(90:90,C27,91:91)+100</f>
        <v>100</v>
      </c>
      <c r="G27" s="1948"/>
      <c r="H27" s="410">
        <f>SUMIF(90:90,G27,91:91)-SUMIF(90:90,C27,91:91)+100</f>
        <v>100</v>
      </c>
      <c r="I27" s="1948"/>
      <c r="J27" s="410">
        <f>SUMIF(90:90,I27,91:91)-SUMIF(90:90,C27,91:91)+100</f>
        <v>100</v>
      </c>
      <c r="K27" s="558"/>
      <c r="L27" s="2709"/>
      <c r="M27" s="2710"/>
      <c r="N27" s="2710"/>
      <c r="O27" s="2710"/>
      <c r="P27" s="3751"/>
      <c r="Q27" s="1335" t="str">
        <f t="shared" si="11"/>
        <v>人流量</v>
      </c>
      <c r="R27" s="697" t="s">
        <v>14</v>
      </c>
      <c r="S27" s="698">
        <f>F27</f>
        <v>100</v>
      </c>
      <c r="T27" s="697" t="s">
        <v>14</v>
      </c>
      <c r="U27" s="698">
        <f>H27</f>
        <v>100</v>
      </c>
      <c r="V27" s="697" t="s">
        <v>14</v>
      </c>
      <c r="W27" s="698">
        <f>J27</f>
        <v>100</v>
      </c>
      <c r="X27" s="699"/>
      <c r="Y27" s="3753"/>
      <c r="Z27" s="52" t="str">
        <f>Q27</f>
        <v>人流量</v>
      </c>
      <c r="AA27" s="1345">
        <f>D27/F27</f>
        <v>1</v>
      </c>
      <c r="AB27" s="1345">
        <f>D27/H27</f>
        <v>1</v>
      </c>
      <c r="AC27" s="1345">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751"/>
      <c r="Q28" s="1344" t="str">
        <f t="shared" si="11"/>
        <v>楼层</v>
      </c>
      <c r="R28" s="701" t="s">
        <v>14</v>
      </c>
      <c r="S28" s="702">
        <f t="shared" ref="S28:S46" si="12">F28</f>
        <v>100</v>
      </c>
      <c r="T28" s="701" t="s">
        <v>14</v>
      </c>
      <c r="U28" s="702">
        <f t="shared" ref="U28:U46" si="13">H28</f>
        <v>100</v>
      </c>
      <c r="V28" s="701" t="s">
        <v>14</v>
      </c>
      <c r="W28" s="702">
        <f t="shared" ref="W28:W46" si="14">J28</f>
        <v>100</v>
      </c>
      <c r="X28" s="1347"/>
      <c r="Y28" s="3753"/>
      <c r="Z28" s="1348" t="str">
        <f t="shared" ref="Z28:Z46" si="15">Q28</f>
        <v>楼层</v>
      </c>
      <c r="AA28" s="1345">
        <f t="shared" si="3"/>
        <v>1</v>
      </c>
      <c r="AB28" s="1345">
        <f t="shared" si="4"/>
        <v>1</v>
      </c>
      <c r="AC28" s="1345">
        <f t="shared" si="5"/>
        <v>1</v>
      </c>
    </row>
    <row r="29" spans="1:29" ht="15">
      <c r="A29" s="376"/>
      <c r="B29" s="1125">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751"/>
      <c r="Q29" s="1344">
        <f t="shared" si="11"/>
        <v>111</v>
      </c>
      <c r="R29" s="701" t="s">
        <v>14</v>
      </c>
      <c r="S29" s="702">
        <f t="shared" si="12"/>
        <v>100</v>
      </c>
      <c r="T29" s="701" t="s">
        <v>14</v>
      </c>
      <c r="U29" s="702">
        <f t="shared" si="13"/>
        <v>100</v>
      </c>
      <c r="V29" s="701" t="s">
        <v>14</v>
      </c>
      <c r="W29" s="702">
        <f t="shared" si="14"/>
        <v>100</v>
      </c>
      <c r="X29" s="1347"/>
      <c r="Y29" s="3753"/>
      <c r="Z29" s="1348">
        <f t="shared" si="15"/>
        <v>111</v>
      </c>
      <c r="AA29" s="1345">
        <f t="shared" si="3"/>
        <v>1</v>
      </c>
      <c r="AB29" s="1345">
        <f t="shared" si="4"/>
        <v>1</v>
      </c>
      <c r="AC29" s="1345">
        <f t="shared" si="5"/>
        <v>1</v>
      </c>
    </row>
    <row r="30" spans="1:29" ht="15">
      <c r="A30" s="376"/>
      <c r="B30" s="1125">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751"/>
      <c r="Q30" s="1344">
        <f t="shared" si="11"/>
        <v>111</v>
      </c>
      <c r="R30" s="701" t="s">
        <v>14</v>
      </c>
      <c r="S30" s="702">
        <f t="shared" si="12"/>
        <v>100</v>
      </c>
      <c r="T30" s="701" t="s">
        <v>14</v>
      </c>
      <c r="U30" s="702">
        <f t="shared" si="13"/>
        <v>100</v>
      </c>
      <c r="V30" s="701" t="s">
        <v>14</v>
      </c>
      <c r="W30" s="702">
        <f t="shared" si="14"/>
        <v>100</v>
      </c>
      <c r="X30" s="1347"/>
      <c r="Y30" s="3753"/>
      <c r="Z30" s="1348">
        <f t="shared" si="15"/>
        <v>111</v>
      </c>
      <c r="AA30" s="1345">
        <f t="shared" si="3"/>
        <v>1</v>
      </c>
      <c r="AB30" s="1345">
        <f t="shared" si="4"/>
        <v>1</v>
      </c>
      <c r="AC30" s="1345">
        <f t="shared" si="5"/>
        <v>1</v>
      </c>
    </row>
    <row r="31" spans="1:29" ht="15.75" thickBot="1">
      <c r="A31" s="384"/>
      <c r="B31" s="1125">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751"/>
      <c r="Q31" s="1344">
        <f t="shared" si="11"/>
        <v>111</v>
      </c>
      <c r="R31" s="701" t="s">
        <v>14</v>
      </c>
      <c r="S31" s="702">
        <f t="shared" si="12"/>
        <v>100</v>
      </c>
      <c r="T31" s="701" t="s">
        <v>14</v>
      </c>
      <c r="U31" s="702">
        <f t="shared" si="13"/>
        <v>100</v>
      </c>
      <c r="V31" s="701" t="s">
        <v>14</v>
      </c>
      <c r="W31" s="702">
        <f t="shared" si="14"/>
        <v>100</v>
      </c>
      <c r="X31" s="1347"/>
      <c r="Y31" s="3753"/>
      <c r="Z31" s="1348">
        <f t="shared" si="15"/>
        <v>111</v>
      </c>
      <c r="AA31" s="1345">
        <f t="shared" si="3"/>
        <v>1</v>
      </c>
      <c r="AB31" s="1345">
        <f t="shared" si="4"/>
        <v>1</v>
      </c>
      <c r="AC31" s="1345">
        <f t="shared" si="5"/>
        <v>1</v>
      </c>
    </row>
    <row r="32" spans="1:29" ht="15">
      <c r="A32" s="388" t="s">
        <v>1694</v>
      </c>
      <c r="B32" s="63" t="s">
        <v>1784</v>
      </c>
      <c r="C32" s="1902"/>
      <c r="D32" s="415">
        <v>100</v>
      </c>
      <c r="E32" s="1902"/>
      <c r="F32" s="409">
        <f>SUMIF(100:100,E32,101:101)-SUMIF(100:100,C32,101:101)+100</f>
        <v>100</v>
      </c>
      <c r="G32" s="1902"/>
      <c r="H32" s="383">
        <f>SUMIF(100:100,G32,101:101)-SUMIF(100:100,C32,101:101)+100</f>
        <v>100</v>
      </c>
      <c r="I32" s="1902"/>
      <c r="J32" s="415">
        <f>SUMIF(100:100,I32,101:101)-SUMIF(100:100,C32,101:101)+100</f>
        <v>100</v>
      </c>
      <c r="K32" s="558"/>
      <c r="L32" s="2714"/>
      <c r="M32" s="2708"/>
      <c r="N32" s="2708"/>
      <c r="O32" s="2708"/>
      <c r="P32" s="3754" t="s">
        <v>1696</v>
      </c>
      <c r="Q32" s="1344" t="str">
        <f t="shared" si="11"/>
        <v>商业类型</v>
      </c>
      <c r="R32" s="701" t="s">
        <v>14</v>
      </c>
      <c r="S32" s="702">
        <f t="shared" si="12"/>
        <v>100</v>
      </c>
      <c r="T32" s="701" t="s">
        <v>14</v>
      </c>
      <c r="U32" s="702">
        <f t="shared" si="13"/>
        <v>100</v>
      </c>
      <c r="V32" s="701" t="s">
        <v>14</v>
      </c>
      <c r="W32" s="702">
        <f t="shared" si="14"/>
        <v>100</v>
      </c>
      <c r="X32" s="1347"/>
      <c r="Y32" s="3757" t="s">
        <v>1696</v>
      </c>
      <c r="Z32" s="1348" t="str">
        <f t="shared" si="15"/>
        <v>商业类型</v>
      </c>
      <c r="AA32" s="1345">
        <f t="shared" si="3"/>
        <v>1</v>
      </c>
      <c r="AB32" s="1345">
        <f t="shared" si="4"/>
        <v>1</v>
      </c>
      <c r="AC32" s="1345">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3"/>
      <c r="M33" s="2715"/>
      <c r="N33" s="2715"/>
      <c r="O33" s="2715"/>
      <c r="P33" s="3755"/>
      <c r="Q33" s="703" t="str">
        <f t="shared" si="11"/>
        <v>项目建筑规模</v>
      </c>
      <c r="R33" s="704" t="s">
        <v>14</v>
      </c>
      <c r="S33" s="705" t="e">
        <f t="shared" si="12"/>
        <v>#N/A</v>
      </c>
      <c r="T33" s="704" t="s">
        <v>14</v>
      </c>
      <c r="U33" s="705" t="e">
        <f t="shared" si="13"/>
        <v>#N/A</v>
      </c>
      <c r="V33" s="704" t="s">
        <v>14</v>
      </c>
      <c r="W33" s="705" t="e">
        <f t="shared" si="14"/>
        <v>#N/A</v>
      </c>
      <c r="X33" s="706"/>
      <c r="Y33" s="3757"/>
      <c r="Z33" s="707" t="str">
        <f t="shared" si="15"/>
        <v>项目建筑规模</v>
      </c>
      <c r="AA33" s="1345" t="e">
        <f t="shared" si="3"/>
        <v>#N/A</v>
      </c>
      <c r="AB33" s="1345" t="e">
        <f t="shared" si="4"/>
        <v>#N/A</v>
      </c>
      <c r="AC33" s="1345" t="e">
        <f t="shared" si="5"/>
        <v>#N/A</v>
      </c>
    </row>
    <row r="34" spans="1:29" ht="15">
      <c r="A34" s="420"/>
      <c r="B34" s="372" t="s">
        <v>1698</v>
      </c>
      <c r="C34" s="1904"/>
      <c r="D34" s="383">
        <v>100</v>
      </c>
      <c r="E34" s="1904"/>
      <c r="F34" s="409">
        <f>SUMIF(105:105,E34,106:106)-SUMIF(105:105,C34,106:106)+100</f>
        <v>100</v>
      </c>
      <c r="G34" s="1904"/>
      <c r="H34" s="383">
        <f>SUMIF(105:105,G34,106:106)-SUMIF(105:105,C34,106:106)+100</f>
        <v>100</v>
      </c>
      <c r="I34" s="1904"/>
      <c r="J34" s="383">
        <f>SUMIF(105:105,I34,106:106)-SUMIF(105:105,C34,106:106)+100</f>
        <v>100</v>
      </c>
      <c r="K34" s="558"/>
      <c r="L34" s="2714"/>
      <c r="M34" s="2708"/>
      <c r="N34" s="2708"/>
      <c r="O34" s="2708"/>
      <c r="P34" s="3755"/>
      <c r="Q34" s="1344" t="str">
        <f t="shared" si="11"/>
        <v>建筑结构</v>
      </c>
      <c r="R34" s="701" t="s">
        <v>14</v>
      </c>
      <c r="S34" s="702">
        <f t="shared" si="12"/>
        <v>100</v>
      </c>
      <c r="T34" s="701" t="s">
        <v>14</v>
      </c>
      <c r="U34" s="702">
        <f t="shared" si="13"/>
        <v>100</v>
      </c>
      <c r="V34" s="701" t="s">
        <v>14</v>
      </c>
      <c r="W34" s="702">
        <f t="shared" si="14"/>
        <v>100</v>
      </c>
      <c r="X34" s="1347"/>
      <c r="Y34" s="3757"/>
      <c r="Z34" s="1348" t="str">
        <f t="shared" si="15"/>
        <v>建筑结构</v>
      </c>
      <c r="AA34" s="1345">
        <f t="shared" si="3"/>
        <v>1</v>
      </c>
      <c r="AB34" s="1345">
        <f t="shared" si="4"/>
        <v>1</v>
      </c>
      <c r="AC34" s="1345">
        <f t="shared" si="5"/>
        <v>1</v>
      </c>
    </row>
    <row r="35" spans="1:29" ht="15">
      <c r="A35" s="420"/>
      <c r="B35" s="372" t="s">
        <v>1785</v>
      </c>
      <c r="C35" s="1898"/>
      <c r="D35" s="383">
        <v>100</v>
      </c>
      <c r="E35" s="1898"/>
      <c r="F35" s="409">
        <f>SUMIF(107:107,E35,108:108)-SUMIF(107:107,C35,108:108)+100</f>
        <v>100</v>
      </c>
      <c r="G35" s="1898"/>
      <c r="H35" s="383">
        <f>SUMIF(107:107,G35,108:108)-SUMIF(107:107,C35,108:108)+100</f>
        <v>100</v>
      </c>
      <c r="I35" s="1898"/>
      <c r="J35" s="383">
        <f>SUMIF(107:107,I35,108:108)-SUMIF(107:107,C35,108:108)+100</f>
        <v>100</v>
      </c>
      <c r="K35" s="558"/>
      <c r="L35" s="2714"/>
      <c r="M35" s="2708"/>
      <c r="N35" s="2708"/>
      <c r="O35" s="2708"/>
      <c r="P35" s="3755"/>
      <c r="Q35" s="1344" t="str">
        <f t="shared" si="11"/>
        <v>公共部分装修</v>
      </c>
      <c r="R35" s="701" t="s">
        <v>14</v>
      </c>
      <c r="S35" s="702">
        <f t="shared" si="12"/>
        <v>100</v>
      </c>
      <c r="T35" s="701" t="s">
        <v>14</v>
      </c>
      <c r="U35" s="702">
        <f t="shared" si="13"/>
        <v>100</v>
      </c>
      <c r="V35" s="701" t="s">
        <v>14</v>
      </c>
      <c r="W35" s="702">
        <f t="shared" si="14"/>
        <v>100</v>
      </c>
      <c r="X35" s="1347"/>
      <c r="Y35" s="3757"/>
      <c r="Z35" s="1348" t="str">
        <f t="shared" si="15"/>
        <v>公共部分装修</v>
      </c>
      <c r="AA35" s="1345">
        <f t="shared" si="3"/>
        <v>1</v>
      </c>
      <c r="AB35" s="1345">
        <f t="shared" si="4"/>
        <v>1</v>
      </c>
      <c r="AC35" s="1345">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755"/>
      <c r="Q36" s="1344" t="str">
        <f t="shared" si="11"/>
        <v>成新度</v>
      </c>
      <c r="R36" s="701" t="s">
        <v>14</v>
      </c>
      <c r="S36" s="702" t="e">
        <f t="shared" si="12"/>
        <v>#N/A</v>
      </c>
      <c r="T36" s="701" t="s">
        <v>14</v>
      </c>
      <c r="U36" s="702" t="e">
        <f t="shared" si="13"/>
        <v>#N/A</v>
      </c>
      <c r="V36" s="701" t="s">
        <v>14</v>
      </c>
      <c r="W36" s="702" t="e">
        <f t="shared" si="14"/>
        <v>#N/A</v>
      </c>
      <c r="X36" s="1347"/>
      <c r="Y36" s="3757"/>
      <c r="Z36" s="1348" t="str">
        <f t="shared" si="15"/>
        <v>成新度</v>
      </c>
      <c r="AA36" s="1345" t="e">
        <f t="shared" si="3"/>
        <v>#N/A</v>
      </c>
      <c r="AB36" s="1345" t="e">
        <f t="shared" si="4"/>
        <v>#N/A</v>
      </c>
      <c r="AC36" s="1345" t="e">
        <f t="shared" si="5"/>
        <v>#N/A</v>
      </c>
    </row>
    <row r="37" spans="1:29" s="108" customFormat="1" ht="15">
      <c r="A37" s="421"/>
      <c r="B37" s="372" t="s">
        <v>1787</v>
      </c>
      <c r="C37" s="1898"/>
      <c r="D37" s="124">
        <v>100</v>
      </c>
      <c r="E37" s="1898"/>
      <c r="F37" s="409">
        <f>SUMIF(112:112,E37,113:113)-SUMIF(112:112,C37,113:113)+100</f>
        <v>100</v>
      </c>
      <c r="G37" s="1898"/>
      <c r="H37" s="383">
        <f>SUMIF(112:112,G37,113:113)-SUMIF(112:112,C37,113:113)+100</f>
        <v>100</v>
      </c>
      <c r="I37" s="1898"/>
      <c r="J37" s="383">
        <f>SUMIF(112:112,I37,113:113)-SUMIF(112:112,C37,113:113)+100</f>
        <v>100</v>
      </c>
      <c r="K37" s="558"/>
      <c r="L37" s="2709"/>
      <c r="M37" s="2710"/>
      <c r="N37" s="2710"/>
      <c r="O37" s="2710"/>
      <c r="P37" s="3755"/>
      <c r="Q37" s="1335" t="str">
        <f t="shared" si="11"/>
        <v>市政基础设施</v>
      </c>
      <c r="R37" s="697" t="s">
        <v>14</v>
      </c>
      <c r="S37" s="698">
        <f t="shared" si="12"/>
        <v>100</v>
      </c>
      <c r="T37" s="697" t="s">
        <v>14</v>
      </c>
      <c r="U37" s="698">
        <f t="shared" si="13"/>
        <v>100</v>
      </c>
      <c r="V37" s="697" t="s">
        <v>14</v>
      </c>
      <c r="W37" s="698">
        <f t="shared" si="14"/>
        <v>100</v>
      </c>
      <c r="X37" s="699"/>
      <c r="Y37" s="3757"/>
      <c r="Z37" s="52" t="str">
        <f t="shared" si="15"/>
        <v>市政基础设施</v>
      </c>
      <c r="AA37" s="700">
        <f t="shared" si="3"/>
        <v>1</v>
      </c>
      <c r="AB37" s="700">
        <f t="shared" si="4"/>
        <v>1</v>
      </c>
      <c r="AC37" s="700">
        <f t="shared" si="5"/>
        <v>1</v>
      </c>
    </row>
    <row r="38" spans="1:29" ht="15">
      <c r="A38" s="420"/>
      <c r="B38" s="372" t="s">
        <v>1788</v>
      </c>
      <c r="C38" s="1898"/>
      <c r="D38" s="383">
        <v>100</v>
      </c>
      <c r="E38" s="1898"/>
      <c r="F38" s="409">
        <f>SUMIF(114:114,E38,115:115)-SUMIF(114:114,C38,115:115)+100</f>
        <v>100</v>
      </c>
      <c r="G38" s="1898"/>
      <c r="H38" s="383">
        <f>SUMIF(114:114,G38,115:115)-SUMIF(114:114,C38,115:115)+100</f>
        <v>100</v>
      </c>
      <c r="I38" s="1898"/>
      <c r="J38" s="383">
        <f>SUMIF(114:114,I38,115:115)-SUMIF(114:114,C38,115:115)+100</f>
        <v>100</v>
      </c>
      <c r="K38" s="558"/>
      <c r="L38" s="2714"/>
      <c r="M38" s="2708"/>
      <c r="N38" s="2708"/>
      <c r="O38" s="2708"/>
      <c r="P38" s="3755" t="s">
        <v>1696</v>
      </c>
      <c r="Q38" s="1344" t="str">
        <f t="shared" si="11"/>
        <v>业态</v>
      </c>
      <c r="R38" s="701" t="s">
        <v>14</v>
      </c>
      <c r="S38" s="702">
        <f t="shared" si="12"/>
        <v>100</v>
      </c>
      <c r="T38" s="701" t="s">
        <v>14</v>
      </c>
      <c r="U38" s="702">
        <f t="shared" si="13"/>
        <v>100</v>
      </c>
      <c r="V38" s="701" t="s">
        <v>14</v>
      </c>
      <c r="W38" s="702">
        <f t="shared" si="14"/>
        <v>100</v>
      </c>
      <c r="X38" s="1347"/>
      <c r="Y38" s="3757" t="s">
        <v>1696</v>
      </c>
      <c r="Z38" s="1348" t="str">
        <f t="shared" si="15"/>
        <v>业态</v>
      </c>
      <c r="AA38" s="1345">
        <f t="shared" si="3"/>
        <v>1</v>
      </c>
      <c r="AB38" s="1345">
        <f t="shared" si="4"/>
        <v>1</v>
      </c>
      <c r="AC38" s="1345">
        <f t="shared" si="5"/>
        <v>1</v>
      </c>
    </row>
    <row r="39" spans="1:29" ht="15">
      <c r="A39" s="420"/>
      <c r="B39" s="372" t="s">
        <v>1789</v>
      </c>
      <c r="C39" s="1898"/>
      <c r="D39" s="383">
        <v>100</v>
      </c>
      <c r="E39" s="1898"/>
      <c r="F39" s="409">
        <f>SUMIF(116:116,E39,117:117)-SUMIF(116:116,C39,117:117)+100</f>
        <v>100</v>
      </c>
      <c r="G39" s="1898"/>
      <c r="H39" s="383">
        <f>SUMIF(116:116,G39,117:117)-SUMIF(116:116,C39,117:117)+100</f>
        <v>100</v>
      </c>
      <c r="I39" s="1898"/>
      <c r="J39" s="383">
        <f>SUMIF(116:116,I39,117:117)-SUMIF(116:116,C39,117:117)+100</f>
        <v>100</v>
      </c>
      <c r="K39" s="558"/>
      <c r="L39" s="2714"/>
      <c r="M39" s="2708"/>
      <c r="N39" s="2708"/>
      <c r="O39" s="2708"/>
      <c r="P39" s="3755"/>
      <c r="Q39" s="1344" t="str">
        <f t="shared" si="11"/>
        <v>层高</v>
      </c>
      <c r="R39" s="701" t="s">
        <v>14</v>
      </c>
      <c r="S39" s="702">
        <f t="shared" si="12"/>
        <v>100</v>
      </c>
      <c r="T39" s="701" t="s">
        <v>14</v>
      </c>
      <c r="U39" s="702">
        <f t="shared" si="13"/>
        <v>100</v>
      </c>
      <c r="V39" s="701" t="s">
        <v>14</v>
      </c>
      <c r="W39" s="702">
        <f t="shared" si="14"/>
        <v>100</v>
      </c>
      <c r="X39" s="1347"/>
      <c r="Y39" s="3757"/>
      <c r="Z39" s="1348" t="str">
        <f t="shared" si="15"/>
        <v>层高</v>
      </c>
      <c r="AA39" s="1345">
        <f t="shared" si="3"/>
        <v>1</v>
      </c>
      <c r="AB39" s="1345">
        <f t="shared" si="4"/>
        <v>1</v>
      </c>
      <c r="AC39" s="1345">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55"/>
      <c r="Q40" s="1344" t="str">
        <f t="shared" si="11"/>
        <v>单套建筑面积</v>
      </c>
      <c r="R40" s="701" t="s">
        <v>14</v>
      </c>
      <c r="S40" s="702">
        <f t="shared" si="12"/>
        <v>100</v>
      </c>
      <c r="T40" s="701" t="s">
        <v>14</v>
      </c>
      <c r="U40" s="702">
        <f t="shared" si="13"/>
        <v>100</v>
      </c>
      <c r="V40" s="701" t="s">
        <v>14</v>
      </c>
      <c r="W40" s="702">
        <f t="shared" si="14"/>
        <v>100</v>
      </c>
      <c r="X40" s="1347"/>
      <c r="Y40" s="3757"/>
      <c r="Z40" s="1348" t="str">
        <f t="shared" si="15"/>
        <v>单套建筑面积</v>
      </c>
      <c r="AA40" s="1345">
        <f t="shared" si="3"/>
        <v>1</v>
      </c>
      <c r="AB40" s="1345">
        <f t="shared" si="4"/>
        <v>1</v>
      </c>
      <c r="AC40" s="1345">
        <f t="shared" si="5"/>
        <v>1</v>
      </c>
    </row>
    <row r="41" spans="1:29" s="419" customFormat="1" ht="15">
      <c r="A41" s="416"/>
      <c r="B41" s="1346"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55"/>
      <c r="Q41" s="703" t="str">
        <f t="shared" si="11"/>
        <v>进深比</v>
      </c>
      <c r="R41" s="704" t="s">
        <v>14</v>
      </c>
      <c r="S41" s="705">
        <f t="shared" si="12"/>
        <v>100</v>
      </c>
      <c r="T41" s="704" t="s">
        <v>14</v>
      </c>
      <c r="U41" s="705">
        <f t="shared" si="13"/>
        <v>100</v>
      </c>
      <c r="V41" s="704" t="s">
        <v>14</v>
      </c>
      <c r="W41" s="705">
        <f t="shared" si="14"/>
        <v>100</v>
      </c>
      <c r="X41" s="706"/>
      <c r="Y41" s="3757"/>
      <c r="Z41" s="707" t="str">
        <f t="shared" si="15"/>
        <v>进深比</v>
      </c>
      <c r="AA41" s="1345">
        <f t="shared" si="3"/>
        <v>1</v>
      </c>
      <c r="AB41" s="1345">
        <f t="shared" si="4"/>
        <v>1</v>
      </c>
      <c r="AC41" s="1345">
        <f t="shared" si="5"/>
        <v>1</v>
      </c>
    </row>
    <row r="42" spans="1:29" ht="15">
      <c r="A42" s="420"/>
      <c r="B42" s="372" t="s">
        <v>1792</v>
      </c>
      <c r="C42" s="1898"/>
      <c r="D42" s="383">
        <v>100</v>
      </c>
      <c r="E42" s="1898"/>
      <c r="F42" s="409">
        <f>SUMIF(122:122,E42,123:123)-SUMIF(122:122,C42,123:123)+100</f>
        <v>100</v>
      </c>
      <c r="G42" s="1898"/>
      <c r="H42" s="383">
        <f>SUMIF(122:122,G42,123:123)-SUMIF(122:122,C42,123:123)+100</f>
        <v>100</v>
      </c>
      <c r="I42" s="1898"/>
      <c r="J42" s="383">
        <f>SUMIF(122:122,I42,123:123)-SUMIF(122:122,C42,123:123)+100</f>
        <v>100</v>
      </c>
      <c r="K42" s="558"/>
      <c r="L42" s="2714"/>
      <c r="M42" s="2708"/>
      <c r="N42" s="2708"/>
      <c r="O42" s="2708"/>
      <c r="P42" s="3755"/>
      <c r="Q42" s="1344" t="str">
        <f t="shared" si="11"/>
        <v>内部装修</v>
      </c>
      <c r="R42" s="701" t="s">
        <v>14</v>
      </c>
      <c r="S42" s="702">
        <f t="shared" si="12"/>
        <v>100</v>
      </c>
      <c r="T42" s="701" t="s">
        <v>14</v>
      </c>
      <c r="U42" s="702">
        <f t="shared" si="13"/>
        <v>100</v>
      </c>
      <c r="V42" s="701" t="s">
        <v>14</v>
      </c>
      <c r="W42" s="702">
        <f t="shared" si="14"/>
        <v>100</v>
      </c>
      <c r="X42" s="1347"/>
      <c r="Y42" s="3757"/>
      <c r="Z42" s="1348" t="str">
        <f t="shared" si="15"/>
        <v>内部装修</v>
      </c>
      <c r="AA42" s="1345">
        <f t="shared" si="3"/>
        <v>1</v>
      </c>
      <c r="AB42" s="1345">
        <f t="shared" si="4"/>
        <v>1</v>
      </c>
      <c r="AC42" s="1345">
        <f t="shared" si="5"/>
        <v>1</v>
      </c>
    </row>
    <row r="43" spans="1:29" ht="15">
      <c r="A43" s="420"/>
      <c r="B43" s="372" t="s">
        <v>1707</v>
      </c>
      <c r="C43" s="1898"/>
      <c r="D43" s="383">
        <v>100</v>
      </c>
      <c r="E43" s="1898"/>
      <c r="F43" s="409">
        <f>SUMIF(124:124,E43,125:125)-SUMIF(124:124,C43,125:125)+100</f>
        <v>100</v>
      </c>
      <c r="G43" s="1898"/>
      <c r="H43" s="383">
        <f>SUMIF(124:124,G43,125:125)-SUMIF(124:124,C43,125:125)+100</f>
        <v>100</v>
      </c>
      <c r="I43" s="1898"/>
      <c r="J43" s="383">
        <f>SUMIF(124:124,I43,125:125)-SUMIF(124:124,C43,125:125)+100</f>
        <v>100</v>
      </c>
      <c r="K43" s="558"/>
      <c r="L43" s="2714"/>
      <c r="M43" s="2708"/>
      <c r="N43" s="2708"/>
      <c r="O43" s="2708"/>
      <c r="P43" s="3755"/>
      <c r="Q43" s="1344" t="str">
        <f t="shared" si="11"/>
        <v>内部装修维护情况</v>
      </c>
      <c r="R43" s="701" t="s">
        <v>14</v>
      </c>
      <c r="S43" s="702">
        <f t="shared" si="12"/>
        <v>100</v>
      </c>
      <c r="T43" s="701" t="s">
        <v>14</v>
      </c>
      <c r="U43" s="702">
        <f t="shared" si="13"/>
        <v>100</v>
      </c>
      <c r="V43" s="701" t="s">
        <v>14</v>
      </c>
      <c r="W43" s="702">
        <f t="shared" si="14"/>
        <v>100</v>
      </c>
      <c r="X43" s="1347"/>
      <c r="Y43" s="3757"/>
      <c r="Z43" s="1348" t="str">
        <f t="shared" si="15"/>
        <v>内部装修维护情况</v>
      </c>
      <c r="AA43" s="1345">
        <f t="shared" si="3"/>
        <v>1</v>
      </c>
      <c r="AB43" s="1345">
        <f t="shared" si="4"/>
        <v>1</v>
      </c>
      <c r="AC43" s="1345">
        <f t="shared" si="5"/>
        <v>1</v>
      </c>
    </row>
    <row r="44" spans="1:29" s="108" customFormat="1" ht="15">
      <c r="A44" s="421"/>
      <c r="B44" s="1125">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09"/>
      <c r="M44" s="2710"/>
      <c r="N44" s="2710"/>
      <c r="O44" s="2710"/>
      <c r="P44" s="3755"/>
      <c r="Q44" s="1335">
        <f t="shared" si="11"/>
        <v>111</v>
      </c>
      <c r="R44" s="697" t="s">
        <v>14</v>
      </c>
      <c r="S44" s="698">
        <f t="shared" si="12"/>
        <v>100</v>
      </c>
      <c r="T44" s="697" t="s">
        <v>14</v>
      </c>
      <c r="U44" s="698">
        <f t="shared" si="13"/>
        <v>100</v>
      </c>
      <c r="V44" s="697" t="s">
        <v>14</v>
      </c>
      <c r="W44" s="698">
        <f t="shared" si="14"/>
        <v>100</v>
      </c>
      <c r="X44" s="699"/>
      <c r="Y44" s="3757"/>
      <c r="Z44" s="52">
        <f t="shared" si="15"/>
        <v>111</v>
      </c>
      <c r="AA44" s="700">
        <f t="shared" si="3"/>
        <v>1</v>
      </c>
      <c r="AB44" s="700">
        <f t="shared" si="4"/>
        <v>1</v>
      </c>
      <c r="AC44" s="700">
        <f t="shared" si="5"/>
        <v>1</v>
      </c>
    </row>
    <row r="45" spans="1:29" ht="15">
      <c r="A45" s="420"/>
      <c r="B45" s="1125">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55"/>
      <c r="Q45" s="1344">
        <f t="shared" si="11"/>
        <v>111</v>
      </c>
      <c r="R45" s="701" t="s">
        <v>14</v>
      </c>
      <c r="S45" s="702">
        <f t="shared" si="12"/>
        <v>100</v>
      </c>
      <c r="T45" s="701" t="s">
        <v>14</v>
      </c>
      <c r="U45" s="702">
        <f t="shared" si="13"/>
        <v>100</v>
      </c>
      <c r="V45" s="701" t="s">
        <v>14</v>
      </c>
      <c r="W45" s="702">
        <f t="shared" si="14"/>
        <v>100</v>
      </c>
      <c r="X45" s="1347"/>
      <c r="Y45" s="3757"/>
      <c r="Z45" s="1348">
        <f t="shared" si="15"/>
        <v>111</v>
      </c>
      <c r="AA45" s="1345">
        <f t="shared" si="3"/>
        <v>1</v>
      </c>
      <c r="AB45" s="1345">
        <f t="shared" si="4"/>
        <v>1</v>
      </c>
      <c r="AC45" s="1345">
        <f t="shared" si="5"/>
        <v>1</v>
      </c>
    </row>
    <row r="46" spans="1:29" ht="15.75" thickBot="1">
      <c r="A46" s="426"/>
      <c r="B46" s="1887">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56"/>
      <c r="Q46" s="1344">
        <f t="shared" si="11"/>
        <v>111</v>
      </c>
      <c r="R46" s="701" t="s">
        <v>14</v>
      </c>
      <c r="S46" s="702">
        <f t="shared" si="12"/>
        <v>100</v>
      </c>
      <c r="T46" s="701" t="s">
        <v>14</v>
      </c>
      <c r="U46" s="702">
        <f t="shared" si="13"/>
        <v>100</v>
      </c>
      <c r="V46" s="701" t="s">
        <v>14</v>
      </c>
      <c r="W46" s="702">
        <f t="shared" si="14"/>
        <v>100</v>
      </c>
      <c r="X46" s="1347"/>
      <c r="Y46" s="3758"/>
      <c r="Z46" s="1348">
        <f t="shared" si="15"/>
        <v>111</v>
      </c>
      <c r="AA46" s="1345">
        <f t="shared" si="3"/>
        <v>1</v>
      </c>
      <c r="AB46" s="1345">
        <f t="shared" si="4"/>
        <v>1</v>
      </c>
      <c r="AC46" s="1345">
        <f t="shared" si="5"/>
        <v>1</v>
      </c>
    </row>
    <row r="47" spans="1:29" ht="15">
      <c r="A47" s="427" t="s">
        <v>1708</v>
      </c>
      <c r="B47" s="428"/>
      <c r="C47" s="1146" t="s">
        <v>0</v>
      </c>
      <c r="D47" s="1147"/>
      <c r="E47" s="1148"/>
      <c r="F47" s="1149"/>
      <c r="G47" s="1150"/>
      <c r="H47" s="1151"/>
      <c r="I47" s="1148"/>
      <c r="J47" s="1151"/>
      <c r="K47" s="710"/>
      <c r="L47" s="2716"/>
      <c r="M47" s="2717"/>
      <c r="N47" s="2708"/>
      <c r="O47" s="2717"/>
      <c r="P47" s="3745" t="str">
        <f>A47</f>
        <v>成交单价（元/平方米）</v>
      </c>
      <c r="Q47" s="3745"/>
      <c r="R47" s="3779">
        <f>E47</f>
        <v>0</v>
      </c>
      <c r="S47" s="3779"/>
      <c r="T47" s="3779">
        <f>G47</f>
        <v>0</v>
      </c>
      <c r="U47" s="3779"/>
      <c r="V47" s="3779">
        <f>I47</f>
        <v>0</v>
      </c>
      <c r="W47" s="3779"/>
      <c r="X47" s="686"/>
      <c r="Y47" s="708"/>
      <c r="Z47" s="686"/>
      <c r="AA47" s="686"/>
      <c r="AB47" s="686"/>
      <c r="AC47" s="686"/>
    </row>
    <row r="48" spans="1:29" ht="15.75" thickBot="1">
      <c r="A48" s="434" t="s">
        <v>1793</v>
      </c>
      <c r="B48" s="435"/>
      <c r="C48" s="1152" t="e">
        <f>R49</f>
        <v>#DIV/0!</v>
      </c>
      <c r="D48" s="2309" t="s">
        <v>2138</v>
      </c>
      <c r="E48" s="1153" t="e">
        <f>R48</f>
        <v>#DIV/0!</v>
      </c>
      <c r="F48" s="2310"/>
      <c r="G48" s="1152" t="e">
        <f>T48</f>
        <v>#DIV/0!</v>
      </c>
      <c r="H48" s="2310"/>
      <c r="I48" s="1153" t="e">
        <f>V48</f>
        <v>#DIV/0!</v>
      </c>
      <c r="J48" s="2310"/>
      <c r="K48" s="2312">
        <f>F48+H48+J48</f>
        <v>0</v>
      </c>
      <c r="L48" s="2716"/>
      <c r="M48" s="2717"/>
      <c r="N48" s="2708"/>
      <c r="O48" s="2717"/>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86"/>
      <c r="Y48" s="686"/>
      <c r="Z48" s="686"/>
      <c r="AA48" s="686"/>
      <c r="AB48" s="686"/>
      <c r="AC48" s="686"/>
    </row>
    <row r="49" spans="1:29" ht="15.75" thickBot="1">
      <c r="A49" s="438" t="s">
        <v>1794</v>
      </c>
      <c r="B49" s="439"/>
      <c r="C49" s="1155" t="e">
        <f>R49</f>
        <v>#DIV/0!</v>
      </c>
      <c r="D49" s="1155"/>
      <c r="E49" s="1155"/>
      <c r="F49" s="1155"/>
      <c r="G49" s="1155"/>
      <c r="H49" s="1155"/>
      <c r="I49" s="1155"/>
      <c r="J49" s="1155"/>
      <c r="K49" s="711"/>
      <c r="L49" s="2716"/>
      <c r="M49" s="2717"/>
      <c r="N49" s="2708"/>
      <c r="O49" s="2717"/>
      <c r="P49" s="3824" t="str">
        <f>A49</f>
        <v>估价对象XX用房的比较价值（楼面单价，元/平方米）</v>
      </c>
      <c r="Q49" s="3825"/>
      <c r="R49" s="3826" t="e">
        <f>IF(F1="售价",ROUND(IF(D48="简单平均",AVERAGE(R48:V48),R48*F48+T48*H48+V48*J48),0),ROUND(IF(D48="简单平均",AVERAGE(R48:V48),R48*F48+T48*H48+V48*J48),1))</f>
        <v>#DIV/0!</v>
      </c>
      <c r="S49" s="3826"/>
      <c r="T49" s="3826"/>
      <c r="U49" s="3826"/>
      <c r="V49" s="3826"/>
      <c r="W49" s="3826"/>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4"/>
      <c r="M57" s="932"/>
      <c r="N57" s="932"/>
      <c r="O57" s="932"/>
      <c r="P57" s="2730"/>
      <c r="Q57" s="2731"/>
      <c r="R57" s="2717"/>
      <c r="S57" s="2717"/>
      <c r="T57" s="2717"/>
      <c r="U57" s="2717"/>
      <c r="V57" s="2717"/>
      <c r="W57" s="2717"/>
      <c r="X57" s="2717"/>
      <c r="Y57" s="2717"/>
      <c r="Z57" s="2717"/>
      <c r="AA57" s="2717"/>
      <c r="AB57" s="2717"/>
      <c r="AC57" s="2717"/>
    </row>
    <row r="58" spans="1:29" s="454" customFormat="1" ht="15">
      <c r="A58" s="451" t="s">
        <v>1679</v>
      </c>
      <c r="B58" s="452"/>
      <c r="C58" s="1176" t="str">
        <f>YEAR(C7)&amp;"-"&amp;MONTH(C7)</f>
        <v>2024-4</v>
      </c>
      <c r="D58" s="1177">
        <f>EDATE(C58,-1)</f>
        <v>45352</v>
      </c>
      <c r="E58" s="1177">
        <f t="shared" ref="E58:N58" si="16">EDATE(D58,-1)</f>
        <v>45323</v>
      </c>
      <c r="F58" s="1177">
        <f t="shared" si="16"/>
        <v>45292</v>
      </c>
      <c r="G58" s="1177">
        <f t="shared" si="16"/>
        <v>45261</v>
      </c>
      <c r="H58" s="1177">
        <f t="shared" si="16"/>
        <v>45231</v>
      </c>
      <c r="I58" s="1177">
        <f t="shared" si="16"/>
        <v>45200</v>
      </c>
      <c r="J58" s="1177">
        <f t="shared" si="16"/>
        <v>45170</v>
      </c>
      <c r="K58" s="1177">
        <f t="shared" si="16"/>
        <v>45139</v>
      </c>
      <c r="L58" s="1177">
        <f t="shared" si="16"/>
        <v>45108</v>
      </c>
      <c r="M58" s="1177">
        <f t="shared" si="16"/>
        <v>45078</v>
      </c>
      <c r="N58" s="1177">
        <f t="shared" si="16"/>
        <v>45047</v>
      </c>
      <c r="O58" s="1177">
        <f>EDATE(N58,-1)</f>
        <v>45017</v>
      </c>
      <c r="P58" s="2732"/>
      <c r="Q58" s="2733"/>
      <c r="R58" s="2733"/>
      <c r="S58" s="2733"/>
      <c r="T58" s="2733"/>
      <c r="U58" s="2733"/>
      <c r="V58" s="2733"/>
      <c r="W58" s="2733"/>
      <c r="X58" s="2733"/>
      <c r="Y58" s="2733"/>
      <c r="Z58" s="2733"/>
      <c r="AA58" s="2733"/>
      <c r="AB58" s="2733"/>
      <c r="AC58" s="2733"/>
    </row>
    <row r="59" spans="1:29" s="108" customFormat="1" ht="15">
      <c r="A59" s="455"/>
      <c r="B59" s="456"/>
      <c r="C59" s="1175">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1"/>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19"/>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0"/>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0"/>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949" t="s">
        <v>1826</v>
      </c>
      <c r="C1" s="1216" t="s">
        <v>1662</v>
      </c>
      <c r="D1" s="1217"/>
      <c r="E1" s="3425"/>
      <c r="F1" s="1871"/>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49" customFormat="1" ht="28.5" customHeight="1" thickTop="1">
      <c r="A2" s="1213" t="s">
        <v>1462</v>
      </c>
      <c r="B2" s="1156" t="b">
        <f>IF(E1="项目模式",IF(C2="——",ROUND(C43*D3/10000,0),ROUND(C43*D3/10000,0)-D2),IF(E1="单套模式",IF(C2="——",ROUND(C43*D3/10000,4),ROUND(C43*D3/10000,4)-D2)))</f>
        <v>0</v>
      </c>
      <c r="C2" s="1873"/>
      <c r="D2" s="899" t="e">
        <f ca="1">IF(E1="项目模式",SUMIF(INDIRECT("'"&amp;F2&amp;"'"&amp;"!A:A"),"承租人权益价值",INDIRECT("'"&amp;F2&amp;"'"&amp;"!c:c")),SUMIF(INDIRECT("'"&amp;F2&amp;"'"&amp;"!A:A"),"承租人权益价值（单套）",INDIRECT("'"&amp;F2&amp;"'"&amp;"!c:c")))</f>
        <v>#REF!</v>
      </c>
      <c r="E2" s="1874" t="s">
        <v>1463</v>
      </c>
      <c r="F2" s="1875"/>
      <c r="G2" s="900"/>
      <c r="H2" s="900"/>
      <c r="I2" s="900"/>
      <c r="J2" s="900"/>
      <c r="K2" s="900"/>
      <c r="L2" s="903"/>
      <c r="M2" s="904"/>
      <c r="N2" s="904"/>
      <c r="O2" s="904"/>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103664.12</v>
      </c>
      <c r="E3" s="900"/>
      <c r="F3" s="901"/>
      <c r="G3" s="900"/>
      <c r="H3" s="900"/>
      <c r="I3" s="900"/>
      <c r="J3" s="900"/>
      <c r="K3" s="902"/>
      <c r="L3" s="903"/>
      <c r="M3" s="904"/>
      <c r="N3" s="904"/>
      <c r="O3" s="904"/>
      <c r="P3" s="695"/>
      <c r="Q3" s="695"/>
      <c r="R3" s="695"/>
      <c r="S3" s="695"/>
      <c r="T3" s="695"/>
      <c r="U3" s="695"/>
      <c r="V3" s="695"/>
      <c r="W3" s="695"/>
      <c r="X3" s="695"/>
      <c r="Y3" s="695"/>
      <c r="Z3" s="695"/>
      <c r="AA3" s="695"/>
      <c r="AB3" s="712"/>
      <c r="AC3" s="709"/>
    </row>
    <row r="4" spans="1:29" ht="15">
      <c r="A4" s="352" t="s">
        <v>1769</v>
      </c>
      <c r="B4" s="353"/>
      <c r="C4" s="3762" t="s">
        <v>1770</v>
      </c>
      <c r="D4" s="3763"/>
      <c r="E4" s="3764" t="s">
        <v>1771</v>
      </c>
      <c r="F4" s="3765"/>
      <c r="G4" s="3762" t="s">
        <v>1772</v>
      </c>
      <c r="H4" s="3763"/>
      <c r="I4" s="3762" t="s">
        <v>1773</v>
      </c>
      <c r="J4" s="3763"/>
      <c r="K4" s="556" t="s">
        <v>1774</v>
      </c>
      <c r="L4" s="905"/>
      <c r="M4" s="906"/>
      <c r="N4" s="906"/>
      <c r="O4" s="906"/>
      <c r="P4" s="3828" t="s">
        <v>1775</v>
      </c>
      <c r="Q4" s="3829"/>
      <c r="R4" s="3832" t="s">
        <v>1771</v>
      </c>
      <c r="S4" s="3833"/>
      <c r="T4" s="3832" t="s">
        <v>1772</v>
      </c>
      <c r="U4" s="3833"/>
      <c r="V4" s="3779" t="s">
        <v>1773</v>
      </c>
      <c r="W4" s="3779"/>
      <c r="X4" s="1347"/>
      <c r="Y4" s="3832" t="s">
        <v>1775</v>
      </c>
      <c r="Z4" s="3833"/>
      <c r="AA4" s="3827" t="s">
        <v>1771</v>
      </c>
      <c r="AB4" s="3791" t="s">
        <v>1772</v>
      </c>
      <c r="AC4" s="3827" t="s">
        <v>1773</v>
      </c>
    </row>
    <row r="5" spans="1:29" ht="15">
      <c r="A5" s="355"/>
      <c r="B5" s="356"/>
      <c r="C5" s="3782" t="s">
        <v>1673</v>
      </c>
      <c r="D5" s="3783"/>
      <c r="E5" s="3793" t="s">
        <v>1674</v>
      </c>
      <c r="F5" s="3794"/>
      <c r="G5" s="3782" t="s">
        <v>1675</v>
      </c>
      <c r="H5" s="3783"/>
      <c r="I5" s="3782" t="s">
        <v>1676</v>
      </c>
      <c r="J5" s="3783"/>
      <c r="K5" s="556"/>
      <c r="L5" s="905"/>
      <c r="M5" s="906"/>
      <c r="N5" s="906"/>
      <c r="O5" s="906"/>
      <c r="P5" s="3830"/>
      <c r="Q5" s="3769"/>
      <c r="R5" s="3774"/>
      <c r="S5" s="3775"/>
      <c r="T5" s="3774"/>
      <c r="U5" s="3775"/>
      <c r="V5" s="3779"/>
      <c r="W5" s="3779"/>
      <c r="X5" s="1347"/>
      <c r="Y5" s="3774"/>
      <c r="Z5" s="3775"/>
      <c r="AA5" s="3791"/>
      <c r="AB5" s="3791"/>
      <c r="AC5" s="3791"/>
    </row>
    <row r="6" spans="1:29" ht="15.75" thickBot="1">
      <c r="A6" s="357"/>
      <c r="B6" s="358"/>
      <c r="C6" s="3780" t="s">
        <v>1677</v>
      </c>
      <c r="D6" s="3781"/>
      <c r="E6" s="3788" t="s">
        <v>1677</v>
      </c>
      <c r="F6" s="3789"/>
      <c r="G6" s="3780" t="s">
        <v>1677</v>
      </c>
      <c r="H6" s="3781"/>
      <c r="I6" s="3780" t="s">
        <v>1677</v>
      </c>
      <c r="J6" s="3781"/>
      <c r="K6" s="556" t="s">
        <v>1678</v>
      </c>
      <c r="L6" s="905"/>
      <c r="M6" s="906"/>
      <c r="N6" s="906"/>
      <c r="O6" s="906"/>
      <c r="P6" s="3831"/>
      <c r="Q6" s="3771"/>
      <c r="R6" s="3774"/>
      <c r="S6" s="3775"/>
      <c r="T6" s="3776"/>
      <c r="U6" s="3777"/>
      <c r="V6" s="3779"/>
      <c r="W6" s="3779"/>
      <c r="X6" s="1347"/>
      <c r="Y6" s="3776"/>
      <c r="Z6" s="3777"/>
      <c r="AA6" s="3792"/>
      <c r="AB6" s="3792"/>
      <c r="AC6" s="3792"/>
    </row>
    <row r="7" spans="1:29" s="108" customFormat="1" ht="15.75" thickBot="1">
      <c r="A7" s="359" t="s">
        <v>1679</v>
      </c>
      <c r="B7" s="360"/>
      <c r="C7" s="361">
        <f>'数据-取费表'!B2</f>
        <v>45401</v>
      </c>
      <c r="D7" s="362">
        <v>100</v>
      </c>
      <c r="E7" s="363"/>
      <c r="F7" s="364">
        <f>SUMIF(52:52,YEAR(E7)&amp;"-"&amp;MONTH(E7),53:53)</f>
        <v>0</v>
      </c>
      <c r="G7" s="363"/>
      <c r="H7" s="362">
        <f>SUMIF(52:52,YEAR(G7)&amp;"-"&amp;MONTH(G7),53:53)</f>
        <v>0</v>
      </c>
      <c r="I7" s="363"/>
      <c r="J7" s="362">
        <f>SUMIF(52:52,YEAR(I7)&amp;"-"&amp;MONTH(I7),53:53)</f>
        <v>0</v>
      </c>
      <c r="K7" s="557"/>
      <c r="L7" s="907"/>
      <c r="M7" s="908"/>
      <c r="N7" s="908"/>
      <c r="O7" s="908"/>
      <c r="P7" s="3786" t="s">
        <v>1680</v>
      </c>
      <c r="Q7" s="3787"/>
      <c r="R7" s="697" t="s">
        <v>14</v>
      </c>
      <c r="S7" s="698">
        <f t="shared" ref="S7:S15" si="0">F7</f>
        <v>0</v>
      </c>
      <c r="T7" s="697" t="s">
        <v>14</v>
      </c>
      <c r="U7" s="698">
        <f t="shared" ref="U7:U15" si="1">H7</f>
        <v>0</v>
      </c>
      <c r="V7" s="697" t="s">
        <v>14</v>
      </c>
      <c r="W7" s="698">
        <f t="shared" ref="W7:W15" si="2">J7</f>
        <v>0</v>
      </c>
      <c r="X7" s="699"/>
      <c r="Y7" s="3786" t="s">
        <v>1680</v>
      </c>
      <c r="Z7" s="3785"/>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07"/>
      <c r="M8" s="908"/>
      <c r="N8" s="908"/>
      <c r="O8" s="908"/>
      <c r="P8" s="3786" t="s">
        <v>1683</v>
      </c>
      <c r="Q8" s="3785"/>
      <c r="R8" s="697" t="s">
        <v>14</v>
      </c>
      <c r="S8" s="698">
        <f t="shared" si="0"/>
        <v>100</v>
      </c>
      <c r="T8" s="697" t="s">
        <v>14</v>
      </c>
      <c r="U8" s="698">
        <f t="shared" si="1"/>
        <v>100</v>
      </c>
      <c r="V8" s="697" t="s">
        <v>14</v>
      </c>
      <c r="W8" s="698">
        <f t="shared" si="2"/>
        <v>100</v>
      </c>
      <c r="X8" s="699"/>
      <c r="Y8" s="3786" t="s">
        <v>1683</v>
      </c>
      <c r="Z8" s="3785"/>
      <c r="AA8" s="700">
        <f t="shared" ref="AA8:AA40" si="3">D8/F8</f>
        <v>1</v>
      </c>
      <c r="AB8" s="700">
        <f t="shared" ref="AB8:AB40" si="4">D8/H8</f>
        <v>1</v>
      </c>
      <c r="AC8" s="700">
        <f t="shared" ref="AC8:AC40" si="5">D8/J8</f>
        <v>1</v>
      </c>
    </row>
    <row r="9" spans="1:29" s="108" customFormat="1">
      <c r="A9" s="366" t="s">
        <v>1684</v>
      </c>
      <c r="B9" s="63" t="s">
        <v>1685</v>
      </c>
      <c r="C9" s="367"/>
      <c r="D9" s="123">
        <v>100</v>
      </c>
      <c r="E9" s="370"/>
      <c r="F9" s="123">
        <f>SUMIF(57:57,E9,58:58)-SUMIF(57:57,C9,58:58)+100</f>
        <v>100</v>
      </c>
      <c r="G9" s="368"/>
      <c r="H9" s="123">
        <f>SUMIF(57:57,G9,58:58)-SUMIF(57:57,C9,58:58)+100</f>
        <v>100</v>
      </c>
      <c r="I9" s="368"/>
      <c r="J9" s="123">
        <f>SUMIF(57:57,I9,58:58)-SUMIF(57:57,C9,58:58)+100</f>
        <v>100</v>
      </c>
      <c r="K9" s="557"/>
      <c r="L9" s="907"/>
      <c r="M9" s="908"/>
      <c r="N9" s="908"/>
      <c r="O9" s="909"/>
      <c r="P9" s="3745" t="s">
        <v>1686</v>
      </c>
      <c r="Q9" s="1335" t="str">
        <f t="shared" ref="Q9:Q15" si="6">B9</f>
        <v>用途</v>
      </c>
      <c r="R9" s="697" t="s">
        <v>14</v>
      </c>
      <c r="S9" s="698">
        <f t="shared" si="0"/>
        <v>100</v>
      </c>
      <c r="T9" s="697" t="s">
        <v>14</v>
      </c>
      <c r="U9" s="698">
        <f t="shared" si="1"/>
        <v>100</v>
      </c>
      <c r="V9" s="697" t="s">
        <v>14</v>
      </c>
      <c r="W9" s="698">
        <f t="shared" si="2"/>
        <v>100</v>
      </c>
      <c r="X9" s="699"/>
      <c r="Y9" s="3651" t="s">
        <v>1687</v>
      </c>
      <c r="Z9" s="52" t="str">
        <f t="shared" ref="Z9:Z15" si="7">Q9</f>
        <v>用途</v>
      </c>
      <c r="AA9" s="700">
        <f t="shared" si="3"/>
        <v>1</v>
      </c>
      <c r="AB9" s="700">
        <f t="shared" si="4"/>
        <v>1</v>
      </c>
      <c r="AC9" s="700">
        <f t="shared" si="5"/>
        <v>1</v>
      </c>
    </row>
    <row r="10" spans="1:29" s="375" customFormat="1" ht="27">
      <c r="A10" s="371"/>
      <c r="B10" s="372" t="s">
        <v>1688</v>
      </c>
      <c r="C10" s="3426"/>
      <c r="D10" s="124">
        <v>100</v>
      </c>
      <c r="E10" s="3426"/>
      <c r="F10" s="124">
        <f>SUMIF(59:59,E10,60:60)-SUMIF(59:59,C10,60:60)+100</f>
        <v>100</v>
      </c>
      <c r="G10" s="3427"/>
      <c r="H10" s="124">
        <f>SUMIF(59:59,G10,60:60)-SUMIF(59:59,C10,60:60)+100</f>
        <v>100</v>
      </c>
      <c r="I10" s="3426"/>
      <c r="J10" s="124">
        <f>SUMIF(59:59,I10,60:60)-SUMIF(59:59,C10,60:60)+100</f>
        <v>100</v>
      </c>
      <c r="K10" s="557"/>
      <c r="L10" s="910"/>
      <c r="M10" s="911"/>
      <c r="N10" s="911"/>
      <c r="O10" s="912"/>
      <c r="P10" s="3745"/>
      <c r="Q10" s="1335" t="str">
        <f t="shared" si="6"/>
        <v>土地使用年限（年）</v>
      </c>
      <c r="R10" s="697" t="s">
        <v>14</v>
      </c>
      <c r="S10" s="698">
        <f t="shared" si="0"/>
        <v>100</v>
      </c>
      <c r="T10" s="697" t="s">
        <v>14</v>
      </c>
      <c r="U10" s="698">
        <f t="shared" si="1"/>
        <v>100</v>
      </c>
      <c r="V10" s="697" t="s">
        <v>14</v>
      </c>
      <c r="W10" s="698">
        <f t="shared" si="2"/>
        <v>100</v>
      </c>
      <c r="X10" s="699"/>
      <c r="Y10" s="3651"/>
      <c r="Z10" s="52" t="str">
        <f t="shared" si="7"/>
        <v>土地使用年限（年）</v>
      </c>
      <c r="AA10" s="700">
        <f t="shared" si="3"/>
        <v>1</v>
      </c>
      <c r="AB10" s="700">
        <f t="shared" si="4"/>
        <v>1</v>
      </c>
      <c r="AC10" s="700">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3"/>
      <c r="M11" s="906"/>
      <c r="N11" s="906"/>
      <c r="O11" s="914"/>
      <c r="P11" s="3745"/>
      <c r="Q11" s="1335" t="str">
        <f t="shared" si="6"/>
        <v>容积率</v>
      </c>
      <c r="R11" s="697" t="s">
        <v>14</v>
      </c>
      <c r="S11" s="698">
        <f t="shared" si="0"/>
        <v>100</v>
      </c>
      <c r="T11" s="697" t="s">
        <v>14</v>
      </c>
      <c r="U11" s="698">
        <f t="shared" si="1"/>
        <v>100</v>
      </c>
      <c r="V11" s="697" t="s">
        <v>14</v>
      </c>
      <c r="W11" s="698">
        <f t="shared" si="2"/>
        <v>100</v>
      </c>
      <c r="X11" s="699"/>
      <c r="Y11" s="3651"/>
      <c r="Z11" s="52" t="str">
        <f t="shared" si="7"/>
        <v>容积率</v>
      </c>
      <c r="AA11" s="700">
        <f t="shared" si="3"/>
        <v>1</v>
      </c>
      <c r="AB11" s="700">
        <f t="shared" si="4"/>
        <v>1</v>
      </c>
      <c r="AC11" s="700">
        <f t="shared" si="5"/>
        <v>1</v>
      </c>
    </row>
    <row r="12" spans="1:29" s="108" customFormat="1" ht="15">
      <c r="A12" s="379"/>
      <c r="B12" s="1885">
        <v>111</v>
      </c>
      <c r="C12" s="380"/>
      <c r="D12" s="381">
        <v>100</v>
      </c>
      <c r="E12" s="382"/>
      <c r="F12" s="124">
        <f>SUMIF(64:64,E12,65:65)-SUMIF(64:64,C12,65:65)+100</f>
        <v>100</v>
      </c>
      <c r="G12" s="1962"/>
      <c r="H12" s="124">
        <f>SUMIF(64:64,G12,65:65)-SUMIF(64:64,C12,65:65)+100</f>
        <v>100</v>
      </c>
      <c r="I12" s="417"/>
      <c r="J12" s="124">
        <f>SUMIF(64:64,I12,65:65)-SUMIF(64:64,C12,65:65)+100</f>
        <v>100</v>
      </c>
      <c r="K12" s="559"/>
      <c r="L12" s="907"/>
      <c r="M12" s="908"/>
      <c r="N12" s="908"/>
      <c r="O12" s="909"/>
      <c r="P12" s="3745"/>
      <c r="Q12" s="1335">
        <f t="shared" si="6"/>
        <v>111</v>
      </c>
      <c r="R12" s="697" t="s">
        <v>14</v>
      </c>
      <c r="S12" s="698">
        <f t="shared" si="0"/>
        <v>100</v>
      </c>
      <c r="T12" s="697" t="s">
        <v>14</v>
      </c>
      <c r="U12" s="698">
        <f t="shared" si="1"/>
        <v>100</v>
      </c>
      <c r="V12" s="697" t="s">
        <v>14</v>
      </c>
      <c r="W12" s="698">
        <f t="shared" si="2"/>
        <v>100</v>
      </c>
      <c r="X12" s="699"/>
      <c r="Y12" s="3651"/>
      <c r="Z12" s="52">
        <f t="shared" si="7"/>
        <v>111</v>
      </c>
      <c r="AA12" s="700">
        <f>D12/F12</f>
        <v>1</v>
      </c>
      <c r="AB12" s="700">
        <f>D12/H12</f>
        <v>1</v>
      </c>
      <c r="AC12" s="700">
        <f>D12/J12</f>
        <v>1</v>
      </c>
    </row>
    <row r="13" spans="1:29" ht="15">
      <c r="A13" s="376"/>
      <c r="B13" s="1885">
        <v>111</v>
      </c>
      <c r="C13" s="382"/>
      <c r="D13" s="383">
        <v>100</v>
      </c>
      <c r="E13" s="382"/>
      <c r="F13" s="124">
        <f>SUMIF(66:66,E13,67:67)-SUMIF(66:66,C13,67:67)+100</f>
        <v>100</v>
      </c>
      <c r="G13" s="1962"/>
      <c r="H13" s="383">
        <f>SUMIF(66:66,G13,67:67)-SUMIF(66:66,C13,67:67)+100</f>
        <v>100</v>
      </c>
      <c r="I13" s="417"/>
      <c r="J13" s="383">
        <f>SUMIF(66:66,I13,67:67)-SUMIF(66:66,C13,67:67)+100</f>
        <v>100</v>
      </c>
      <c r="K13" s="559"/>
      <c r="L13" s="915"/>
      <c r="M13" s="906"/>
      <c r="N13" s="906"/>
      <c r="O13" s="914"/>
      <c r="P13" s="3745"/>
      <c r="Q13" s="1335">
        <f t="shared" si="6"/>
        <v>111</v>
      </c>
      <c r="R13" s="697" t="s">
        <v>14</v>
      </c>
      <c r="S13" s="698">
        <f t="shared" si="0"/>
        <v>100</v>
      </c>
      <c r="T13" s="697" t="s">
        <v>14</v>
      </c>
      <c r="U13" s="698">
        <f t="shared" si="1"/>
        <v>100</v>
      </c>
      <c r="V13" s="697" t="s">
        <v>14</v>
      </c>
      <c r="W13" s="698">
        <f t="shared" si="2"/>
        <v>100</v>
      </c>
      <c r="X13" s="699"/>
      <c r="Y13" s="3651"/>
      <c r="Z13" s="52">
        <f t="shared" si="7"/>
        <v>111</v>
      </c>
      <c r="AA13" s="700">
        <f t="shared" si="3"/>
        <v>1</v>
      </c>
      <c r="AB13" s="700">
        <f t="shared" si="4"/>
        <v>1</v>
      </c>
      <c r="AC13" s="700">
        <f t="shared" si="5"/>
        <v>1</v>
      </c>
    </row>
    <row r="14" spans="1:29" ht="15.75" thickBot="1">
      <c r="A14" s="384"/>
      <c r="B14" s="1887">
        <v>111</v>
      </c>
      <c r="C14" s="385"/>
      <c r="D14" s="386">
        <v>100</v>
      </c>
      <c r="E14" s="385"/>
      <c r="F14" s="386">
        <f>SUMIF(68:68,E14,69:69)-SUMIF(68:68,C14,69:69)+100</f>
        <v>100</v>
      </c>
      <c r="G14" s="1962"/>
      <c r="H14" s="386">
        <f>SUMIF(68:68,G14,69:69)-SUMIF(68:68,C14,69:69)+100</f>
        <v>100</v>
      </c>
      <c r="I14" s="417"/>
      <c r="J14" s="386">
        <f>SUMIF(68:68,I14,69:69)-SUMIF(68:68,C14,69:69)+100</f>
        <v>100</v>
      </c>
      <c r="K14" s="559"/>
      <c r="L14" s="915"/>
      <c r="M14" s="906"/>
      <c r="N14" s="906"/>
      <c r="O14" s="914"/>
      <c r="P14" s="3745"/>
      <c r="Q14" s="1335">
        <f t="shared" si="6"/>
        <v>111</v>
      </c>
      <c r="R14" s="697" t="s">
        <v>14</v>
      </c>
      <c r="S14" s="698">
        <f t="shared" si="0"/>
        <v>100</v>
      </c>
      <c r="T14" s="697" t="s">
        <v>14</v>
      </c>
      <c r="U14" s="698">
        <f t="shared" si="1"/>
        <v>100</v>
      </c>
      <c r="V14" s="697" t="s">
        <v>14</v>
      </c>
      <c r="W14" s="698">
        <f t="shared" si="2"/>
        <v>100</v>
      </c>
      <c r="X14" s="699"/>
      <c r="Y14" s="3651"/>
      <c r="Z14" s="52">
        <f t="shared" si="7"/>
        <v>111</v>
      </c>
      <c r="AA14" s="700">
        <f t="shared" si="3"/>
        <v>1</v>
      </c>
      <c r="AB14" s="700">
        <f t="shared" si="4"/>
        <v>1</v>
      </c>
      <c r="AC14" s="700">
        <f t="shared" si="5"/>
        <v>1</v>
      </c>
    </row>
    <row r="15" spans="1:29" ht="57">
      <c r="A15" s="388" t="s">
        <v>1690</v>
      </c>
      <c r="B15" s="61" t="s">
        <v>1827</v>
      </c>
      <c r="C15" s="1963"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5"/>
      <c r="M15" s="906"/>
      <c r="N15" s="906"/>
      <c r="O15" s="914"/>
      <c r="P15" s="3752" t="s">
        <v>1691</v>
      </c>
      <c r="Q15" s="1344" t="str">
        <f t="shared" si="6"/>
        <v>产业集聚程度</v>
      </c>
      <c r="R15" s="701" t="s">
        <v>14</v>
      </c>
      <c r="S15" s="702">
        <f t="shared" si="0"/>
        <v>100</v>
      </c>
      <c r="T15" s="701" t="s">
        <v>14</v>
      </c>
      <c r="U15" s="702">
        <f t="shared" si="1"/>
        <v>100</v>
      </c>
      <c r="V15" s="701" t="s">
        <v>14</v>
      </c>
      <c r="W15" s="702">
        <f t="shared" si="2"/>
        <v>100</v>
      </c>
      <c r="X15" s="1347"/>
      <c r="Y15" s="3752" t="s">
        <v>1691</v>
      </c>
      <c r="Z15" s="1348" t="str">
        <f t="shared" si="7"/>
        <v>产业集聚程度</v>
      </c>
      <c r="AA15" s="1345">
        <f t="shared" si="3"/>
        <v>1</v>
      </c>
      <c r="AB15" s="1345">
        <f t="shared" si="4"/>
        <v>1</v>
      </c>
      <c r="AC15" s="1345">
        <f t="shared" si="5"/>
        <v>1</v>
      </c>
    </row>
    <row r="16" spans="1:29" ht="15">
      <c r="A16" s="376"/>
      <c r="B16" s="394"/>
      <c r="C16" s="395"/>
      <c r="D16" s="396"/>
      <c r="E16" s="395"/>
      <c r="F16" s="397"/>
      <c r="G16" s="395"/>
      <c r="H16" s="398"/>
      <c r="I16" s="395"/>
      <c r="J16" s="396"/>
      <c r="K16" s="561"/>
      <c r="L16" s="915"/>
      <c r="M16" s="906"/>
      <c r="N16" s="906"/>
      <c r="O16" s="914"/>
      <c r="P16" s="3753"/>
      <c r="Q16" s="1344"/>
      <c r="R16" s="701"/>
      <c r="S16" s="702"/>
      <c r="T16" s="701"/>
      <c r="U16" s="702"/>
      <c r="V16" s="701"/>
      <c r="W16" s="702"/>
      <c r="X16" s="1347"/>
      <c r="Y16" s="3753"/>
      <c r="Z16" s="1348"/>
      <c r="AA16" s="1345">
        <v>1</v>
      </c>
      <c r="AB16" s="1345">
        <v>1</v>
      </c>
      <c r="AC16" s="1345">
        <v>1</v>
      </c>
    </row>
    <row r="17" spans="1:29" ht="85.5">
      <c r="A17" s="376"/>
      <c r="B17" s="399" t="s">
        <v>1259</v>
      </c>
      <c r="C17" s="1892"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5"/>
      <c r="M17" s="906"/>
      <c r="N17" s="906"/>
      <c r="O17" s="914"/>
      <c r="P17" s="3753"/>
      <c r="Q17" s="1344" t="str">
        <f>B17</f>
        <v>交通便捷度</v>
      </c>
      <c r="R17" s="701" t="s">
        <v>14</v>
      </c>
      <c r="S17" s="702">
        <f>F17</f>
        <v>100</v>
      </c>
      <c r="T17" s="701" t="s">
        <v>14</v>
      </c>
      <c r="U17" s="702">
        <f>H17</f>
        <v>100</v>
      </c>
      <c r="V17" s="701" t="s">
        <v>14</v>
      </c>
      <c r="W17" s="702">
        <f>J17</f>
        <v>100</v>
      </c>
      <c r="X17" s="1347"/>
      <c r="Y17" s="3753"/>
      <c r="Z17" s="1348" t="str">
        <f>Q17</f>
        <v>交通便捷度</v>
      </c>
      <c r="AA17" s="1345">
        <f t="shared" si="3"/>
        <v>1</v>
      </c>
      <c r="AB17" s="1345">
        <f t="shared" si="4"/>
        <v>1</v>
      </c>
      <c r="AC17" s="1345">
        <f t="shared" si="5"/>
        <v>1</v>
      </c>
    </row>
    <row r="18" spans="1:29" ht="15">
      <c r="A18" s="376"/>
      <c r="B18" s="404"/>
      <c r="C18" s="1893"/>
      <c r="D18" s="398"/>
      <c r="E18" s="1895"/>
      <c r="F18" s="401"/>
      <c r="G18" s="1894"/>
      <c r="H18" s="396"/>
      <c r="I18" s="1895"/>
      <c r="J18" s="396"/>
      <c r="K18" s="561"/>
      <c r="L18" s="915"/>
      <c r="M18" s="906"/>
      <c r="N18" s="906"/>
      <c r="O18" s="914"/>
      <c r="P18" s="3753"/>
      <c r="Q18" s="1344"/>
      <c r="R18" s="701"/>
      <c r="S18" s="702"/>
      <c r="T18" s="701"/>
      <c r="U18" s="702"/>
      <c r="V18" s="701"/>
      <c r="W18" s="702"/>
      <c r="X18" s="1347"/>
      <c r="Y18" s="3753"/>
      <c r="Z18" s="1348"/>
      <c r="AA18" s="1345">
        <v>1</v>
      </c>
      <c r="AB18" s="1345">
        <v>1</v>
      </c>
      <c r="AC18" s="1345">
        <v>1</v>
      </c>
    </row>
    <row r="19" spans="1:29" ht="42.75">
      <c r="A19" s="376"/>
      <c r="B19" s="399" t="s">
        <v>1812</v>
      </c>
      <c r="C19" s="1892"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5"/>
      <c r="M19" s="906"/>
      <c r="N19" s="906"/>
      <c r="O19" s="914"/>
      <c r="P19" s="3753"/>
      <c r="Q19" s="1344" t="str">
        <f>B19</f>
        <v>公共配套设施</v>
      </c>
      <c r="R19" s="701" t="s">
        <v>14</v>
      </c>
      <c r="S19" s="702">
        <f>F19</f>
        <v>100</v>
      </c>
      <c r="T19" s="701" t="s">
        <v>14</v>
      </c>
      <c r="U19" s="702">
        <f>H19</f>
        <v>100</v>
      </c>
      <c r="V19" s="701" t="s">
        <v>14</v>
      </c>
      <c r="W19" s="702">
        <f>J19</f>
        <v>100</v>
      </c>
      <c r="X19" s="1347"/>
      <c r="Y19" s="3753"/>
      <c r="Z19" s="1348" t="str">
        <f>Q19</f>
        <v>公共配套设施</v>
      </c>
      <c r="AA19" s="1345">
        <f t="shared" si="3"/>
        <v>1</v>
      </c>
      <c r="AB19" s="1345">
        <f t="shared" si="4"/>
        <v>1</v>
      </c>
      <c r="AC19" s="1345">
        <f t="shared" si="5"/>
        <v>1</v>
      </c>
    </row>
    <row r="20" spans="1:29" ht="15">
      <c r="A20" s="376"/>
      <c r="B20" s="404"/>
      <c r="C20" s="395"/>
      <c r="D20" s="396"/>
      <c r="E20" s="1890"/>
      <c r="F20" s="397"/>
      <c r="G20" s="1889"/>
      <c r="H20" s="396"/>
      <c r="I20" s="1890"/>
      <c r="J20" s="396"/>
      <c r="K20" s="561"/>
      <c r="L20" s="915"/>
      <c r="M20" s="906"/>
      <c r="N20" s="906"/>
      <c r="O20" s="914"/>
      <c r="P20" s="3753"/>
      <c r="Q20" s="1344"/>
      <c r="R20" s="701"/>
      <c r="S20" s="702"/>
      <c r="T20" s="701"/>
      <c r="U20" s="702"/>
      <c r="V20" s="701"/>
      <c r="W20" s="702"/>
      <c r="X20" s="1347"/>
      <c r="Y20" s="3753"/>
      <c r="Z20" s="1348"/>
      <c r="AA20" s="1345">
        <v>1</v>
      </c>
      <c r="AB20" s="1345">
        <v>1</v>
      </c>
      <c r="AC20" s="1345">
        <v>1</v>
      </c>
    </row>
    <row r="21" spans="1:29" ht="28.5">
      <c r="A21" s="376"/>
      <c r="B21" s="1123" t="s">
        <v>1813</v>
      </c>
      <c r="C21" s="1892"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5"/>
      <c r="M21" s="906"/>
      <c r="N21" s="906"/>
      <c r="O21" s="914"/>
      <c r="P21" s="3753"/>
      <c r="Q21" s="1344" t="str">
        <f>B21</f>
        <v>基础设施水平</v>
      </c>
      <c r="R21" s="701" t="s">
        <v>14</v>
      </c>
      <c r="S21" s="702">
        <f>F21</f>
        <v>100</v>
      </c>
      <c r="T21" s="701" t="s">
        <v>14</v>
      </c>
      <c r="U21" s="702">
        <f>H21</f>
        <v>100</v>
      </c>
      <c r="V21" s="701" t="s">
        <v>14</v>
      </c>
      <c r="W21" s="702">
        <f>J21</f>
        <v>100</v>
      </c>
      <c r="X21" s="1347"/>
      <c r="Y21" s="3753"/>
      <c r="Z21" s="1348" t="str">
        <f>Q21</f>
        <v>基础设施水平</v>
      </c>
      <c r="AA21" s="1345">
        <f t="shared" ref="AA21" si="8">D21/F21</f>
        <v>1</v>
      </c>
      <c r="AB21" s="1345">
        <f t="shared" ref="AB21" si="9">D21/H21</f>
        <v>1</v>
      </c>
      <c r="AC21" s="1345">
        <f t="shared" ref="AC21" si="10">D21/J21</f>
        <v>1</v>
      </c>
    </row>
    <row r="22" spans="1:29" ht="15">
      <c r="A22" s="376"/>
      <c r="B22" s="1123"/>
      <c r="C22" s="1893"/>
      <c r="D22" s="396"/>
      <c r="E22" s="395"/>
      <c r="F22" s="397"/>
      <c r="G22" s="395"/>
      <c r="H22" s="396"/>
      <c r="I22" s="395"/>
      <c r="J22" s="396"/>
      <c r="K22" s="1122"/>
      <c r="L22" s="915"/>
      <c r="M22" s="906"/>
      <c r="N22" s="906"/>
      <c r="O22" s="914"/>
      <c r="P22" s="3753"/>
      <c r="Q22" s="1344"/>
      <c r="R22" s="701"/>
      <c r="S22" s="702"/>
      <c r="T22" s="701"/>
      <c r="U22" s="702"/>
      <c r="V22" s="701"/>
      <c r="W22" s="702"/>
      <c r="X22" s="1347"/>
      <c r="Y22" s="3753"/>
      <c r="Z22" s="1348"/>
      <c r="AA22" s="1345">
        <v>1</v>
      </c>
      <c r="AB22" s="1345">
        <v>1</v>
      </c>
      <c r="AC22" s="1345">
        <v>1</v>
      </c>
    </row>
    <row r="23" spans="1:29" ht="71.25">
      <c r="A23" s="376"/>
      <c r="B23" s="399" t="s">
        <v>1814</v>
      </c>
      <c r="C23" s="1892"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5"/>
      <c r="M23" s="906"/>
      <c r="N23" s="906"/>
      <c r="O23" s="914"/>
      <c r="P23" s="3753"/>
      <c r="Q23" s="1344" t="str">
        <f>B23</f>
        <v>环境质量</v>
      </c>
      <c r="R23" s="701" t="s">
        <v>14</v>
      </c>
      <c r="S23" s="702">
        <f>F23</f>
        <v>100</v>
      </c>
      <c r="T23" s="701" t="s">
        <v>14</v>
      </c>
      <c r="U23" s="702">
        <f>H23</f>
        <v>100</v>
      </c>
      <c r="V23" s="701" t="s">
        <v>14</v>
      </c>
      <c r="W23" s="702">
        <f>J23</f>
        <v>100</v>
      </c>
      <c r="X23" s="1347"/>
      <c r="Y23" s="3753"/>
      <c r="Z23" s="1348" t="str">
        <f>Q23</f>
        <v>环境质量</v>
      </c>
      <c r="AA23" s="1345">
        <f t="shared" si="3"/>
        <v>1</v>
      </c>
      <c r="AB23" s="1345">
        <f t="shared" si="4"/>
        <v>1</v>
      </c>
      <c r="AC23" s="1345">
        <f t="shared" si="5"/>
        <v>1</v>
      </c>
    </row>
    <row r="24" spans="1:29" ht="15">
      <c r="A24" s="376"/>
      <c r="B24" s="1123"/>
      <c r="C24" s="395"/>
      <c r="D24" s="396"/>
      <c r="E24" s="1890"/>
      <c r="F24" s="397"/>
      <c r="G24" s="1889"/>
      <c r="H24" s="396"/>
      <c r="I24" s="1890"/>
      <c r="J24" s="396"/>
      <c r="K24" s="561"/>
      <c r="L24" s="915"/>
      <c r="M24" s="906"/>
      <c r="N24" s="906"/>
      <c r="O24" s="914"/>
      <c r="P24" s="3753"/>
      <c r="Q24" s="1344"/>
      <c r="R24" s="701"/>
      <c r="S24" s="702"/>
      <c r="T24" s="701"/>
      <c r="U24" s="702"/>
      <c r="V24" s="701"/>
      <c r="W24" s="702"/>
      <c r="X24" s="1347"/>
      <c r="Y24" s="3753"/>
      <c r="Z24" s="1348"/>
      <c r="AA24" s="1345">
        <v>1</v>
      </c>
      <c r="AB24" s="1345">
        <v>1</v>
      </c>
      <c r="AC24" s="1345">
        <v>1</v>
      </c>
    </row>
    <row r="25" spans="1:29" ht="15">
      <c r="A25" s="355"/>
      <c r="B25" s="1125">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5"/>
      <c r="M25" s="906"/>
      <c r="N25" s="906"/>
      <c r="O25" s="914"/>
      <c r="P25" s="3753"/>
      <c r="Q25" s="1344">
        <f>B25</f>
        <v>111</v>
      </c>
      <c r="R25" s="701" t="s">
        <v>14</v>
      </c>
      <c r="S25" s="702">
        <f>F25</f>
        <v>100</v>
      </c>
      <c r="T25" s="701" t="s">
        <v>14</v>
      </c>
      <c r="U25" s="702">
        <f>H25</f>
        <v>100</v>
      </c>
      <c r="V25" s="701" t="s">
        <v>14</v>
      </c>
      <c r="W25" s="702">
        <f>J25</f>
        <v>100</v>
      </c>
      <c r="X25" s="1347"/>
      <c r="Y25" s="3753"/>
      <c r="Z25" s="1348">
        <f>Q25</f>
        <v>111</v>
      </c>
      <c r="AA25" s="1345">
        <f t="shared" si="3"/>
        <v>1</v>
      </c>
      <c r="AB25" s="1345">
        <f t="shared" si="4"/>
        <v>1</v>
      </c>
      <c r="AC25" s="1345">
        <f t="shared" si="5"/>
        <v>1</v>
      </c>
    </row>
    <row r="26" spans="1:29" ht="15">
      <c r="A26" s="376"/>
      <c r="B26" s="1125">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5"/>
      <c r="M26" s="906"/>
      <c r="N26" s="906"/>
      <c r="O26" s="914"/>
      <c r="P26" s="3753"/>
      <c r="Q26" s="1344">
        <f t="shared" ref="Q26:Q40" si="11">B26</f>
        <v>111</v>
      </c>
      <c r="R26" s="701" t="s">
        <v>14</v>
      </c>
      <c r="S26" s="702">
        <f>F26</f>
        <v>100</v>
      </c>
      <c r="T26" s="701" t="s">
        <v>14</v>
      </c>
      <c r="U26" s="702">
        <f>H26</f>
        <v>100</v>
      </c>
      <c r="V26" s="701" t="s">
        <v>14</v>
      </c>
      <c r="W26" s="702">
        <f>J26</f>
        <v>100</v>
      </c>
      <c r="X26" s="1347"/>
      <c r="Y26" s="3753"/>
      <c r="Z26" s="1348">
        <f>Q26</f>
        <v>111</v>
      </c>
      <c r="AA26" s="1345">
        <f t="shared" si="3"/>
        <v>1</v>
      </c>
      <c r="AB26" s="1345">
        <f t="shared" si="4"/>
        <v>1</v>
      </c>
      <c r="AC26" s="1345">
        <f t="shared" si="5"/>
        <v>1</v>
      </c>
    </row>
    <row r="27" spans="1:29" s="108" customFormat="1" ht="15">
      <c r="A27" s="379"/>
      <c r="B27" s="1125">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7"/>
      <c r="M27" s="908"/>
      <c r="N27" s="908"/>
      <c r="O27" s="909"/>
      <c r="P27" s="3753"/>
      <c r="Q27" s="1335">
        <f t="shared" si="11"/>
        <v>111</v>
      </c>
      <c r="R27" s="697" t="s">
        <v>14</v>
      </c>
      <c r="S27" s="698">
        <f>F27</f>
        <v>100</v>
      </c>
      <c r="T27" s="697" t="s">
        <v>14</v>
      </c>
      <c r="U27" s="698">
        <f>H27</f>
        <v>100</v>
      </c>
      <c r="V27" s="697" t="s">
        <v>14</v>
      </c>
      <c r="W27" s="698">
        <f>J27</f>
        <v>100</v>
      </c>
      <c r="X27" s="699"/>
      <c r="Y27" s="3753"/>
      <c r="Z27" s="52">
        <f>Q27</f>
        <v>111</v>
      </c>
      <c r="AA27" s="1345">
        <f>D27/F27</f>
        <v>1</v>
      </c>
      <c r="AB27" s="1345">
        <f>D27/H27</f>
        <v>1</v>
      </c>
      <c r="AC27" s="1345">
        <f>D27/J27</f>
        <v>1</v>
      </c>
    </row>
    <row r="28" spans="1:29" ht="15.75" thickBot="1">
      <c r="A28" s="384"/>
      <c r="B28" s="1125">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5"/>
      <c r="M28" s="906"/>
      <c r="N28" s="906"/>
      <c r="O28" s="914"/>
      <c r="P28" s="3753"/>
      <c r="Q28" s="1344">
        <f t="shared" si="11"/>
        <v>111</v>
      </c>
      <c r="R28" s="701" t="s">
        <v>14</v>
      </c>
      <c r="S28" s="702">
        <f t="shared" ref="S28:S40" si="12">F28</f>
        <v>100</v>
      </c>
      <c r="T28" s="701" t="s">
        <v>14</v>
      </c>
      <c r="U28" s="702">
        <f t="shared" ref="U28:U40" si="13">H28</f>
        <v>100</v>
      </c>
      <c r="V28" s="701" t="s">
        <v>14</v>
      </c>
      <c r="W28" s="702">
        <f t="shared" ref="W28:W40" si="14">J28</f>
        <v>100</v>
      </c>
      <c r="X28" s="1347"/>
      <c r="Y28" s="3753"/>
      <c r="Z28" s="1348">
        <f t="shared" ref="Z28:Z40" si="15">Q28</f>
        <v>111</v>
      </c>
      <c r="AA28" s="1345">
        <f t="shared" si="3"/>
        <v>1</v>
      </c>
      <c r="AB28" s="1345">
        <f t="shared" si="4"/>
        <v>1</v>
      </c>
      <c r="AC28" s="1345">
        <f t="shared" si="5"/>
        <v>1</v>
      </c>
    </row>
    <row r="29" spans="1:29" ht="28.5">
      <c r="A29" s="414" t="s">
        <v>1694</v>
      </c>
      <c r="B29" s="63" t="s">
        <v>1817</v>
      </c>
      <c r="C29" s="1959"/>
      <c r="D29" s="415">
        <v>100</v>
      </c>
      <c r="E29" s="1959"/>
      <c r="F29" s="409">
        <f>SUMIF(88:88,E29,89:89)-SUMIF(88:88,C29,89:89)+100</f>
        <v>100</v>
      </c>
      <c r="G29" s="1959"/>
      <c r="H29" s="383">
        <f>SUMIF(88:88,G29,89:89)-SUMIF(88:88,C29,89:89)+100</f>
        <v>100</v>
      </c>
      <c r="I29" s="1959"/>
      <c r="J29" s="415">
        <f>SUMIF(88:88,I29,89:89)-SUMIF(88:88,C29,89:89)+100</f>
        <v>100</v>
      </c>
      <c r="K29" s="558"/>
      <c r="L29" s="915"/>
      <c r="M29" s="906"/>
      <c r="N29" s="906"/>
      <c r="O29" s="914"/>
      <c r="P29" s="3834" t="s">
        <v>1696</v>
      </c>
      <c r="Q29" s="1344" t="str">
        <f t="shared" si="11"/>
        <v>建筑类型</v>
      </c>
      <c r="R29" s="701" t="s">
        <v>14</v>
      </c>
      <c r="S29" s="702">
        <f t="shared" si="12"/>
        <v>100</v>
      </c>
      <c r="T29" s="701" t="s">
        <v>14</v>
      </c>
      <c r="U29" s="702">
        <f t="shared" si="13"/>
        <v>100</v>
      </c>
      <c r="V29" s="701" t="s">
        <v>14</v>
      </c>
      <c r="W29" s="702">
        <f t="shared" si="14"/>
        <v>100</v>
      </c>
      <c r="X29" s="1347"/>
      <c r="Y29" s="3757" t="s">
        <v>1696</v>
      </c>
      <c r="Z29" s="1348" t="str">
        <f t="shared" si="15"/>
        <v>建筑类型</v>
      </c>
      <c r="AA29" s="1345">
        <f t="shared" si="3"/>
        <v>1</v>
      </c>
      <c r="AB29" s="1345">
        <f t="shared" si="4"/>
        <v>1</v>
      </c>
      <c r="AC29" s="1345">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3"/>
      <c r="M30" s="916"/>
      <c r="N30" s="916"/>
      <c r="O30" s="917"/>
      <c r="P30" s="3757"/>
      <c r="Q30" s="703" t="str">
        <f t="shared" si="11"/>
        <v>项目建筑规模</v>
      </c>
      <c r="R30" s="704" t="s">
        <v>14</v>
      </c>
      <c r="S30" s="705" t="e">
        <f t="shared" si="12"/>
        <v>#N/A</v>
      </c>
      <c r="T30" s="704" t="s">
        <v>14</v>
      </c>
      <c r="U30" s="705" t="e">
        <f t="shared" si="13"/>
        <v>#N/A</v>
      </c>
      <c r="V30" s="704" t="s">
        <v>14</v>
      </c>
      <c r="W30" s="705" t="e">
        <f t="shared" si="14"/>
        <v>#N/A</v>
      </c>
      <c r="X30" s="706"/>
      <c r="Y30" s="3757"/>
      <c r="Z30" s="707" t="str">
        <f t="shared" si="15"/>
        <v>项目建筑规模</v>
      </c>
      <c r="AA30" s="1345" t="e">
        <f t="shared" si="3"/>
        <v>#N/A</v>
      </c>
      <c r="AB30" s="1345" t="e">
        <f t="shared" si="4"/>
        <v>#N/A</v>
      </c>
      <c r="AC30" s="1345"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5"/>
      <c r="M31" s="906"/>
      <c r="N31" s="906"/>
      <c r="O31" s="914"/>
      <c r="P31" s="3757"/>
      <c r="Q31" s="1344" t="str">
        <f t="shared" si="11"/>
        <v>建筑结构</v>
      </c>
      <c r="R31" s="701" t="s">
        <v>14</v>
      </c>
      <c r="S31" s="702">
        <f t="shared" si="12"/>
        <v>100</v>
      </c>
      <c r="T31" s="701" t="s">
        <v>14</v>
      </c>
      <c r="U31" s="702">
        <f t="shared" si="13"/>
        <v>100</v>
      </c>
      <c r="V31" s="701" t="s">
        <v>14</v>
      </c>
      <c r="W31" s="702">
        <f t="shared" si="14"/>
        <v>100</v>
      </c>
      <c r="X31" s="1347"/>
      <c r="Y31" s="3757"/>
      <c r="Z31" s="1348" t="str">
        <f t="shared" si="15"/>
        <v>建筑结构</v>
      </c>
      <c r="AA31" s="1345">
        <f t="shared" si="3"/>
        <v>1</v>
      </c>
      <c r="AB31" s="1345">
        <f t="shared" si="4"/>
        <v>1</v>
      </c>
      <c r="AC31" s="1345">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5"/>
      <c r="M32" s="906"/>
      <c r="N32" s="906"/>
      <c r="O32" s="914"/>
      <c r="P32" s="3757"/>
      <c r="Q32" s="1344" t="str">
        <f t="shared" si="11"/>
        <v>公共部分装修</v>
      </c>
      <c r="R32" s="701" t="s">
        <v>14</v>
      </c>
      <c r="S32" s="702">
        <f t="shared" si="12"/>
        <v>100</v>
      </c>
      <c r="T32" s="701" t="s">
        <v>14</v>
      </c>
      <c r="U32" s="702">
        <f t="shared" si="13"/>
        <v>100</v>
      </c>
      <c r="V32" s="701" t="s">
        <v>14</v>
      </c>
      <c r="W32" s="702">
        <f t="shared" si="14"/>
        <v>100</v>
      </c>
      <c r="X32" s="1347"/>
      <c r="Y32" s="3757"/>
      <c r="Z32" s="1348" t="str">
        <f t="shared" si="15"/>
        <v>公共部分装修</v>
      </c>
      <c r="AA32" s="1345">
        <f t="shared" si="3"/>
        <v>1</v>
      </c>
      <c r="AB32" s="1345">
        <f t="shared" si="4"/>
        <v>1</v>
      </c>
      <c r="AC32" s="1345">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5"/>
      <c r="M33" s="906"/>
      <c r="N33" s="906"/>
      <c r="O33" s="914"/>
      <c r="P33" s="3757"/>
      <c r="Q33" s="1344" t="str">
        <f t="shared" si="11"/>
        <v>成新度</v>
      </c>
      <c r="R33" s="701" t="s">
        <v>14</v>
      </c>
      <c r="S33" s="702" t="e">
        <f t="shared" si="12"/>
        <v>#N/A</v>
      </c>
      <c r="T33" s="701" t="s">
        <v>14</v>
      </c>
      <c r="U33" s="702" t="e">
        <f t="shared" si="13"/>
        <v>#N/A</v>
      </c>
      <c r="V33" s="701" t="s">
        <v>14</v>
      </c>
      <c r="W33" s="702" t="e">
        <f t="shared" si="14"/>
        <v>#N/A</v>
      </c>
      <c r="X33" s="1347"/>
      <c r="Y33" s="3757"/>
      <c r="Z33" s="1348" t="str">
        <f t="shared" si="15"/>
        <v>成新度</v>
      </c>
      <c r="AA33" s="1345" t="e">
        <f t="shared" si="3"/>
        <v>#N/A</v>
      </c>
      <c r="AB33" s="1345" t="e">
        <f t="shared" si="4"/>
        <v>#N/A</v>
      </c>
      <c r="AC33" s="1345" t="e">
        <f t="shared" si="5"/>
        <v>#N/A</v>
      </c>
    </row>
    <row r="34" spans="1:29" s="108"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07"/>
      <c r="M34" s="908"/>
      <c r="N34" s="908"/>
      <c r="O34" s="909"/>
      <c r="P34" s="3757"/>
      <c r="Q34" s="1335" t="str">
        <f t="shared" si="11"/>
        <v>物业管理</v>
      </c>
      <c r="R34" s="697" t="s">
        <v>14</v>
      </c>
      <c r="S34" s="698">
        <f t="shared" si="12"/>
        <v>100</v>
      </c>
      <c r="T34" s="697" t="s">
        <v>14</v>
      </c>
      <c r="U34" s="698">
        <f t="shared" si="13"/>
        <v>100</v>
      </c>
      <c r="V34" s="697" t="s">
        <v>14</v>
      </c>
      <c r="W34" s="698">
        <f t="shared" si="14"/>
        <v>100</v>
      </c>
      <c r="X34" s="699"/>
      <c r="Y34" s="3757"/>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5"/>
      <c r="M35" s="906"/>
      <c r="N35" s="906"/>
      <c r="O35" s="914"/>
      <c r="P35" s="3757" t="s">
        <v>1696</v>
      </c>
      <c r="Q35" s="1344" t="str">
        <f t="shared" si="11"/>
        <v>市政基础设施</v>
      </c>
      <c r="R35" s="701" t="s">
        <v>14</v>
      </c>
      <c r="S35" s="702">
        <f t="shared" si="12"/>
        <v>100</v>
      </c>
      <c r="T35" s="701" t="s">
        <v>14</v>
      </c>
      <c r="U35" s="702">
        <f t="shared" si="13"/>
        <v>100</v>
      </c>
      <c r="V35" s="701" t="s">
        <v>14</v>
      </c>
      <c r="W35" s="702">
        <f t="shared" si="14"/>
        <v>100</v>
      </c>
      <c r="X35" s="1347"/>
      <c r="Y35" s="3757" t="s">
        <v>1696</v>
      </c>
      <c r="Z35" s="1348" t="str">
        <f t="shared" si="15"/>
        <v>市政基础设施</v>
      </c>
      <c r="AA35" s="1345">
        <f t="shared" si="3"/>
        <v>1</v>
      </c>
      <c r="AB35" s="1345">
        <f t="shared" si="4"/>
        <v>1</v>
      </c>
      <c r="AC35" s="1345">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5"/>
      <c r="M36" s="906"/>
      <c r="N36" s="906"/>
      <c r="O36" s="914"/>
      <c r="P36" s="3757"/>
      <c r="Q36" s="1344" t="str">
        <f t="shared" si="11"/>
        <v>内部装修</v>
      </c>
      <c r="R36" s="701" t="s">
        <v>14</v>
      </c>
      <c r="S36" s="702">
        <f t="shared" si="12"/>
        <v>100</v>
      </c>
      <c r="T36" s="701" t="s">
        <v>14</v>
      </c>
      <c r="U36" s="702">
        <f t="shared" si="13"/>
        <v>100</v>
      </c>
      <c r="V36" s="701" t="s">
        <v>14</v>
      </c>
      <c r="W36" s="702">
        <f t="shared" si="14"/>
        <v>100</v>
      </c>
      <c r="X36" s="1347"/>
      <c r="Y36" s="3757"/>
      <c r="Z36" s="1348" t="str">
        <f t="shared" si="15"/>
        <v>内部装修</v>
      </c>
      <c r="AA36" s="1345">
        <f t="shared" si="3"/>
        <v>1</v>
      </c>
      <c r="AB36" s="1345">
        <f t="shared" si="4"/>
        <v>1</v>
      </c>
      <c r="AC36" s="1345">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5"/>
      <c r="M37" s="906"/>
      <c r="N37" s="906"/>
      <c r="O37" s="914"/>
      <c r="P37" s="3757"/>
      <c r="Q37" s="1344" t="str">
        <f t="shared" si="11"/>
        <v>内部装修状况</v>
      </c>
      <c r="R37" s="701" t="s">
        <v>14</v>
      </c>
      <c r="S37" s="702">
        <f t="shared" si="12"/>
        <v>100</v>
      </c>
      <c r="T37" s="701" t="s">
        <v>14</v>
      </c>
      <c r="U37" s="702">
        <f t="shared" si="13"/>
        <v>100</v>
      </c>
      <c r="V37" s="701" t="s">
        <v>14</v>
      </c>
      <c r="W37" s="702">
        <f t="shared" si="14"/>
        <v>100</v>
      </c>
      <c r="X37" s="1347"/>
      <c r="Y37" s="3757"/>
      <c r="Z37" s="1348" t="str">
        <f t="shared" si="15"/>
        <v>内部装修状况</v>
      </c>
      <c r="AA37" s="1345">
        <f t="shared" si="3"/>
        <v>1</v>
      </c>
      <c r="AB37" s="1345">
        <f t="shared" si="4"/>
        <v>1</v>
      </c>
      <c r="AC37" s="1345">
        <f t="shared" si="5"/>
        <v>1</v>
      </c>
    </row>
    <row r="38" spans="1:29" s="419" customFormat="1" ht="15">
      <c r="A38" s="416"/>
      <c r="B38" s="1125">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3"/>
      <c r="M38" s="916"/>
      <c r="N38" s="916"/>
      <c r="O38" s="917"/>
      <c r="P38" s="3757"/>
      <c r="Q38" s="703">
        <f t="shared" si="11"/>
        <v>111</v>
      </c>
      <c r="R38" s="704" t="s">
        <v>14</v>
      </c>
      <c r="S38" s="705">
        <f t="shared" si="12"/>
        <v>100</v>
      </c>
      <c r="T38" s="704" t="s">
        <v>14</v>
      </c>
      <c r="U38" s="705">
        <f t="shared" si="13"/>
        <v>100</v>
      </c>
      <c r="V38" s="704" t="s">
        <v>14</v>
      </c>
      <c r="W38" s="705">
        <f t="shared" si="14"/>
        <v>100</v>
      </c>
      <c r="X38" s="706"/>
      <c r="Y38" s="3757"/>
      <c r="Z38" s="707">
        <f t="shared" si="15"/>
        <v>111</v>
      </c>
      <c r="AA38" s="1345">
        <f t="shared" si="3"/>
        <v>1</v>
      </c>
      <c r="AB38" s="1345">
        <f t="shared" si="4"/>
        <v>1</v>
      </c>
      <c r="AC38" s="1345">
        <f t="shared" si="5"/>
        <v>1</v>
      </c>
    </row>
    <row r="39" spans="1:29" ht="15">
      <c r="A39" s="420"/>
      <c r="B39" s="1125">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5"/>
      <c r="M39" s="906"/>
      <c r="N39" s="906"/>
      <c r="O39" s="914"/>
      <c r="P39" s="3757"/>
      <c r="Q39" s="1344">
        <f t="shared" si="11"/>
        <v>111</v>
      </c>
      <c r="R39" s="701" t="s">
        <v>14</v>
      </c>
      <c r="S39" s="702">
        <f t="shared" si="12"/>
        <v>100</v>
      </c>
      <c r="T39" s="701" t="s">
        <v>14</v>
      </c>
      <c r="U39" s="702">
        <f t="shared" si="13"/>
        <v>100</v>
      </c>
      <c r="V39" s="701" t="s">
        <v>14</v>
      </c>
      <c r="W39" s="702">
        <f t="shared" si="14"/>
        <v>100</v>
      </c>
      <c r="X39" s="1347"/>
      <c r="Y39" s="3757"/>
      <c r="Z39" s="1348">
        <f t="shared" si="15"/>
        <v>111</v>
      </c>
      <c r="AA39" s="1345">
        <f t="shared" si="3"/>
        <v>1</v>
      </c>
      <c r="AB39" s="1345">
        <f t="shared" si="4"/>
        <v>1</v>
      </c>
      <c r="AC39" s="1345">
        <f t="shared" si="5"/>
        <v>1</v>
      </c>
    </row>
    <row r="40" spans="1:29" ht="15.75" thickBot="1">
      <c r="A40" s="426"/>
      <c r="B40" s="1887">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5"/>
      <c r="M40" s="906"/>
      <c r="N40" s="906"/>
      <c r="O40" s="914"/>
      <c r="P40" s="3758"/>
      <c r="Q40" s="1344">
        <f t="shared" si="11"/>
        <v>111</v>
      </c>
      <c r="R40" s="701" t="s">
        <v>14</v>
      </c>
      <c r="S40" s="702">
        <f t="shared" si="12"/>
        <v>100</v>
      </c>
      <c r="T40" s="701" t="s">
        <v>14</v>
      </c>
      <c r="U40" s="702">
        <f t="shared" si="13"/>
        <v>100</v>
      </c>
      <c r="V40" s="701" t="s">
        <v>14</v>
      </c>
      <c r="W40" s="702">
        <f t="shared" si="14"/>
        <v>100</v>
      </c>
      <c r="X40" s="1347"/>
      <c r="Y40" s="3758"/>
      <c r="Z40" s="1348">
        <f t="shared" si="15"/>
        <v>111</v>
      </c>
      <c r="AA40" s="1345">
        <f t="shared" si="3"/>
        <v>1</v>
      </c>
      <c r="AB40" s="1345">
        <f t="shared" si="4"/>
        <v>1</v>
      </c>
      <c r="AC40" s="1345">
        <f t="shared" si="5"/>
        <v>1</v>
      </c>
    </row>
    <row r="41" spans="1:29" ht="15">
      <c r="A41" s="427" t="s">
        <v>1708</v>
      </c>
      <c r="B41" s="428"/>
      <c r="C41" s="1146" t="s">
        <v>0</v>
      </c>
      <c r="D41" s="1147"/>
      <c r="E41" s="1148"/>
      <c r="F41" s="1149"/>
      <c r="G41" s="1150"/>
      <c r="H41" s="1151"/>
      <c r="I41" s="1148"/>
      <c r="J41" s="1151"/>
      <c r="K41" s="710"/>
      <c r="L41" s="918"/>
      <c r="M41" s="919"/>
      <c r="N41" s="906"/>
      <c r="O41" s="919"/>
      <c r="P41" s="3745" t="str">
        <f>A41</f>
        <v>成交单价（元/平方米）</v>
      </c>
      <c r="Q41" s="3745"/>
      <c r="R41" s="3746">
        <f>E41</f>
        <v>0</v>
      </c>
      <c r="S41" s="3746"/>
      <c r="T41" s="3746">
        <f>G41</f>
        <v>0</v>
      </c>
      <c r="U41" s="3746"/>
      <c r="V41" s="3746">
        <f>I41</f>
        <v>0</v>
      </c>
      <c r="W41" s="3746"/>
      <c r="X41" s="686"/>
      <c r="Y41" s="708"/>
      <c r="Z41" s="686"/>
      <c r="AA41" s="686"/>
      <c r="AB41" s="686"/>
      <c r="AC41" s="686"/>
    </row>
    <row r="42" spans="1:29" ht="15.75" thickBot="1">
      <c r="A42" s="434" t="s">
        <v>1793</v>
      </c>
      <c r="B42" s="435"/>
      <c r="C42" s="1152" t="e">
        <f>R43</f>
        <v>#DIV/0!</v>
      </c>
      <c r="D42" s="2309" t="s">
        <v>2138</v>
      </c>
      <c r="E42" s="1153" t="e">
        <f>R42</f>
        <v>#DIV/0!</v>
      </c>
      <c r="F42" s="2310"/>
      <c r="G42" s="1152" t="e">
        <f>T42</f>
        <v>#DIV/0!</v>
      </c>
      <c r="H42" s="2310"/>
      <c r="I42" s="1153" t="e">
        <f>V42</f>
        <v>#DIV/0!</v>
      </c>
      <c r="J42" s="2310"/>
      <c r="K42" s="2312">
        <f>F42+H42+J42</f>
        <v>0</v>
      </c>
      <c r="L42" s="918"/>
      <c r="M42" s="919"/>
      <c r="N42" s="906"/>
      <c r="O42" s="919"/>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86"/>
      <c r="Y42" s="686"/>
      <c r="Z42" s="686"/>
      <c r="AA42" s="686"/>
      <c r="AB42" s="686"/>
      <c r="AC42" s="686"/>
    </row>
    <row r="43" spans="1:29" ht="15.75" thickBot="1">
      <c r="A43" s="438" t="s">
        <v>1794</v>
      </c>
      <c r="B43" s="439"/>
      <c r="C43" s="1155" t="e">
        <f>R43</f>
        <v>#DIV/0!</v>
      </c>
      <c r="D43" s="1155"/>
      <c r="E43" s="1155"/>
      <c r="F43" s="1155"/>
      <c r="G43" s="1155"/>
      <c r="H43" s="1155"/>
      <c r="I43" s="1155"/>
      <c r="J43" s="1155"/>
      <c r="K43" s="711"/>
      <c r="L43" s="918"/>
      <c r="M43" s="919"/>
      <c r="N43" s="919"/>
      <c r="O43" s="919"/>
      <c r="P43" s="3824" t="str">
        <f>A43</f>
        <v>估价对象XX用房的比较价值（楼面单价，元/平方米）</v>
      </c>
      <c r="Q43" s="3825"/>
      <c r="R43" s="3826" t="e">
        <f>IF(F1="售价",ROUND(IF(D42="简单平均",AVERAGE(R42:V42),R42*F42+T42*H42+V42*J42),0),ROUND(IF(D42="简单平均",AVERAGE(R42:V42),R42*F42+T42*H42+V42*J42),1))</f>
        <v>#DIV/0!</v>
      </c>
      <c r="S43" s="3826"/>
      <c r="T43" s="3826"/>
      <c r="U43" s="3826"/>
      <c r="V43" s="3826"/>
      <c r="W43" s="3826"/>
      <c r="X43" s="686"/>
      <c r="Y43" s="686"/>
      <c r="Z43" s="686"/>
      <c r="AA43" s="686"/>
      <c r="AB43" s="686"/>
      <c r="AC43" s="686"/>
    </row>
    <row r="44" spans="1:29">
      <c r="A44" s="2717"/>
      <c r="B44" s="2717"/>
      <c r="C44" s="2717"/>
      <c r="D44" s="2717"/>
      <c r="E44" s="2717"/>
      <c r="F44" s="2717"/>
      <c r="G44" s="2721"/>
      <c r="H44" s="2717"/>
      <c r="I44" s="2717"/>
      <c r="J44" s="2717"/>
      <c r="K44" s="2722"/>
      <c r="L44" s="881"/>
      <c r="M44" s="919"/>
      <c r="N44" s="919"/>
      <c r="O44" s="919"/>
    </row>
    <row r="45" spans="1:29">
      <c r="A45" s="2717"/>
      <c r="B45" s="2717"/>
      <c r="C45" s="2717"/>
      <c r="D45" s="2717"/>
      <c r="E45" s="2717"/>
      <c r="F45" s="2717"/>
      <c r="G45" s="2717"/>
      <c r="H45" s="2717"/>
      <c r="I45" s="2717"/>
      <c r="J45" s="2717"/>
      <c r="K45" s="2722"/>
      <c r="L45" s="881"/>
      <c r="M45" s="919"/>
      <c r="N45" s="919"/>
      <c r="O45" s="919"/>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1"/>
      <c r="M46" s="919"/>
      <c r="N46" s="919"/>
      <c r="O46" s="919"/>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1"/>
      <c r="M47" s="919"/>
      <c r="N47" s="919"/>
      <c r="O47" s="919"/>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2"/>
      <c r="M48" s="920"/>
      <c r="N48" s="920"/>
      <c r="O48" s="920"/>
    </row>
    <row r="49" spans="1:17" s="448" customFormat="1">
      <c r="A49" s="2720"/>
      <c r="B49" s="2723"/>
      <c r="C49" s="2724"/>
      <c r="D49" s="2720"/>
      <c r="E49" s="2720"/>
      <c r="F49" s="2720"/>
      <c r="G49" s="2720"/>
      <c r="H49" s="2720"/>
      <c r="I49" s="2720"/>
      <c r="J49" s="2720"/>
      <c r="K49" s="2725"/>
      <c r="L49" s="922"/>
      <c r="M49" s="920"/>
      <c r="N49" s="920"/>
      <c r="O49" s="920"/>
    </row>
    <row r="50" spans="1:17">
      <c r="A50" s="2717"/>
      <c r="B50" s="2723"/>
      <c r="C50" s="2724"/>
      <c r="D50" s="2717"/>
      <c r="E50" s="2717"/>
      <c r="F50" s="2717"/>
      <c r="G50" s="2717"/>
      <c r="H50" s="2717"/>
      <c r="I50" s="2717"/>
      <c r="J50" s="2717"/>
      <c r="K50" s="2722"/>
      <c r="L50" s="881"/>
      <c r="M50" s="919"/>
      <c r="N50" s="919"/>
      <c r="O50" s="919"/>
    </row>
    <row r="51" spans="1:17" ht="21.75" thickBot="1">
      <c r="A51" s="690" t="s">
        <v>1798</v>
      </c>
      <c r="B51" s="686"/>
      <c r="C51" s="691"/>
      <c r="D51" s="691"/>
      <c r="E51" s="691"/>
      <c r="F51" s="692"/>
      <c r="G51" s="692"/>
      <c r="H51" s="691"/>
      <c r="I51" s="691"/>
      <c r="J51" s="691"/>
      <c r="K51" s="933"/>
      <c r="L51" s="934"/>
      <c r="M51" s="932"/>
      <c r="N51" s="932"/>
      <c r="O51" s="932"/>
      <c r="P51" s="449"/>
      <c r="Q51" s="450"/>
    </row>
    <row r="52" spans="1:17" s="454" customFormat="1" ht="15">
      <c r="A52" s="451" t="s">
        <v>1679</v>
      </c>
      <c r="B52" s="452"/>
      <c r="C52" s="1176" t="str">
        <f>YEAR(C7)&amp;"-"&amp;MONTH(C7)</f>
        <v>2024-4</v>
      </c>
      <c r="D52" s="1177">
        <f>EDATE(C52,-1)</f>
        <v>45352</v>
      </c>
      <c r="E52" s="1177">
        <f t="shared" ref="E52:O52" si="16">EDATE(D52,-1)</f>
        <v>45323</v>
      </c>
      <c r="F52" s="1177">
        <f t="shared" si="16"/>
        <v>45292</v>
      </c>
      <c r="G52" s="1177">
        <f t="shared" si="16"/>
        <v>45261</v>
      </c>
      <c r="H52" s="1177">
        <f t="shared" si="16"/>
        <v>45231</v>
      </c>
      <c r="I52" s="1177">
        <f t="shared" si="16"/>
        <v>45200</v>
      </c>
      <c r="J52" s="1177">
        <f t="shared" si="16"/>
        <v>45170</v>
      </c>
      <c r="K52" s="1177">
        <f t="shared" si="16"/>
        <v>45139</v>
      </c>
      <c r="L52" s="1177">
        <f t="shared" si="16"/>
        <v>45108</v>
      </c>
      <c r="M52" s="1177">
        <f t="shared" si="16"/>
        <v>45078</v>
      </c>
      <c r="N52" s="1177">
        <f t="shared" si="16"/>
        <v>45047</v>
      </c>
      <c r="O52" s="1177">
        <f t="shared" si="16"/>
        <v>45017</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4"/>
      <c r="O55" s="924"/>
      <c r="P55" s="472"/>
      <c r="Q55" s="450"/>
    </row>
    <row r="56" spans="1:17" s="108" customFormat="1" ht="15.75" thickBot="1">
      <c r="A56" s="467"/>
      <c r="B56" s="456"/>
      <c r="C56" s="584">
        <v>100</v>
      </c>
      <c r="D56" s="458"/>
      <c r="E56" s="458"/>
      <c r="F56" s="458"/>
      <c r="G56" s="458"/>
      <c r="H56" s="458"/>
      <c r="I56" s="458"/>
      <c r="J56" s="458"/>
      <c r="K56" s="458"/>
      <c r="L56" s="458"/>
      <c r="M56" s="460"/>
      <c r="N56" s="924"/>
      <c r="O56" s="924"/>
      <c r="P56" s="450"/>
      <c r="Q56" s="450"/>
    </row>
    <row r="57" spans="1:17">
      <c r="A57" s="473" t="s">
        <v>1719</v>
      </c>
      <c r="B57" s="474" t="s">
        <v>1685</v>
      </c>
      <c r="C57" s="475">
        <f>C9</f>
        <v>0</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19" customFormat="1" ht="15.75" thickTop="1">
      <c r="A64" s="499"/>
      <c r="B64" s="484">
        <f>B12</f>
        <v>111</v>
      </c>
      <c r="C64" s="500"/>
      <c r="D64" s="500"/>
      <c r="E64" s="500"/>
      <c r="F64" s="500"/>
      <c r="G64" s="500"/>
      <c r="H64" s="501"/>
      <c r="I64" s="501"/>
      <c r="J64" s="501"/>
      <c r="K64" s="501"/>
      <c r="L64" s="502"/>
      <c r="M64" s="503"/>
      <c r="N64" s="927"/>
      <c r="O64" s="927"/>
      <c r="P64" s="504"/>
      <c r="Q64" s="505"/>
    </row>
    <row r="65" spans="1:17" s="419" customFormat="1" ht="15.75" thickBot="1">
      <c r="A65" s="499"/>
      <c r="B65" s="489"/>
      <c r="C65" s="506"/>
      <c r="D65" s="482"/>
      <c r="E65" s="482"/>
      <c r="F65" s="482"/>
      <c r="G65" s="482"/>
      <c r="H65" s="482"/>
      <c r="I65" s="482"/>
      <c r="J65" s="482"/>
      <c r="K65" s="482"/>
      <c r="L65" s="482"/>
      <c r="M65" s="483"/>
      <c r="N65" s="926"/>
      <c r="O65" s="926"/>
      <c r="P65" s="504"/>
      <c r="Q65" s="505"/>
    </row>
    <row r="66" spans="1:17" s="419" customFormat="1" ht="15.75" thickTop="1">
      <c r="A66" s="499"/>
      <c r="B66" s="484">
        <f>B13</f>
        <v>111</v>
      </c>
      <c r="C66" s="500"/>
      <c r="D66" s="500"/>
      <c r="E66" s="500"/>
      <c r="F66" s="500"/>
      <c r="G66" s="500"/>
      <c r="H66" s="501"/>
      <c r="I66" s="501"/>
      <c r="J66" s="501"/>
      <c r="K66" s="501"/>
      <c r="L66" s="502"/>
      <c r="M66" s="503"/>
      <c r="N66" s="927"/>
      <c r="O66" s="927"/>
      <c r="P66" s="418"/>
      <c r="Q66" s="507"/>
    </row>
    <row r="67" spans="1:17" s="419" customFormat="1" ht="15.75" thickBot="1">
      <c r="A67" s="499"/>
      <c r="B67" s="489"/>
      <c r="C67" s="506"/>
      <c r="D67" s="482"/>
      <c r="E67" s="482"/>
      <c r="F67" s="482"/>
      <c r="G67" s="506"/>
      <c r="H67" s="508"/>
      <c r="I67" s="508"/>
      <c r="J67" s="508"/>
      <c r="K67" s="508"/>
      <c r="L67" s="508"/>
      <c r="M67" s="509"/>
      <c r="N67" s="927"/>
      <c r="O67" s="927"/>
      <c r="P67" s="504"/>
      <c r="Q67" s="505"/>
    </row>
    <row r="68" spans="1:17" s="419" customFormat="1" ht="15.75" thickTop="1">
      <c r="A68" s="499"/>
      <c r="B68" s="492">
        <f>B14</f>
        <v>111</v>
      </c>
      <c r="C68" s="469"/>
      <c r="D68" s="469"/>
      <c r="E68" s="469"/>
      <c r="F68" s="469"/>
      <c r="G68" s="469"/>
      <c r="H68" s="510"/>
      <c r="I68" s="510"/>
      <c r="J68" s="510"/>
      <c r="K68" s="510"/>
      <c r="L68" s="511"/>
      <c r="M68" s="512"/>
      <c r="N68" s="927"/>
      <c r="O68" s="927"/>
      <c r="P68" s="513"/>
      <c r="Q68" s="505"/>
    </row>
    <row r="69" spans="1:17" s="419"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26"/>
      <c r="O75" s="926"/>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1"/>
      <c r="N76" s="926"/>
      <c r="O76" s="926"/>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26"/>
      <c r="O79" s="926"/>
      <c r="P79" s="42"/>
      <c r="Q79" s="450"/>
    </row>
    <row r="80" spans="1:17" s="108" customFormat="1" ht="15.75" thickTop="1">
      <c r="A80" s="525"/>
      <c r="B80" s="484">
        <f>B25</f>
        <v>111</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111</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19" customFormat="1" ht="15.75" thickTop="1">
      <c r="A84" s="499"/>
      <c r="B84" s="484">
        <f>B27</f>
        <v>111</v>
      </c>
      <c r="C84" s="500"/>
      <c r="D84" s="500"/>
      <c r="E84" s="500"/>
      <c r="F84" s="500"/>
      <c r="G84" s="500"/>
      <c r="H84" s="500"/>
      <c r="I84" s="500"/>
      <c r="J84" s="500"/>
      <c r="K84" s="500"/>
      <c r="L84" s="526"/>
      <c r="M84" s="527"/>
      <c r="N84" s="927"/>
      <c r="O84" s="927"/>
      <c r="P84" s="504"/>
      <c r="Q84" s="505"/>
    </row>
    <row r="85" spans="1:17" s="419"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111</v>
      </c>
      <c r="C86" s="469"/>
      <c r="D86" s="469"/>
      <c r="E86" s="469"/>
      <c r="F86" s="469"/>
      <c r="G86" s="533"/>
      <c r="H86" s="533"/>
      <c r="I86" s="533"/>
      <c r="J86" s="533"/>
      <c r="K86" s="534"/>
      <c r="L86" s="535"/>
      <c r="M86" s="536"/>
      <c r="N86" s="925"/>
      <c r="O86" s="925"/>
      <c r="P86" s="42"/>
      <c r="Q86" s="450"/>
    </row>
    <row r="87" spans="1:17" ht="15.75" thickBot="1">
      <c r="A87" s="1920"/>
      <c r="B87" s="515"/>
      <c r="C87" s="516"/>
      <c r="D87" s="516"/>
      <c r="E87" s="516"/>
      <c r="F87" s="516"/>
      <c r="G87" s="537"/>
      <c r="H87" s="537"/>
      <c r="I87" s="537"/>
      <c r="J87" s="537"/>
      <c r="K87" s="537"/>
      <c r="L87" s="537"/>
      <c r="M87" s="538"/>
      <c r="N87" s="926"/>
      <c r="O87" s="926"/>
      <c r="P87" s="42"/>
      <c r="Q87" s="450"/>
    </row>
    <row r="88" spans="1:17">
      <c r="A88" s="473" t="s">
        <v>1694</v>
      </c>
      <c r="B88" s="474" t="s">
        <v>1736</v>
      </c>
      <c r="C88" s="476"/>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26"/>
      <c r="O89" s="926"/>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4"/>
      <c r="O90" s="924"/>
      <c r="P90" s="42"/>
      <c r="Q90" s="450"/>
    </row>
    <row r="91" spans="1:17" s="419" customFormat="1">
      <c r="A91" s="539"/>
      <c r="B91" s="540"/>
      <c r="C91" s="541"/>
      <c r="D91" s="541"/>
      <c r="E91" s="541"/>
      <c r="F91" s="541"/>
      <c r="G91" s="541"/>
      <c r="H91" s="541"/>
      <c r="I91" s="541"/>
      <c r="J91" s="542"/>
      <c r="K91" s="542"/>
      <c r="L91" s="543"/>
      <c r="M91" s="544"/>
      <c r="N91" s="927"/>
      <c r="O91" s="927"/>
      <c r="P91" s="504"/>
      <c r="Q91" s="505"/>
    </row>
    <row r="92" spans="1:17" s="419" customFormat="1" ht="15.75" thickBot="1">
      <c r="A92" s="499"/>
      <c r="B92" s="489"/>
      <c r="C92" s="506"/>
      <c r="D92" s="482"/>
      <c r="E92" s="482"/>
      <c r="F92" s="482"/>
      <c r="G92" s="482"/>
      <c r="H92" s="482"/>
      <c r="I92" s="482"/>
      <c r="J92" s="482"/>
      <c r="K92" s="482"/>
      <c r="L92" s="482"/>
      <c r="M92" s="483"/>
      <c r="N92" s="926"/>
      <c r="O92" s="926"/>
      <c r="P92" s="504"/>
      <c r="Q92" s="505"/>
    </row>
    <row r="93" spans="1:17" ht="15" thickTop="1">
      <c r="A93" s="545"/>
      <c r="B93" s="484" t="s">
        <v>1738</v>
      </c>
      <c r="C93" s="500"/>
      <c r="D93" s="500"/>
      <c r="E93" s="529"/>
      <c r="F93" s="529"/>
      <c r="G93" s="529"/>
      <c r="H93" s="529"/>
      <c r="I93" s="529"/>
      <c r="J93" s="529"/>
      <c r="K93" s="530"/>
      <c r="L93" s="531"/>
      <c r="M93" s="532"/>
      <c r="N93" s="925"/>
      <c r="O93" s="925"/>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26"/>
      <c r="O94" s="926"/>
      <c r="P94" s="42"/>
      <c r="Q94" s="450"/>
    </row>
    <row r="95" spans="1:17" ht="15" thickTop="1">
      <c r="A95" s="545"/>
      <c r="B95" s="484" t="s">
        <v>1740</v>
      </c>
      <c r="C95" s="500"/>
      <c r="D95" s="500"/>
      <c r="E95" s="500"/>
      <c r="F95" s="529"/>
      <c r="G95" s="529"/>
      <c r="H95" s="529"/>
      <c r="I95" s="529"/>
      <c r="J95" s="529"/>
      <c r="K95" s="530"/>
      <c r="L95" s="531"/>
      <c r="M95" s="532"/>
      <c r="N95" s="925"/>
      <c r="O95" s="925"/>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8"/>
      <c r="J98" s="568"/>
      <c r="K98" s="569"/>
      <c r="L98" s="570"/>
      <c r="M98" s="571"/>
      <c r="N98" s="925"/>
      <c r="O98" s="925"/>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26"/>
      <c r="O99" s="926"/>
      <c r="P99" s="42"/>
      <c r="Q99" s="450"/>
    </row>
    <row r="100" spans="1:17" s="419" customFormat="1" ht="15" thickTop="1">
      <c r="A100" s="539"/>
      <c r="B100" s="484" t="s">
        <v>1741</v>
      </c>
      <c r="C100" s="500"/>
      <c r="D100" s="500"/>
      <c r="E100" s="500"/>
      <c r="F100" s="500"/>
      <c r="G100" s="500"/>
      <c r="H100" s="529"/>
      <c r="I100" s="529"/>
      <c r="J100" s="529"/>
      <c r="K100" s="530"/>
      <c r="L100" s="531"/>
      <c r="M100" s="532"/>
      <c r="N100" s="927"/>
      <c r="O100" s="927"/>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27"/>
      <c r="O101" s="927"/>
      <c r="P101" s="504"/>
      <c r="Q101" s="505"/>
    </row>
    <row r="102" spans="1:17" ht="15" thickTop="1">
      <c r="A102" s="545"/>
      <c r="B102" s="484" t="s">
        <v>1742</v>
      </c>
      <c r="C102" s="500"/>
      <c r="D102" s="500"/>
      <c r="E102" s="500"/>
      <c r="F102" s="500"/>
      <c r="G102" s="500"/>
      <c r="H102" s="529"/>
      <c r="I102" s="529"/>
      <c r="J102" s="529"/>
      <c r="K102" s="530"/>
      <c r="L102" s="531"/>
      <c r="M102" s="532"/>
      <c r="N102" s="925"/>
      <c r="O102" s="925"/>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26"/>
      <c r="O103" s="926"/>
      <c r="P103" s="42"/>
      <c r="Q103" s="450"/>
    </row>
    <row r="104" spans="1:17" ht="15" thickTop="1">
      <c r="A104" s="545"/>
      <c r="B104" s="484" t="s">
        <v>1744</v>
      </c>
      <c r="C104" s="500"/>
      <c r="D104" s="500"/>
      <c r="E104" s="500"/>
      <c r="F104" s="500"/>
      <c r="G104" s="500"/>
      <c r="H104" s="529"/>
      <c r="I104" s="529"/>
      <c r="J104" s="529"/>
      <c r="K104" s="530"/>
      <c r="L104" s="531"/>
      <c r="M104" s="532"/>
      <c r="N104" s="925"/>
      <c r="O104" s="925"/>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26"/>
      <c r="O105" s="926"/>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26"/>
      <c r="O106" s="926"/>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26"/>
      <c r="O107" s="926"/>
      <c r="P107" s="42"/>
      <c r="Q107" s="450"/>
    </row>
    <row r="108" spans="1:17" s="419" customFormat="1" ht="15" thickTop="1">
      <c r="A108" s="539"/>
      <c r="B108" s="484">
        <f>B38</f>
        <v>111</v>
      </c>
      <c r="C108" s="500"/>
      <c r="D108" s="500"/>
      <c r="E108" s="500"/>
      <c r="F108" s="500"/>
      <c r="G108" s="500"/>
      <c r="H108" s="501"/>
      <c r="I108" s="501"/>
      <c r="J108" s="501"/>
      <c r="K108" s="501"/>
      <c r="L108" s="502"/>
      <c r="M108" s="503"/>
      <c r="N108" s="927"/>
      <c r="O108" s="927"/>
      <c r="P108" s="504"/>
      <c r="Q108" s="505"/>
    </row>
    <row r="109" spans="1:17" s="419" customFormat="1" ht="15.75" thickBot="1">
      <c r="A109" s="499"/>
      <c r="B109" s="481"/>
      <c r="C109" s="506"/>
      <c r="D109" s="482"/>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20"/>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89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1831</v>
      </c>
      <c r="B1" s="1215" t="s">
        <v>3337</v>
      </c>
      <c r="C1" s="1216" t="s">
        <v>1662</v>
      </c>
      <c r="D1" s="1217"/>
      <c r="E1" s="3425"/>
      <c r="F1" s="1871"/>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49" customFormat="1" ht="28.5" customHeight="1" thickTop="1">
      <c r="A2" s="1213" t="s">
        <v>1462</v>
      </c>
      <c r="B2" s="1156" t="b">
        <f>IF(E1="项目模式",IF(C2="——",IF(B37="元/平方米",ROUND(C39*D3/10000,0),ROUND(F3*C39/10000,0)),IF(B37="元/平方米",ROUND(C39*D3/10000,0),ROUND(F3*C39/10000,0))-D2),IF(E1="单套模式",IF(C2="——",IF(B37="元/平方米",ROUND(C39*D3/10000,0),ROUND(F3*C39/10000,0)),IF(B37="元/平方米",ROUND(C39*D3/10000,0),ROUND(F3*C39/10000,0))-D2)))</f>
        <v>0</v>
      </c>
      <c r="C2" s="1873"/>
      <c r="D2" s="899" t="e">
        <f ca="1">IF(E1="项目模式",SUMIF(INDIRECT("'"&amp;F2&amp;"'"&amp;"!A:A"),"承租人权益价值",INDIRECT("'"&amp;F2&amp;"'"&amp;"!c:c")),SUMIF(INDIRECT("'"&amp;F2&amp;"'"&amp;"!A:A"),"承租人权益价值（单套）",INDIRECT("'"&amp;F2&amp;"'"&amp;"!c:c")))</f>
        <v>#REF!</v>
      </c>
      <c r="E2" s="1874" t="s">
        <v>1463</v>
      </c>
      <c r="F2" s="1875"/>
      <c r="G2" s="900"/>
      <c r="H2" s="900"/>
      <c r="I2" s="900"/>
      <c r="J2" s="900"/>
      <c r="K2" s="902"/>
      <c r="L2" s="2726"/>
      <c r="M2" s="2727"/>
      <c r="N2" s="2727"/>
      <c r="O2" s="2727"/>
      <c r="P2" s="1157"/>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0"/>
      <c r="H3" s="900"/>
      <c r="I3" s="900"/>
      <c r="J3" s="900"/>
      <c r="K3" s="902"/>
      <c r="L3" s="2726"/>
      <c r="M3" s="2727" t="e">
        <f ca="1">IF(C2="——",IF(B37="元/平方米",ROUND(C39*D3/10000,0),ROUND(F3*C39/10000,0)),IF(B37="元/平方米",ROUND(C39*D3/10000,0),ROUND(F3*C39/10000,0))-D2)</f>
        <v>#DIV/0!</v>
      </c>
      <c r="N3" s="2727"/>
      <c r="O3" s="2727"/>
      <c r="P3" s="1157"/>
      <c r="Q3" s="695"/>
      <c r="R3" s="695"/>
      <c r="S3" s="695"/>
      <c r="T3" s="695"/>
      <c r="U3" s="695"/>
      <c r="V3" s="695"/>
      <c r="W3" s="695"/>
      <c r="X3" s="695"/>
      <c r="Y3" s="695"/>
      <c r="Z3" s="695"/>
      <c r="AA3" s="695"/>
      <c r="AB3" s="712"/>
      <c r="AC3" s="709"/>
    </row>
    <row r="4" spans="1:29" ht="15">
      <c r="A4" s="352" t="s">
        <v>1769</v>
      </c>
      <c r="B4" s="353"/>
      <c r="C4" s="3762" t="s">
        <v>1770</v>
      </c>
      <c r="D4" s="3763"/>
      <c r="E4" s="3764" t="s">
        <v>1771</v>
      </c>
      <c r="F4" s="3765"/>
      <c r="G4" s="3762" t="s">
        <v>1772</v>
      </c>
      <c r="H4" s="3763"/>
      <c r="I4" s="3762" t="s">
        <v>1773</v>
      </c>
      <c r="J4" s="3763"/>
      <c r="K4" s="556" t="s">
        <v>1774</v>
      </c>
      <c r="L4" s="2707"/>
      <c r="M4" s="2708"/>
      <c r="N4" s="2708"/>
      <c r="O4" s="2708"/>
      <c r="P4" s="3828" t="s">
        <v>1775</v>
      </c>
      <c r="Q4" s="3829"/>
      <c r="R4" s="3832" t="s">
        <v>1771</v>
      </c>
      <c r="S4" s="3833"/>
      <c r="T4" s="3832" t="s">
        <v>1772</v>
      </c>
      <c r="U4" s="3833"/>
      <c r="V4" s="3779" t="s">
        <v>1773</v>
      </c>
      <c r="W4" s="3779"/>
      <c r="X4" s="1347"/>
      <c r="Y4" s="3832" t="s">
        <v>1775</v>
      </c>
      <c r="Z4" s="3833"/>
      <c r="AA4" s="3827" t="s">
        <v>1771</v>
      </c>
      <c r="AB4" s="3791" t="s">
        <v>1772</v>
      </c>
      <c r="AC4" s="3827" t="s">
        <v>1773</v>
      </c>
    </row>
    <row r="5" spans="1:29" ht="15">
      <c r="A5" s="355"/>
      <c r="B5" s="356"/>
      <c r="C5" s="3782" t="s">
        <v>1673</v>
      </c>
      <c r="D5" s="3783"/>
      <c r="E5" s="3793" t="s">
        <v>1674</v>
      </c>
      <c r="F5" s="3794"/>
      <c r="G5" s="3782" t="s">
        <v>1675</v>
      </c>
      <c r="H5" s="3783"/>
      <c r="I5" s="3782" t="s">
        <v>1676</v>
      </c>
      <c r="J5" s="3783"/>
      <c r="K5" s="556"/>
      <c r="L5" s="2707"/>
      <c r="M5" s="2708"/>
      <c r="N5" s="2708"/>
      <c r="O5" s="2708"/>
      <c r="P5" s="3830"/>
      <c r="Q5" s="3769"/>
      <c r="R5" s="3774"/>
      <c r="S5" s="3775"/>
      <c r="T5" s="3774"/>
      <c r="U5" s="3775"/>
      <c r="V5" s="3779"/>
      <c r="W5" s="3779"/>
      <c r="X5" s="1347"/>
      <c r="Y5" s="3774"/>
      <c r="Z5" s="3775"/>
      <c r="AA5" s="3791"/>
      <c r="AB5" s="3791"/>
      <c r="AC5" s="3791"/>
    </row>
    <row r="6" spans="1:29" ht="15.75" thickBot="1">
      <c r="A6" s="357"/>
      <c r="B6" s="358"/>
      <c r="C6" s="3780" t="s">
        <v>1677</v>
      </c>
      <c r="D6" s="3781"/>
      <c r="E6" s="3788" t="s">
        <v>1677</v>
      </c>
      <c r="F6" s="3789"/>
      <c r="G6" s="3780" t="s">
        <v>1677</v>
      </c>
      <c r="H6" s="3781"/>
      <c r="I6" s="3780" t="s">
        <v>1677</v>
      </c>
      <c r="J6" s="3781"/>
      <c r="K6" s="556" t="s">
        <v>1678</v>
      </c>
      <c r="L6" s="2707"/>
      <c r="M6" s="2708"/>
      <c r="N6" s="2708"/>
      <c r="O6" s="2708"/>
      <c r="P6" s="3831"/>
      <c r="Q6" s="3771"/>
      <c r="R6" s="3774"/>
      <c r="S6" s="3775"/>
      <c r="T6" s="3776"/>
      <c r="U6" s="3777"/>
      <c r="V6" s="3779"/>
      <c r="W6" s="3779"/>
      <c r="X6" s="1347"/>
      <c r="Y6" s="3776"/>
      <c r="Z6" s="3777"/>
      <c r="AA6" s="3792"/>
      <c r="AB6" s="3792"/>
      <c r="AC6" s="3792"/>
    </row>
    <row r="7" spans="1:29" s="108" customFormat="1" ht="15.75" thickBot="1">
      <c r="A7" s="359" t="s">
        <v>1679</v>
      </c>
      <c r="B7" s="360"/>
      <c r="C7" s="361">
        <f>'数据-取费表'!B2</f>
        <v>45401</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86" t="s">
        <v>1680</v>
      </c>
      <c r="Q7" s="3787"/>
      <c r="R7" s="697" t="s">
        <v>14</v>
      </c>
      <c r="S7" s="698">
        <f t="shared" ref="S7:S14" si="0">F7</f>
        <v>0</v>
      </c>
      <c r="T7" s="697" t="s">
        <v>14</v>
      </c>
      <c r="U7" s="698">
        <f t="shared" ref="U7:U14" si="1">H7</f>
        <v>0</v>
      </c>
      <c r="V7" s="697" t="s">
        <v>14</v>
      </c>
      <c r="W7" s="698">
        <f t="shared" ref="W7:W14" si="2">J7</f>
        <v>0</v>
      </c>
      <c r="X7" s="699"/>
      <c r="Y7" s="3786" t="s">
        <v>1680</v>
      </c>
      <c r="Z7" s="3785"/>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86" t="s">
        <v>1683</v>
      </c>
      <c r="Q8" s="3785"/>
      <c r="R8" s="697" t="s">
        <v>14</v>
      </c>
      <c r="S8" s="698">
        <f t="shared" si="0"/>
        <v>100</v>
      </c>
      <c r="T8" s="697" t="s">
        <v>14</v>
      </c>
      <c r="U8" s="698">
        <f t="shared" si="1"/>
        <v>100</v>
      </c>
      <c r="V8" s="697" t="s">
        <v>14</v>
      </c>
      <c r="W8" s="698">
        <f t="shared" si="2"/>
        <v>100</v>
      </c>
      <c r="X8" s="699"/>
      <c r="Y8" s="3786" t="s">
        <v>1683</v>
      </c>
      <c r="Z8" s="3785"/>
      <c r="AA8" s="700">
        <f t="shared" ref="AA8:AA36" si="3">D8/F8</f>
        <v>1</v>
      </c>
      <c r="AB8" s="700">
        <f t="shared" ref="AB8:AB36" si="4">D8/H8</f>
        <v>1</v>
      </c>
      <c r="AC8" s="700">
        <f t="shared" ref="AC8:AC36" si="5">D8/J8</f>
        <v>1</v>
      </c>
    </row>
    <row r="9" spans="1:29" s="108" customFormat="1">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09"/>
      <c r="M9" s="2710"/>
      <c r="N9" s="2710"/>
      <c r="O9" s="2710"/>
      <c r="P9" s="3745" t="s">
        <v>1686</v>
      </c>
      <c r="Q9" s="1335" t="str">
        <f t="shared" ref="Q9:Q14" si="6">B9</f>
        <v>用途</v>
      </c>
      <c r="R9" s="697" t="s">
        <v>14</v>
      </c>
      <c r="S9" s="698">
        <f t="shared" si="0"/>
        <v>100</v>
      </c>
      <c r="T9" s="697" t="s">
        <v>14</v>
      </c>
      <c r="U9" s="698">
        <f t="shared" si="1"/>
        <v>100</v>
      </c>
      <c r="V9" s="697" t="s">
        <v>14</v>
      </c>
      <c r="W9" s="698">
        <f t="shared" si="2"/>
        <v>100</v>
      </c>
      <c r="X9" s="699"/>
      <c r="Y9" s="3651" t="s">
        <v>1687</v>
      </c>
      <c r="Z9" s="52" t="str">
        <f t="shared" ref="Z9:Z14" si="7">Q9</f>
        <v>用途</v>
      </c>
      <c r="AA9" s="700">
        <f t="shared" si="3"/>
        <v>1</v>
      </c>
      <c r="AB9" s="700">
        <f t="shared" si="4"/>
        <v>1</v>
      </c>
      <c r="AC9" s="700">
        <f t="shared" si="5"/>
        <v>1</v>
      </c>
    </row>
    <row r="10" spans="1:29" s="375" customFormat="1" ht="27">
      <c r="A10" s="586"/>
      <c r="B10" s="587" t="s">
        <v>1688</v>
      </c>
      <c r="C10" s="3426"/>
      <c r="D10" s="124">
        <v>100</v>
      </c>
      <c r="E10" s="3426"/>
      <c r="F10" s="124">
        <f>SUMIF(55:55,E10,56:56)-SUMIF(55:55,C10,56:56)+100</f>
        <v>100</v>
      </c>
      <c r="G10" s="3427"/>
      <c r="H10" s="124">
        <f>SUMIF(55:55,G10,56:56)-SUMIF(55:55,C10,56:56)+100</f>
        <v>100</v>
      </c>
      <c r="I10" s="3426"/>
      <c r="J10" s="124">
        <f>SUMIF(55:55,I10,56:56)-SUMIF(55:55,C10,56:56)+100</f>
        <v>100</v>
      </c>
      <c r="K10" s="557"/>
      <c r="L10" s="2711"/>
      <c r="M10" s="2712"/>
      <c r="N10" s="2712"/>
      <c r="O10" s="2712"/>
      <c r="P10" s="3745"/>
      <c r="Q10" s="1335" t="str">
        <f t="shared" si="6"/>
        <v>土地使用年限（年）</v>
      </c>
      <c r="R10" s="697" t="s">
        <v>14</v>
      </c>
      <c r="S10" s="698">
        <f t="shared" si="0"/>
        <v>100</v>
      </c>
      <c r="T10" s="697" t="s">
        <v>14</v>
      </c>
      <c r="U10" s="698">
        <f t="shared" si="1"/>
        <v>100</v>
      </c>
      <c r="V10" s="697" t="s">
        <v>14</v>
      </c>
      <c r="W10" s="698">
        <f t="shared" si="2"/>
        <v>100</v>
      </c>
      <c r="X10" s="699"/>
      <c r="Y10" s="3651"/>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3"/>
      <c r="M11" s="2708"/>
      <c r="N11" s="2708"/>
      <c r="O11" s="2708"/>
      <c r="P11" s="3745"/>
      <c r="Q11" s="1335">
        <f t="shared" si="6"/>
        <v>111</v>
      </c>
      <c r="R11" s="697" t="s">
        <v>14</v>
      </c>
      <c r="S11" s="698">
        <f t="shared" si="0"/>
        <v>100</v>
      </c>
      <c r="T11" s="697" t="s">
        <v>14</v>
      </c>
      <c r="U11" s="698">
        <f t="shared" si="1"/>
        <v>100</v>
      </c>
      <c r="V11" s="697" t="s">
        <v>14</v>
      </c>
      <c r="W11" s="698">
        <f t="shared" si="2"/>
        <v>100</v>
      </c>
      <c r="X11" s="699"/>
      <c r="Y11" s="3651"/>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09"/>
      <c r="M12" s="2710"/>
      <c r="N12" s="2710"/>
      <c r="O12" s="2710"/>
      <c r="P12" s="3745"/>
      <c r="Q12" s="1335">
        <f t="shared" si="6"/>
        <v>111</v>
      </c>
      <c r="R12" s="697" t="s">
        <v>14</v>
      </c>
      <c r="S12" s="698">
        <f t="shared" si="0"/>
        <v>100</v>
      </c>
      <c r="T12" s="697" t="s">
        <v>14</v>
      </c>
      <c r="U12" s="698">
        <f t="shared" si="1"/>
        <v>100</v>
      </c>
      <c r="V12" s="697" t="s">
        <v>14</v>
      </c>
      <c r="W12" s="698">
        <f t="shared" si="2"/>
        <v>100</v>
      </c>
      <c r="X12" s="699"/>
      <c r="Y12" s="3651"/>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4"/>
      <c r="M13" s="2708"/>
      <c r="N13" s="2708"/>
      <c r="O13" s="2708"/>
      <c r="P13" s="3745"/>
      <c r="Q13" s="1335">
        <f t="shared" si="6"/>
        <v>111</v>
      </c>
      <c r="R13" s="697" t="s">
        <v>14</v>
      </c>
      <c r="S13" s="698">
        <f t="shared" si="0"/>
        <v>100</v>
      </c>
      <c r="T13" s="697" t="s">
        <v>14</v>
      </c>
      <c r="U13" s="698">
        <f t="shared" si="1"/>
        <v>100</v>
      </c>
      <c r="V13" s="697" t="s">
        <v>14</v>
      </c>
      <c r="W13" s="698">
        <f t="shared" si="2"/>
        <v>100</v>
      </c>
      <c r="X13" s="699"/>
      <c r="Y13" s="3651"/>
      <c r="Z13" s="52">
        <f t="shared" si="7"/>
        <v>111</v>
      </c>
      <c r="AA13" s="700">
        <f t="shared" si="3"/>
        <v>1</v>
      </c>
      <c r="AB13" s="700">
        <f t="shared" si="4"/>
        <v>1</v>
      </c>
      <c r="AC13" s="700">
        <f t="shared" si="5"/>
        <v>1</v>
      </c>
    </row>
    <row r="14" spans="1:29" ht="85.5">
      <c r="A14" s="352" t="s">
        <v>1690</v>
      </c>
      <c r="B14" s="574" t="s">
        <v>1833</v>
      </c>
      <c r="C14" s="1963"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52" t="s">
        <v>1691</v>
      </c>
      <c r="Q14" s="1344" t="str">
        <f t="shared" si="6"/>
        <v>交通便捷度</v>
      </c>
      <c r="R14" s="701" t="s">
        <v>14</v>
      </c>
      <c r="S14" s="702">
        <f t="shared" si="0"/>
        <v>100</v>
      </c>
      <c r="T14" s="701" t="s">
        <v>14</v>
      </c>
      <c r="U14" s="702">
        <f t="shared" si="1"/>
        <v>100</v>
      </c>
      <c r="V14" s="701" t="s">
        <v>14</v>
      </c>
      <c r="W14" s="702">
        <f t="shared" si="2"/>
        <v>100</v>
      </c>
      <c r="X14" s="1347"/>
      <c r="Y14" s="3752" t="s">
        <v>1691</v>
      </c>
      <c r="Z14" s="1348" t="str">
        <f t="shared" si="7"/>
        <v>交通便捷度</v>
      </c>
      <c r="AA14" s="1345">
        <f t="shared" si="3"/>
        <v>1</v>
      </c>
      <c r="AB14" s="1345">
        <f t="shared" si="4"/>
        <v>1</v>
      </c>
      <c r="AC14" s="1345">
        <f t="shared" si="5"/>
        <v>1</v>
      </c>
    </row>
    <row r="15" spans="1:29" ht="15">
      <c r="A15" s="355"/>
      <c r="B15" s="592"/>
      <c r="C15" s="395"/>
      <c r="D15" s="396"/>
      <c r="E15" s="395"/>
      <c r="F15" s="397"/>
      <c r="G15" s="395"/>
      <c r="H15" s="398"/>
      <c r="I15" s="395"/>
      <c r="J15" s="396"/>
      <c r="K15" s="561"/>
      <c r="L15" s="2714"/>
      <c r="M15" s="2708"/>
      <c r="N15" s="2708"/>
      <c r="O15" s="2708"/>
      <c r="P15" s="3753"/>
      <c r="Q15" s="1344"/>
      <c r="R15" s="701"/>
      <c r="S15" s="702"/>
      <c r="T15" s="701"/>
      <c r="U15" s="702"/>
      <c r="V15" s="701"/>
      <c r="W15" s="702"/>
      <c r="X15" s="1347"/>
      <c r="Y15" s="3753"/>
      <c r="Z15" s="1348"/>
      <c r="AA15" s="1345">
        <v>1</v>
      </c>
      <c r="AB15" s="1345">
        <v>1</v>
      </c>
      <c r="AC15" s="1345">
        <v>1</v>
      </c>
    </row>
    <row r="16" spans="1:29" ht="42.75">
      <c r="A16" s="355"/>
      <c r="B16" s="576" t="s">
        <v>1812</v>
      </c>
      <c r="C16" s="1892"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53"/>
      <c r="Q16" s="1344" t="str">
        <f>B16</f>
        <v>公共配套设施</v>
      </c>
      <c r="R16" s="701" t="s">
        <v>14</v>
      </c>
      <c r="S16" s="702">
        <f>F16</f>
        <v>100</v>
      </c>
      <c r="T16" s="701" t="s">
        <v>14</v>
      </c>
      <c r="U16" s="702">
        <f>H16</f>
        <v>100</v>
      </c>
      <c r="V16" s="701" t="s">
        <v>14</v>
      </c>
      <c r="W16" s="702">
        <f>J16</f>
        <v>100</v>
      </c>
      <c r="X16" s="1347"/>
      <c r="Y16" s="3753"/>
      <c r="Z16" s="1348" t="str">
        <f>Q16</f>
        <v>公共配套设施</v>
      </c>
      <c r="AA16" s="1345">
        <f t="shared" si="3"/>
        <v>1</v>
      </c>
      <c r="AB16" s="1345">
        <f t="shared" si="4"/>
        <v>1</v>
      </c>
      <c r="AC16" s="1345">
        <f t="shared" si="5"/>
        <v>1</v>
      </c>
    </row>
    <row r="17" spans="1:29" ht="15">
      <c r="A17" s="355"/>
      <c r="B17" s="577"/>
      <c r="C17" s="1893"/>
      <c r="D17" s="396"/>
      <c r="E17" s="395"/>
      <c r="F17" s="397"/>
      <c r="G17" s="395"/>
      <c r="H17" s="396"/>
      <c r="I17" s="395"/>
      <c r="J17" s="396"/>
      <c r="K17" s="561"/>
      <c r="L17" s="2714"/>
      <c r="M17" s="2708"/>
      <c r="N17" s="2708"/>
      <c r="O17" s="2708"/>
      <c r="P17" s="3753"/>
      <c r="Q17" s="1344"/>
      <c r="R17" s="701"/>
      <c r="S17" s="702"/>
      <c r="T17" s="701"/>
      <c r="U17" s="702"/>
      <c r="V17" s="701"/>
      <c r="W17" s="702"/>
      <c r="X17" s="1347"/>
      <c r="Y17" s="3753"/>
      <c r="Z17" s="1348"/>
      <c r="AA17" s="1345">
        <v>1</v>
      </c>
      <c r="AB17" s="1345">
        <v>1</v>
      </c>
      <c r="AC17" s="1345">
        <v>1</v>
      </c>
    </row>
    <row r="18" spans="1:29" ht="28.5">
      <c r="A18" s="355"/>
      <c r="B18" s="578" t="s">
        <v>1813</v>
      </c>
      <c r="C18" s="1892"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53"/>
      <c r="Q18" s="1344" t="str">
        <f>B18</f>
        <v>基础设施水平</v>
      </c>
      <c r="R18" s="701" t="s">
        <v>14</v>
      </c>
      <c r="S18" s="702">
        <f>F18</f>
        <v>100</v>
      </c>
      <c r="T18" s="701" t="s">
        <v>14</v>
      </c>
      <c r="U18" s="702">
        <f>H18</f>
        <v>100</v>
      </c>
      <c r="V18" s="701" t="s">
        <v>14</v>
      </c>
      <c r="W18" s="702">
        <f>J18</f>
        <v>100</v>
      </c>
      <c r="X18" s="1347"/>
      <c r="Y18" s="3753"/>
      <c r="Z18" s="1348" t="str">
        <f>Q18</f>
        <v>基础设施水平</v>
      </c>
      <c r="AA18" s="1345">
        <f t="shared" ref="AA18" si="8">D18/F18</f>
        <v>1</v>
      </c>
      <c r="AB18" s="1345">
        <f t="shared" ref="AB18" si="9">D18/H18</f>
        <v>1</v>
      </c>
      <c r="AC18" s="1345">
        <f t="shared" ref="AC18" si="10">D18/J18</f>
        <v>1</v>
      </c>
    </row>
    <row r="19" spans="1:29" ht="15">
      <c r="A19" s="355"/>
      <c r="B19" s="578"/>
      <c r="C19" s="1893"/>
      <c r="D19" s="398"/>
      <c r="E19" s="1893"/>
      <c r="F19" s="401"/>
      <c r="G19" s="1893"/>
      <c r="H19" s="396"/>
      <c r="I19" s="395"/>
      <c r="J19" s="396"/>
      <c r="K19" s="1122"/>
      <c r="L19" s="2714"/>
      <c r="M19" s="2708"/>
      <c r="N19" s="2708"/>
      <c r="O19" s="2708"/>
      <c r="P19" s="3753"/>
      <c r="Q19" s="1344"/>
      <c r="R19" s="701"/>
      <c r="S19" s="702"/>
      <c r="T19" s="701"/>
      <c r="U19" s="702"/>
      <c r="V19" s="701"/>
      <c r="W19" s="702"/>
      <c r="X19" s="1347"/>
      <c r="Y19" s="3753"/>
      <c r="Z19" s="1348"/>
      <c r="AA19" s="1345">
        <v>1</v>
      </c>
      <c r="AB19" s="1345">
        <v>1</v>
      </c>
      <c r="AC19" s="1345">
        <v>1</v>
      </c>
    </row>
    <row r="20" spans="1:29" ht="57">
      <c r="A20" s="355"/>
      <c r="B20" s="576" t="s">
        <v>1834</v>
      </c>
      <c r="C20" s="1892"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53"/>
      <c r="Q20" s="1344" t="str">
        <f>B20</f>
        <v>自然及人文环境</v>
      </c>
      <c r="R20" s="701" t="s">
        <v>14</v>
      </c>
      <c r="S20" s="702">
        <f>F20</f>
        <v>100</v>
      </c>
      <c r="T20" s="701" t="s">
        <v>14</v>
      </c>
      <c r="U20" s="702">
        <f>H20</f>
        <v>100</v>
      </c>
      <c r="V20" s="701" t="s">
        <v>14</v>
      </c>
      <c r="W20" s="702">
        <f>J20</f>
        <v>100</v>
      </c>
      <c r="X20" s="1347"/>
      <c r="Y20" s="3753"/>
      <c r="Z20" s="1348" t="str">
        <f>Q20</f>
        <v>自然及人文环境</v>
      </c>
      <c r="AA20" s="1345">
        <f t="shared" si="3"/>
        <v>1</v>
      </c>
      <c r="AB20" s="1345">
        <f t="shared" si="4"/>
        <v>1</v>
      </c>
      <c r="AC20" s="1345">
        <f t="shared" si="5"/>
        <v>1</v>
      </c>
    </row>
    <row r="21" spans="1:29" ht="15">
      <c r="A21" s="355"/>
      <c r="B21" s="577"/>
      <c r="C21" s="395"/>
      <c r="D21" s="396"/>
      <c r="E21" s="395"/>
      <c r="F21" s="397"/>
      <c r="G21" s="395"/>
      <c r="H21" s="396"/>
      <c r="I21" s="395"/>
      <c r="J21" s="396"/>
      <c r="K21" s="561"/>
      <c r="L21" s="2714"/>
      <c r="M21" s="2708"/>
      <c r="N21" s="2708"/>
      <c r="O21" s="2708"/>
      <c r="P21" s="3753"/>
      <c r="Q21" s="1344"/>
      <c r="R21" s="701"/>
      <c r="S21" s="702"/>
      <c r="T21" s="701"/>
      <c r="U21" s="702"/>
      <c r="V21" s="701"/>
      <c r="W21" s="702"/>
      <c r="X21" s="1347"/>
      <c r="Y21" s="3753"/>
      <c r="Z21" s="1348"/>
      <c r="AA21" s="1345">
        <v>1</v>
      </c>
      <c r="AB21" s="1345">
        <v>1</v>
      </c>
      <c r="AC21" s="1345">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53"/>
      <c r="Q22" s="1344" t="str">
        <f>B22</f>
        <v>楼层</v>
      </c>
      <c r="R22" s="701" t="s">
        <v>14</v>
      </c>
      <c r="S22" s="702">
        <f>F22</f>
        <v>100</v>
      </c>
      <c r="T22" s="701" t="s">
        <v>14</v>
      </c>
      <c r="U22" s="702">
        <f>H22</f>
        <v>100</v>
      </c>
      <c r="V22" s="701" t="s">
        <v>14</v>
      </c>
      <c r="W22" s="702">
        <f>J22</f>
        <v>100</v>
      </c>
      <c r="X22" s="1347"/>
      <c r="Y22" s="3753"/>
      <c r="Z22" s="1348" t="str">
        <f>Q22</f>
        <v>楼层</v>
      </c>
      <c r="AA22" s="1345">
        <f t="shared" si="3"/>
        <v>1</v>
      </c>
      <c r="AB22" s="1345">
        <f t="shared" si="4"/>
        <v>1</v>
      </c>
      <c r="AC22" s="1345">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53"/>
      <c r="Q23" s="1344">
        <f>B23</f>
        <v>111</v>
      </c>
      <c r="R23" s="701" t="s">
        <v>14</v>
      </c>
      <c r="S23" s="702">
        <f>F23</f>
        <v>100</v>
      </c>
      <c r="T23" s="701" t="s">
        <v>14</v>
      </c>
      <c r="U23" s="702">
        <f>H23</f>
        <v>100</v>
      </c>
      <c r="V23" s="701" t="s">
        <v>14</v>
      </c>
      <c r="W23" s="702">
        <f>J23</f>
        <v>100</v>
      </c>
      <c r="X23" s="1347"/>
      <c r="Y23" s="3753"/>
      <c r="Z23" s="1348">
        <f>Q23</f>
        <v>111</v>
      </c>
      <c r="AA23" s="1345">
        <f t="shared" si="3"/>
        <v>1</v>
      </c>
      <c r="AB23" s="1345">
        <f t="shared" si="4"/>
        <v>1</v>
      </c>
      <c r="AC23" s="1345">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53"/>
      <c r="Q24" s="1344">
        <f t="shared" ref="Q24:Q36" si="11">B24</f>
        <v>111</v>
      </c>
      <c r="R24" s="701" t="s">
        <v>14</v>
      </c>
      <c r="S24" s="702">
        <f>F24</f>
        <v>100</v>
      </c>
      <c r="T24" s="701" t="s">
        <v>14</v>
      </c>
      <c r="U24" s="702">
        <f>H24</f>
        <v>100</v>
      </c>
      <c r="V24" s="701" t="s">
        <v>14</v>
      </c>
      <c r="W24" s="702">
        <f>J24</f>
        <v>100</v>
      </c>
      <c r="X24" s="1347"/>
      <c r="Y24" s="3753"/>
      <c r="Z24" s="1348">
        <f>Q24</f>
        <v>111</v>
      </c>
      <c r="AA24" s="1345">
        <f t="shared" si="3"/>
        <v>1</v>
      </c>
      <c r="AB24" s="1345">
        <f t="shared" si="4"/>
        <v>1</v>
      </c>
      <c r="AC24" s="1345">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53"/>
      <c r="Q25" s="1335">
        <f t="shared" si="11"/>
        <v>111</v>
      </c>
      <c r="R25" s="697" t="s">
        <v>14</v>
      </c>
      <c r="S25" s="698">
        <f>F25</f>
        <v>100</v>
      </c>
      <c r="T25" s="697" t="s">
        <v>14</v>
      </c>
      <c r="U25" s="698">
        <f>H25</f>
        <v>100</v>
      </c>
      <c r="V25" s="697" t="s">
        <v>14</v>
      </c>
      <c r="W25" s="698">
        <f>J25</f>
        <v>100</v>
      </c>
      <c r="X25" s="699"/>
      <c r="Y25" s="3753"/>
      <c r="Z25" s="52">
        <f>Q25</f>
        <v>111</v>
      </c>
      <c r="AA25" s="1345">
        <f>D25/F25</f>
        <v>1</v>
      </c>
      <c r="AB25" s="1345">
        <f>D25/H25</f>
        <v>1</v>
      </c>
      <c r="AC25" s="1345">
        <f>D25/J25</f>
        <v>1</v>
      </c>
    </row>
    <row r="26" spans="1:29" ht="28.5">
      <c r="A26" s="597" t="s">
        <v>1694</v>
      </c>
      <c r="B26" s="62" t="s">
        <v>1836</v>
      </c>
      <c r="C26" s="1964"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834" t="s">
        <v>1696</v>
      </c>
      <c r="Q26" s="1344" t="str">
        <f t="shared" si="11"/>
        <v>配套类型</v>
      </c>
      <c r="R26" s="701" t="s">
        <v>14</v>
      </c>
      <c r="S26" s="702">
        <f t="shared" ref="S26:S36" si="12">F26</f>
        <v>0</v>
      </c>
      <c r="T26" s="701" t="s">
        <v>14</v>
      </c>
      <c r="U26" s="702">
        <f t="shared" ref="U26:U36" si="13">H26</f>
        <v>0</v>
      </c>
      <c r="V26" s="701" t="s">
        <v>14</v>
      </c>
      <c r="W26" s="702">
        <f t="shared" ref="W26:W36" si="14">J26</f>
        <v>0</v>
      </c>
      <c r="X26" s="1347"/>
      <c r="Y26" s="3757" t="s">
        <v>1696</v>
      </c>
      <c r="Z26" s="1348" t="str">
        <f t="shared" ref="Z26:Z36" si="15">Q26</f>
        <v>配套类型</v>
      </c>
      <c r="AA26" s="1345" t="e">
        <f t="shared" si="3"/>
        <v>#DIV/0!</v>
      </c>
      <c r="AB26" s="1345" t="e">
        <f t="shared" si="4"/>
        <v>#DIV/0!</v>
      </c>
      <c r="AC26" s="1345"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57"/>
      <c r="Q27" s="703" t="str">
        <f t="shared" si="11"/>
        <v>项目停车位配比</v>
      </c>
      <c r="R27" s="704" t="s">
        <v>14</v>
      </c>
      <c r="S27" s="705">
        <f t="shared" si="12"/>
        <v>100</v>
      </c>
      <c r="T27" s="704" t="s">
        <v>14</v>
      </c>
      <c r="U27" s="705">
        <f t="shared" si="13"/>
        <v>100</v>
      </c>
      <c r="V27" s="704" t="s">
        <v>14</v>
      </c>
      <c r="W27" s="705">
        <f t="shared" si="14"/>
        <v>100</v>
      </c>
      <c r="X27" s="706"/>
      <c r="Y27" s="3757"/>
      <c r="Z27" s="707" t="str">
        <f t="shared" si="15"/>
        <v>项目停车位配比</v>
      </c>
      <c r="AA27" s="1345">
        <f t="shared" si="3"/>
        <v>1</v>
      </c>
      <c r="AB27" s="1345">
        <f t="shared" si="4"/>
        <v>1</v>
      </c>
      <c r="AC27" s="1345">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57"/>
      <c r="Q28" s="1344" t="str">
        <f t="shared" si="11"/>
        <v>公共部分装修</v>
      </c>
      <c r="R28" s="701" t="s">
        <v>14</v>
      </c>
      <c r="S28" s="702">
        <f t="shared" si="12"/>
        <v>100</v>
      </c>
      <c r="T28" s="701" t="s">
        <v>14</v>
      </c>
      <c r="U28" s="702">
        <f t="shared" si="13"/>
        <v>100</v>
      </c>
      <c r="V28" s="701" t="s">
        <v>14</v>
      </c>
      <c r="W28" s="702">
        <f t="shared" si="14"/>
        <v>100</v>
      </c>
      <c r="X28" s="1347"/>
      <c r="Y28" s="3757"/>
      <c r="Z28" s="1348" t="str">
        <f t="shared" si="15"/>
        <v>公共部分装修</v>
      </c>
      <c r="AA28" s="1345">
        <f t="shared" si="3"/>
        <v>1</v>
      </c>
      <c r="AB28" s="1345">
        <f t="shared" si="4"/>
        <v>1</v>
      </c>
      <c r="AC28" s="1345">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57"/>
      <c r="Q29" s="1344" t="str">
        <f t="shared" si="11"/>
        <v>成新率</v>
      </c>
      <c r="R29" s="701" t="s">
        <v>14</v>
      </c>
      <c r="S29" s="702" t="e">
        <f t="shared" si="12"/>
        <v>#N/A</v>
      </c>
      <c r="T29" s="701" t="s">
        <v>14</v>
      </c>
      <c r="U29" s="702" t="e">
        <f t="shared" si="13"/>
        <v>#N/A</v>
      </c>
      <c r="V29" s="701" t="s">
        <v>14</v>
      </c>
      <c r="W29" s="702" t="e">
        <f t="shared" si="14"/>
        <v>#N/A</v>
      </c>
      <c r="X29" s="1347"/>
      <c r="Y29" s="3757"/>
      <c r="Z29" s="1348" t="str">
        <f t="shared" si="15"/>
        <v>成新率</v>
      </c>
      <c r="AA29" s="1345" t="e">
        <f t="shared" si="3"/>
        <v>#N/A</v>
      </c>
      <c r="AB29" s="1345" t="e">
        <f t="shared" si="4"/>
        <v>#N/A</v>
      </c>
      <c r="AC29" s="1345"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57"/>
      <c r="Q30" s="1344" t="str">
        <f t="shared" si="11"/>
        <v>物业等级</v>
      </c>
      <c r="R30" s="701" t="s">
        <v>14</v>
      </c>
      <c r="S30" s="702">
        <f t="shared" si="12"/>
        <v>100</v>
      </c>
      <c r="T30" s="701" t="s">
        <v>14</v>
      </c>
      <c r="U30" s="702">
        <f t="shared" si="13"/>
        <v>100</v>
      </c>
      <c r="V30" s="701" t="s">
        <v>14</v>
      </c>
      <c r="W30" s="702">
        <f t="shared" si="14"/>
        <v>100</v>
      </c>
      <c r="X30" s="1347"/>
      <c r="Y30" s="3757"/>
      <c r="Z30" s="1348" t="str">
        <f t="shared" si="15"/>
        <v>物业等级</v>
      </c>
      <c r="AA30" s="1345">
        <f t="shared" si="3"/>
        <v>1</v>
      </c>
      <c r="AB30" s="1345">
        <f t="shared" si="4"/>
        <v>1</v>
      </c>
      <c r="AC30" s="1345">
        <f t="shared" si="5"/>
        <v>1</v>
      </c>
    </row>
    <row r="31" spans="1:29" s="108"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57"/>
      <c r="Q31" s="1335" t="str">
        <f t="shared" si="11"/>
        <v>停车位面积</v>
      </c>
      <c r="R31" s="697" t="s">
        <v>14</v>
      </c>
      <c r="S31" s="698" t="e">
        <f t="shared" si="12"/>
        <v>#N/A</v>
      </c>
      <c r="T31" s="697" t="s">
        <v>14</v>
      </c>
      <c r="U31" s="698" t="e">
        <f t="shared" si="13"/>
        <v>#N/A</v>
      </c>
      <c r="V31" s="697" t="s">
        <v>14</v>
      </c>
      <c r="W31" s="698" t="e">
        <f t="shared" si="14"/>
        <v>#N/A</v>
      </c>
      <c r="X31" s="699"/>
      <c r="Y31" s="3757"/>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57" t="s">
        <v>1696</v>
      </c>
      <c r="Q32" s="1344" t="str">
        <f t="shared" si="11"/>
        <v>车位类型</v>
      </c>
      <c r="R32" s="701" t="s">
        <v>14</v>
      </c>
      <c r="S32" s="702">
        <f t="shared" si="12"/>
        <v>100</v>
      </c>
      <c r="T32" s="701" t="s">
        <v>14</v>
      </c>
      <c r="U32" s="702">
        <f t="shared" si="13"/>
        <v>100</v>
      </c>
      <c r="V32" s="701" t="s">
        <v>14</v>
      </c>
      <c r="W32" s="702">
        <f t="shared" si="14"/>
        <v>100</v>
      </c>
      <c r="X32" s="1347"/>
      <c r="Y32" s="3757" t="s">
        <v>1696</v>
      </c>
      <c r="Z32" s="1348" t="str">
        <f t="shared" si="15"/>
        <v>车位类型</v>
      </c>
      <c r="AA32" s="1345">
        <f t="shared" si="3"/>
        <v>1</v>
      </c>
      <c r="AB32" s="1345">
        <f t="shared" si="4"/>
        <v>1</v>
      </c>
      <c r="AC32" s="1345">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57"/>
      <c r="Q33" s="1344" t="str">
        <f t="shared" si="11"/>
        <v>是否直接入户</v>
      </c>
      <c r="R33" s="701" t="s">
        <v>14</v>
      </c>
      <c r="S33" s="702">
        <f t="shared" si="12"/>
        <v>100</v>
      </c>
      <c r="T33" s="701" t="s">
        <v>14</v>
      </c>
      <c r="U33" s="702">
        <f t="shared" si="13"/>
        <v>100</v>
      </c>
      <c r="V33" s="701" t="s">
        <v>14</v>
      </c>
      <c r="W33" s="702">
        <f t="shared" si="14"/>
        <v>100</v>
      </c>
      <c r="X33" s="1347"/>
      <c r="Y33" s="3757"/>
      <c r="Z33" s="1348" t="str">
        <f t="shared" si="15"/>
        <v>是否直接入户</v>
      </c>
      <c r="AA33" s="1345">
        <f t="shared" si="3"/>
        <v>1</v>
      </c>
      <c r="AB33" s="1345">
        <f t="shared" si="4"/>
        <v>1</v>
      </c>
      <c r="AC33" s="1345">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57"/>
      <c r="Q34" s="1344">
        <f t="shared" si="11"/>
        <v>111</v>
      </c>
      <c r="R34" s="701" t="s">
        <v>14</v>
      </c>
      <c r="S34" s="702">
        <f t="shared" si="12"/>
        <v>100</v>
      </c>
      <c r="T34" s="701" t="s">
        <v>14</v>
      </c>
      <c r="U34" s="702">
        <f t="shared" si="13"/>
        <v>100</v>
      </c>
      <c r="V34" s="701" t="s">
        <v>14</v>
      </c>
      <c r="W34" s="702">
        <f t="shared" si="14"/>
        <v>100</v>
      </c>
      <c r="X34" s="1347"/>
      <c r="Y34" s="3757"/>
      <c r="Z34" s="1348">
        <f t="shared" si="15"/>
        <v>111</v>
      </c>
      <c r="AA34" s="1345">
        <f t="shared" si="3"/>
        <v>1</v>
      </c>
      <c r="AB34" s="1345">
        <f t="shared" si="4"/>
        <v>1</v>
      </c>
      <c r="AC34" s="1345">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57"/>
      <c r="Q35" s="703">
        <f t="shared" si="11"/>
        <v>111</v>
      </c>
      <c r="R35" s="704" t="s">
        <v>14</v>
      </c>
      <c r="S35" s="705">
        <f t="shared" si="12"/>
        <v>100</v>
      </c>
      <c r="T35" s="704" t="s">
        <v>14</v>
      </c>
      <c r="U35" s="705">
        <f t="shared" si="13"/>
        <v>100</v>
      </c>
      <c r="V35" s="704" t="s">
        <v>14</v>
      </c>
      <c r="W35" s="705">
        <f t="shared" si="14"/>
        <v>100</v>
      </c>
      <c r="X35" s="706"/>
      <c r="Y35" s="3757"/>
      <c r="Z35" s="707">
        <f t="shared" si="15"/>
        <v>111</v>
      </c>
      <c r="AA35" s="1345">
        <f t="shared" si="3"/>
        <v>1</v>
      </c>
      <c r="AB35" s="1345">
        <f t="shared" si="4"/>
        <v>1</v>
      </c>
      <c r="AC35" s="1345">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57"/>
      <c r="Q36" s="1344">
        <f t="shared" si="11"/>
        <v>111</v>
      </c>
      <c r="R36" s="701" t="s">
        <v>14</v>
      </c>
      <c r="S36" s="702">
        <f t="shared" si="12"/>
        <v>100</v>
      </c>
      <c r="T36" s="701" t="s">
        <v>14</v>
      </c>
      <c r="U36" s="702">
        <f t="shared" si="13"/>
        <v>100</v>
      </c>
      <c r="V36" s="701" t="s">
        <v>14</v>
      </c>
      <c r="W36" s="702">
        <f t="shared" si="14"/>
        <v>100</v>
      </c>
      <c r="X36" s="1347"/>
      <c r="Y36" s="3757"/>
      <c r="Z36" s="1348">
        <f t="shared" si="15"/>
        <v>111</v>
      </c>
      <c r="AA36" s="1345">
        <f t="shared" si="3"/>
        <v>1</v>
      </c>
      <c r="AB36" s="1345">
        <f t="shared" si="4"/>
        <v>1</v>
      </c>
      <c r="AC36" s="1345">
        <f t="shared" si="5"/>
        <v>1</v>
      </c>
    </row>
    <row r="37" spans="1:29" ht="15">
      <c r="A37" s="427" t="s">
        <v>1844</v>
      </c>
      <c r="B37" s="1965" t="s">
        <v>3358</v>
      </c>
      <c r="C37" s="1146" t="s">
        <v>0</v>
      </c>
      <c r="D37" s="1147"/>
      <c r="E37" s="1148"/>
      <c r="F37" s="1149"/>
      <c r="G37" s="1150"/>
      <c r="H37" s="1151"/>
      <c r="I37" s="1148"/>
      <c r="J37" s="1151"/>
      <c r="K37" s="565"/>
      <c r="L37" s="2716"/>
      <c r="M37" s="2717"/>
      <c r="N37" s="2708"/>
      <c r="O37" s="2717"/>
      <c r="P37" s="3745" t="str">
        <f>A37</f>
        <v>成交单价</v>
      </c>
      <c r="Q37" s="3745"/>
      <c r="R37" s="3746">
        <f>E37</f>
        <v>0</v>
      </c>
      <c r="S37" s="3746"/>
      <c r="T37" s="3746">
        <f>G37</f>
        <v>0</v>
      </c>
      <c r="U37" s="3746"/>
      <c r="V37" s="3746">
        <f>I37</f>
        <v>0</v>
      </c>
      <c r="W37" s="3746"/>
      <c r="X37" s="686"/>
      <c r="Y37" s="708"/>
      <c r="Z37" s="686"/>
      <c r="AA37" s="686"/>
      <c r="AB37" s="686"/>
      <c r="AC37" s="686"/>
    </row>
    <row r="38" spans="1:29" ht="15.75" thickBot="1">
      <c r="A38" s="434" t="s">
        <v>1845</v>
      </c>
      <c r="B38" s="435" t="str">
        <f>B37</f>
        <v>元/平方米</v>
      </c>
      <c r="C38" s="1152" t="e">
        <f>R39</f>
        <v>#DIV/0!</v>
      </c>
      <c r="D38" s="2309" t="s">
        <v>2138</v>
      </c>
      <c r="E38" s="1153" t="e">
        <f>R38</f>
        <v>#DIV/0!</v>
      </c>
      <c r="F38" s="2310"/>
      <c r="G38" s="1152" t="e">
        <f>T38</f>
        <v>#DIV/0!</v>
      </c>
      <c r="H38" s="2310"/>
      <c r="I38" s="1153" t="e">
        <f>V38</f>
        <v>#DIV/0!</v>
      </c>
      <c r="J38" s="2310"/>
      <c r="K38" s="2312">
        <f>F38+H38+J38</f>
        <v>0</v>
      </c>
      <c r="L38" s="2716"/>
      <c r="M38" s="2717"/>
      <c r="N38" s="2717"/>
      <c r="O38" s="2717"/>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86"/>
      <c r="Y38" s="686"/>
      <c r="Z38" s="686"/>
      <c r="AA38" s="686"/>
      <c r="AB38" s="686"/>
      <c r="AC38" s="686"/>
    </row>
    <row r="39" spans="1:29" ht="15.75" thickBot="1">
      <c r="A39" s="438" t="s">
        <v>1846</v>
      </c>
      <c r="B39" s="439"/>
      <c r="C39" s="1155" t="e">
        <f>R39</f>
        <v>#DIV/0!</v>
      </c>
      <c r="D39" s="1155"/>
      <c r="E39" s="1155"/>
      <c r="F39" s="1155"/>
      <c r="G39" s="1155"/>
      <c r="H39" s="1155"/>
      <c r="I39" s="1155"/>
      <c r="J39" s="1155"/>
      <c r="K39" s="566"/>
      <c r="L39" s="2716"/>
      <c r="M39" s="2717"/>
      <c r="N39" s="2717"/>
      <c r="O39" s="2717"/>
      <c r="P39" s="3824" t="str">
        <f>A39</f>
        <v>估价对象XX用房的比较价值（楼面单价，元/平方米）</v>
      </c>
      <c r="Q39" s="3825"/>
      <c r="R39" s="3835" t="e">
        <f>IF(F1="售价",ROUND(IF(D38="简单平均",AVERAGE(R38:W38),R38*F38+T38*H38+V38*J38),0),ROUND(IF(D38="简单平均",AVERAGE(R38:V38),R38*F38+T38*H38+V38*J38),1))</f>
        <v>#DIV/0!</v>
      </c>
      <c r="S39" s="3835"/>
      <c r="T39" s="3835"/>
      <c r="U39" s="3835"/>
      <c r="V39" s="3835"/>
      <c r="W39" s="3835"/>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58" t="s">
        <v>1850</v>
      </c>
      <c r="B47" s="919"/>
      <c r="C47" s="932"/>
      <c r="D47" s="932"/>
      <c r="E47" s="932"/>
      <c r="F47" s="1159"/>
      <c r="G47" s="1159"/>
      <c r="H47" s="932"/>
      <c r="I47" s="932"/>
      <c r="J47" s="932"/>
      <c r="K47" s="933"/>
      <c r="L47" s="934"/>
      <c r="M47" s="932"/>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76" t="str">
        <f>YEAR(C7)&amp;"-"&amp;MONTH(C7)</f>
        <v>2024-4</v>
      </c>
      <c r="D48" s="1177">
        <f>EDATE(C48,-1)</f>
        <v>45352</v>
      </c>
      <c r="E48" s="1177">
        <f t="shared" ref="E48:O48" si="16">EDATE(D48,-1)</f>
        <v>45323</v>
      </c>
      <c r="F48" s="1177">
        <f t="shared" si="16"/>
        <v>45292</v>
      </c>
      <c r="G48" s="1177">
        <f t="shared" si="16"/>
        <v>45261</v>
      </c>
      <c r="H48" s="1177">
        <f t="shared" si="16"/>
        <v>45231</v>
      </c>
      <c r="I48" s="1177">
        <f t="shared" si="16"/>
        <v>45200</v>
      </c>
      <c r="J48" s="1177">
        <f t="shared" si="16"/>
        <v>45170</v>
      </c>
      <c r="K48" s="1177">
        <f t="shared" si="16"/>
        <v>45139</v>
      </c>
      <c r="L48" s="1177">
        <f t="shared" si="16"/>
        <v>45108</v>
      </c>
      <c r="M48" s="1177">
        <f t="shared" si="16"/>
        <v>45078</v>
      </c>
      <c r="N48" s="1177">
        <f t="shared" si="16"/>
        <v>45047</v>
      </c>
      <c r="O48" s="1177">
        <f t="shared" si="16"/>
        <v>45017</v>
      </c>
      <c r="P48" s="2751"/>
      <c r="Q48" s="2733"/>
      <c r="R48" s="2733"/>
      <c r="S48" s="2733"/>
      <c r="T48" s="2733"/>
      <c r="U48" s="2733"/>
      <c r="V48" s="2733"/>
      <c r="W48" s="2733"/>
      <c r="X48" s="2733"/>
      <c r="Y48" s="2733"/>
      <c r="Z48" s="2733"/>
      <c r="AA48" s="2733"/>
      <c r="AB48" s="2733"/>
      <c r="AC48" s="2733"/>
    </row>
    <row r="49" spans="1:29" s="108" customFormat="1" ht="15">
      <c r="A49" s="455"/>
      <c r="B49" s="456"/>
      <c r="C49" s="1169">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1"/>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3" priority="18" stopIfTrue="1" operator="containsText" text="超过">
      <formula>NOT(ISERROR(SEARCH("超过",F42)))</formula>
    </cfRule>
  </conditionalFormatting>
  <conditionalFormatting sqref="J44">
    <cfRule type="containsText" dxfId="92" priority="17" stopIfTrue="1" operator="containsText" text="超过">
      <formula>NOT(ISERROR(SEARCH("超过",J44)))</formula>
    </cfRule>
  </conditionalFormatting>
  <conditionalFormatting sqref="H44">
    <cfRule type="containsText" dxfId="91" priority="16" stopIfTrue="1" operator="containsText" text="超过">
      <formula>NOT(ISERROR(SEARCH("超过",H44)))</formula>
    </cfRule>
  </conditionalFormatting>
  <conditionalFormatting sqref="F44">
    <cfRule type="containsText" dxfId="90" priority="15" stopIfTrue="1" operator="containsText" text="超过">
      <formula>NOT(ISERROR(SEARCH("超过",F44)))</formula>
    </cfRule>
  </conditionalFormatting>
  <conditionalFormatting sqref="F43 H43 J43">
    <cfRule type="containsText" dxfId="89" priority="14" stopIfTrue="1" operator="containsText" text="超过">
      <formula>NOT(ISERROR(SEARCH("超过",F43)))</formula>
    </cfRule>
  </conditionalFormatting>
  <conditionalFormatting sqref="E42">
    <cfRule type="expression" dxfId="88" priority="13" stopIfTrue="1">
      <formula>$F$42="超过30%"</formula>
    </cfRule>
  </conditionalFormatting>
  <conditionalFormatting sqref="G44">
    <cfRule type="expression" dxfId="87" priority="12" stopIfTrue="1">
      <formula>$H$54+$H$44="超过30%"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F7:F36 H7:H36 J7:J36">
    <cfRule type="cellIs" dxfId="7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1831</v>
      </c>
      <c r="B1" s="1215" t="s">
        <v>3338</v>
      </c>
      <c r="C1" s="1216" t="s">
        <v>1662</v>
      </c>
      <c r="D1" s="1217"/>
      <c r="E1" s="3425"/>
      <c r="F1" s="1871"/>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49" customFormat="1" ht="28.5" customHeight="1" thickTop="1">
      <c r="A2" s="1213" t="s">
        <v>1462</v>
      </c>
      <c r="B2" s="1156" t="b">
        <f>IF(E1="项目模式",IF(C2="——",ROUND(C37*D3/10000,0),ROUND(C37*D3/10000,0)-D2),IF(E1="单套模式",IF(C2="——",ROUND(C37*D3/10000,4),ROUND(C37*D3/10000,4)-D2)))</f>
        <v>0</v>
      </c>
      <c r="C2" s="1873"/>
      <c r="D2" s="899" t="e">
        <f ca="1">IF(E1="项目模式",SUMIF(INDIRECT("'"&amp;F2&amp;"'"&amp;"!A:A"),"承租人权益价值",INDIRECT("'"&amp;F2&amp;"'"&amp;"!c:c")),SUMIF(INDIRECT("'"&amp;F2&amp;"'"&amp;"!A:A"),"承租人权益价值（单套）",INDIRECT("'"&amp;F2&amp;"'"&amp;"!c:c")))</f>
        <v>#REF!</v>
      </c>
      <c r="E2" s="1874" t="s">
        <v>1463</v>
      </c>
      <c r="F2" s="1875"/>
      <c r="G2" s="900"/>
      <c r="H2" s="900"/>
      <c r="I2" s="900"/>
      <c r="J2" s="900"/>
      <c r="K2" s="902"/>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0"/>
      <c r="F3" s="901"/>
      <c r="G3" s="900"/>
      <c r="H3" s="900"/>
      <c r="I3" s="900"/>
      <c r="J3" s="900"/>
      <c r="K3" s="902"/>
      <c r="L3" s="2726"/>
      <c r="M3" s="2727"/>
      <c r="N3" s="2727"/>
      <c r="O3" s="2727"/>
      <c r="P3" s="695"/>
      <c r="Q3" s="695"/>
      <c r="R3" s="695"/>
      <c r="S3" s="695"/>
      <c r="T3" s="695"/>
      <c r="U3" s="695"/>
      <c r="V3" s="695"/>
      <c r="W3" s="695"/>
      <c r="X3" s="695"/>
      <c r="Y3" s="695"/>
      <c r="Z3" s="695"/>
      <c r="AA3" s="695"/>
      <c r="AB3" s="712"/>
      <c r="AC3" s="709"/>
    </row>
    <row r="4" spans="1:29" ht="15">
      <c r="A4" s="352" t="s">
        <v>1769</v>
      </c>
      <c r="B4" s="353"/>
      <c r="C4" s="3762" t="s">
        <v>1770</v>
      </c>
      <c r="D4" s="3763"/>
      <c r="E4" s="3764" t="s">
        <v>1771</v>
      </c>
      <c r="F4" s="3765"/>
      <c r="G4" s="3762" t="s">
        <v>1772</v>
      </c>
      <c r="H4" s="3763"/>
      <c r="I4" s="3762" t="s">
        <v>1773</v>
      </c>
      <c r="J4" s="3763"/>
      <c r="K4" s="556" t="s">
        <v>1774</v>
      </c>
      <c r="L4" s="2707"/>
      <c r="M4" s="2708"/>
      <c r="N4" s="2708"/>
      <c r="O4" s="2708"/>
      <c r="P4" s="3828" t="s">
        <v>1775</v>
      </c>
      <c r="Q4" s="3829"/>
      <c r="R4" s="3832" t="s">
        <v>1771</v>
      </c>
      <c r="S4" s="3833"/>
      <c r="T4" s="3832" t="s">
        <v>1772</v>
      </c>
      <c r="U4" s="3833"/>
      <c r="V4" s="3779" t="s">
        <v>1773</v>
      </c>
      <c r="W4" s="3779"/>
      <c r="X4" s="1347"/>
      <c r="Y4" s="3832" t="s">
        <v>1775</v>
      </c>
      <c r="Z4" s="3833"/>
      <c r="AA4" s="3827" t="s">
        <v>1771</v>
      </c>
      <c r="AB4" s="3791" t="s">
        <v>1772</v>
      </c>
      <c r="AC4" s="3827" t="s">
        <v>1773</v>
      </c>
    </row>
    <row r="5" spans="1:29" ht="15">
      <c r="A5" s="355"/>
      <c r="B5" s="356"/>
      <c r="C5" s="3782" t="s">
        <v>1673</v>
      </c>
      <c r="D5" s="3783"/>
      <c r="E5" s="3793" t="s">
        <v>1674</v>
      </c>
      <c r="F5" s="3794"/>
      <c r="G5" s="3782" t="s">
        <v>1675</v>
      </c>
      <c r="H5" s="3783"/>
      <c r="I5" s="3782" t="s">
        <v>1676</v>
      </c>
      <c r="J5" s="3783"/>
      <c r="K5" s="556"/>
      <c r="L5" s="2707"/>
      <c r="M5" s="2708"/>
      <c r="N5" s="2708"/>
      <c r="O5" s="2708"/>
      <c r="P5" s="3830"/>
      <c r="Q5" s="3769"/>
      <c r="R5" s="3774"/>
      <c r="S5" s="3775"/>
      <c r="T5" s="3774"/>
      <c r="U5" s="3775"/>
      <c r="V5" s="3779"/>
      <c r="W5" s="3779"/>
      <c r="X5" s="1347"/>
      <c r="Y5" s="3774"/>
      <c r="Z5" s="3775"/>
      <c r="AA5" s="3791"/>
      <c r="AB5" s="3791"/>
      <c r="AC5" s="3791"/>
    </row>
    <row r="6" spans="1:29" ht="15.75" thickBot="1">
      <c r="A6" s="357"/>
      <c r="B6" s="358"/>
      <c r="C6" s="3780" t="s">
        <v>1677</v>
      </c>
      <c r="D6" s="3781"/>
      <c r="E6" s="3788" t="s">
        <v>1677</v>
      </c>
      <c r="F6" s="3789"/>
      <c r="G6" s="3780" t="s">
        <v>1677</v>
      </c>
      <c r="H6" s="3781"/>
      <c r="I6" s="3780" t="s">
        <v>1677</v>
      </c>
      <c r="J6" s="3781"/>
      <c r="K6" s="556" t="s">
        <v>1678</v>
      </c>
      <c r="L6" s="2707"/>
      <c r="M6" s="2708"/>
      <c r="N6" s="2708"/>
      <c r="O6" s="2708"/>
      <c r="P6" s="3831"/>
      <c r="Q6" s="3771"/>
      <c r="R6" s="3774"/>
      <c r="S6" s="3775"/>
      <c r="T6" s="3776"/>
      <c r="U6" s="3777"/>
      <c r="V6" s="3779"/>
      <c r="W6" s="3779"/>
      <c r="X6" s="1347"/>
      <c r="Y6" s="3776"/>
      <c r="Z6" s="3777"/>
      <c r="AA6" s="3792"/>
      <c r="AB6" s="3792"/>
      <c r="AC6" s="3792"/>
    </row>
    <row r="7" spans="1:29" s="108" customFormat="1" ht="15.75" thickBot="1">
      <c r="A7" s="359" t="s">
        <v>1679</v>
      </c>
      <c r="B7" s="360"/>
      <c r="C7" s="361">
        <f>'数据-取费表'!B2</f>
        <v>45401</v>
      </c>
      <c r="D7" s="362">
        <v>100</v>
      </c>
      <c r="E7" s="363"/>
      <c r="F7" s="364">
        <f>SUMIF(46:46,YEAR(E7)&amp;"-"&amp;MONTH(E7),47:47)</f>
        <v>0</v>
      </c>
      <c r="G7" s="1966"/>
      <c r="H7" s="362">
        <f>SUMIF(46:46,YEAR(G7)&amp;"-"&amp;MONTH(G7),47:47)</f>
        <v>0</v>
      </c>
      <c r="I7" s="363"/>
      <c r="J7" s="362">
        <f>SUMIF(46:46,YEAR(I7)&amp;"-"&amp;MONTH(I7),47:47)</f>
        <v>0</v>
      </c>
      <c r="K7" s="557"/>
      <c r="L7" s="2709"/>
      <c r="M7" s="2710"/>
      <c r="N7" s="2710"/>
      <c r="O7" s="2710"/>
      <c r="P7" s="3786" t="s">
        <v>1680</v>
      </c>
      <c r="Q7" s="3787"/>
      <c r="R7" s="697" t="s">
        <v>14</v>
      </c>
      <c r="S7" s="698">
        <f t="shared" ref="S7:S14" si="0">F7</f>
        <v>0</v>
      </c>
      <c r="T7" s="697" t="s">
        <v>14</v>
      </c>
      <c r="U7" s="698">
        <f t="shared" ref="U7:U14" si="1">H7</f>
        <v>0</v>
      </c>
      <c r="V7" s="697" t="s">
        <v>14</v>
      </c>
      <c r="W7" s="698">
        <f t="shared" ref="W7:W14" si="2">J7</f>
        <v>0</v>
      </c>
      <c r="X7" s="699"/>
      <c r="Y7" s="3786" t="s">
        <v>1680</v>
      </c>
      <c r="Z7" s="3785"/>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86" t="s">
        <v>1683</v>
      </c>
      <c r="Q8" s="3785"/>
      <c r="R8" s="697" t="s">
        <v>14</v>
      </c>
      <c r="S8" s="698">
        <f t="shared" si="0"/>
        <v>100</v>
      </c>
      <c r="T8" s="697" t="s">
        <v>14</v>
      </c>
      <c r="U8" s="698">
        <f t="shared" si="1"/>
        <v>100</v>
      </c>
      <c r="V8" s="697" t="s">
        <v>14</v>
      </c>
      <c r="W8" s="698">
        <f t="shared" si="2"/>
        <v>100</v>
      </c>
      <c r="X8" s="699"/>
      <c r="Y8" s="3786" t="s">
        <v>1683</v>
      </c>
      <c r="Z8" s="3785"/>
      <c r="AA8" s="700">
        <f t="shared" ref="AA8:AA34" si="3">D8/F8</f>
        <v>1</v>
      </c>
      <c r="AB8" s="700">
        <f t="shared" ref="AB8:AB34" si="4">D8/H8</f>
        <v>1</v>
      </c>
      <c r="AC8" s="700">
        <f t="shared" ref="AC8:AC34" si="5">D8/J8</f>
        <v>1</v>
      </c>
    </row>
    <row r="9" spans="1:29" s="108" customFormat="1">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09"/>
      <c r="M9" s="2710"/>
      <c r="N9" s="2710"/>
      <c r="O9" s="2764"/>
      <c r="P9" s="3745" t="s">
        <v>1686</v>
      </c>
      <c r="Q9" s="1335" t="str">
        <f t="shared" ref="Q9:Q14" si="6">B9</f>
        <v>用途</v>
      </c>
      <c r="R9" s="697" t="s">
        <v>14</v>
      </c>
      <c r="S9" s="698">
        <f t="shared" si="0"/>
        <v>100</v>
      </c>
      <c r="T9" s="697" t="s">
        <v>14</v>
      </c>
      <c r="U9" s="698">
        <f t="shared" si="1"/>
        <v>100</v>
      </c>
      <c r="V9" s="697" t="s">
        <v>14</v>
      </c>
      <c r="W9" s="698">
        <f t="shared" si="2"/>
        <v>100</v>
      </c>
      <c r="X9" s="699"/>
      <c r="Y9" s="3651" t="s">
        <v>1687</v>
      </c>
      <c r="Z9" s="52" t="str">
        <f t="shared" ref="Z9:Z14" si="7">Q9</f>
        <v>用途</v>
      </c>
      <c r="AA9" s="700">
        <f t="shared" si="3"/>
        <v>1</v>
      </c>
      <c r="AB9" s="700">
        <f t="shared" si="4"/>
        <v>1</v>
      </c>
      <c r="AC9" s="700">
        <f t="shared" si="5"/>
        <v>1</v>
      </c>
    </row>
    <row r="10" spans="1:29" s="375" customFormat="1" ht="27">
      <c r="A10" s="371"/>
      <c r="B10" s="372" t="s">
        <v>1688</v>
      </c>
      <c r="C10" s="3426"/>
      <c r="D10" s="124">
        <v>100</v>
      </c>
      <c r="E10" s="3426"/>
      <c r="F10" s="373">
        <f>SUMIF(53:53,E10,54:54)-SUMIF(53:53,C10,54:54)+100</f>
        <v>100</v>
      </c>
      <c r="G10" s="3426"/>
      <c r="H10" s="124">
        <f>SUMIF(53:53,G10,54:54)-SUMIF(53:53,C10,54:54)+100</f>
        <v>100</v>
      </c>
      <c r="I10" s="3426"/>
      <c r="J10" s="124">
        <f>SUMIF(53:53,I10,54:54)-SUMIF(53:53,C10,54:54)+100</f>
        <v>100</v>
      </c>
      <c r="K10" s="557"/>
      <c r="L10" s="2711"/>
      <c r="M10" s="2712"/>
      <c r="N10" s="2712"/>
      <c r="O10" s="2765"/>
      <c r="P10" s="3745"/>
      <c r="Q10" s="1335" t="str">
        <f t="shared" si="6"/>
        <v>土地使用年限（年）</v>
      </c>
      <c r="R10" s="697" t="s">
        <v>14</v>
      </c>
      <c r="S10" s="698">
        <f t="shared" si="0"/>
        <v>100</v>
      </c>
      <c r="T10" s="697" t="s">
        <v>14</v>
      </c>
      <c r="U10" s="698">
        <f t="shared" si="1"/>
        <v>100</v>
      </c>
      <c r="V10" s="697" t="s">
        <v>14</v>
      </c>
      <c r="W10" s="698">
        <f t="shared" si="2"/>
        <v>100</v>
      </c>
      <c r="X10" s="699"/>
      <c r="Y10" s="3651"/>
      <c r="Z10" s="52" t="str">
        <f t="shared" si="7"/>
        <v>土地使用年限（年）</v>
      </c>
      <c r="AA10" s="700">
        <f t="shared" si="3"/>
        <v>1</v>
      </c>
      <c r="AB10" s="700">
        <f t="shared" si="4"/>
        <v>1</v>
      </c>
      <c r="AC10" s="700">
        <f t="shared" si="5"/>
        <v>1</v>
      </c>
    </row>
    <row r="11" spans="1:29" ht="15">
      <c r="A11" s="376"/>
      <c r="B11" s="1885">
        <v>111</v>
      </c>
      <c r="C11" s="380"/>
      <c r="D11" s="124">
        <v>100</v>
      </c>
      <c r="E11" s="417"/>
      <c r="F11" s="373">
        <f>SUMIF(55:55,E11,56:56)-SUMIF(55:55,C11,56:56)+100</f>
        <v>100</v>
      </c>
      <c r="G11" s="417"/>
      <c r="H11" s="124">
        <f>SUMIF(55:55,G11,56:56)-SUMIF(55:55,C11,56:56)+100</f>
        <v>100</v>
      </c>
      <c r="I11" s="417"/>
      <c r="J11" s="124">
        <f>SUMIF(55:55,I11,56:56)-SUMIF(55:55,C11,56:56)+100</f>
        <v>100</v>
      </c>
      <c r="K11" s="559"/>
      <c r="L11" s="2713"/>
      <c r="M11" s="2708"/>
      <c r="N11" s="2708"/>
      <c r="O11" s="2766"/>
      <c r="P11" s="3745"/>
      <c r="Q11" s="1335">
        <f t="shared" si="6"/>
        <v>111</v>
      </c>
      <c r="R11" s="697" t="s">
        <v>14</v>
      </c>
      <c r="S11" s="698">
        <f t="shared" si="0"/>
        <v>100</v>
      </c>
      <c r="T11" s="697" t="s">
        <v>14</v>
      </c>
      <c r="U11" s="698">
        <f t="shared" si="1"/>
        <v>100</v>
      </c>
      <c r="V11" s="697" t="s">
        <v>14</v>
      </c>
      <c r="W11" s="698">
        <f t="shared" si="2"/>
        <v>100</v>
      </c>
      <c r="X11" s="699"/>
      <c r="Y11" s="3651"/>
      <c r="Z11" s="52">
        <f t="shared" si="7"/>
        <v>111</v>
      </c>
      <c r="AA11" s="700">
        <f t="shared" si="3"/>
        <v>1</v>
      </c>
      <c r="AB11" s="700">
        <f t="shared" si="4"/>
        <v>1</v>
      </c>
      <c r="AC11" s="700">
        <f t="shared" si="5"/>
        <v>1</v>
      </c>
    </row>
    <row r="12" spans="1:29" s="108" customFormat="1" ht="15">
      <c r="A12" s="379"/>
      <c r="B12" s="1885">
        <v>111</v>
      </c>
      <c r="C12" s="380"/>
      <c r="D12" s="381">
        <v>100</v>
      </c>
      <c r="E12" s="417"/>
      <c r="F12" s="373">
        <f>SUMIF(57:57,E12,58:58)-SUMIF(57:57,C12,58:58)+100</f>
        <v>100</v>
      </c>
      <c r="G12" s="417"/>
      <c r="H12" s="124">
        <f>SUMIF(57:57,G12,58:58)-SUMIF(57:57,C12,58:58)+100</f>
        <v>100</v>
      </c>
      <c r="I12" s="417"/>
      <c r="J12" s="124">
        <f>SUMIF(57:57,I12,58:58)-SUMIF(57:57,C12,58:58)+100</f>
        <v>100</v>
      </c>
      <c r="K12" s="559"/>
      <c r="L12" s="2709"/>
      <c r="M12" s="2710"/>
      <c r="N12" s="2710"/>
      <c r="O12" s="2764"/>
      <c r="P12" s="3745"/>
      <c r="Q12" s="1335">
        <f t="shared" si="6"/>
        <v>111</v>
      </c>
      <c r="R12" s="697" t="s">
        <v>14</v>
      </c>
      <c r="S12" s="698">
        <f t="shared" si="0"/>
        <v>100</v>
      </c>
      <c r="T12" s="697" t="s">
        <v>14</v>
      </c>
      <c r="U12" s="698">
        <f t="shared" si="1"/>
        <v>100</v>
      </c>
      <c r="V12" s="697" t="s">
        <v>14</v>
      </c>
      <c r="W12" s="698">
        <f t="shared" si="2"/>
        <v>100</v>
      </c>
      <c r="X12" s="699"/>
      <c r="Y12" s="3651"/>
      <c r="Z12" s="52">
        <f t="shared" si="7"/>
        <v>111</v>
      </c>
      <c r="AA12" s="700">
        <f>D12/F12</f>
        <v>1</v>
      </c>
      <c r="AB12" s="700">
        <f>D12/H12</f>
        <v>1</v>
      </c>
      <c r="AC12" s="700">
        <f>D12/J12</f>
        <v>1</v>
      </c>
    </row>
    <row r="13" spans="1:29" ht="15.75" thickBot="1">
      <c r="A13" s="376"/>
      <c r="B13" s="1885">
        <v>111</v>
      </c>
      <c r="C13" s="382"/>
      <c r="D13" s="383">
        <v>100</v>
      </c>
      <c r="E13" s="417"/>
      <c r="F13" s="373">
        <f>SUMIF(59:59,E13,60:60)-SUMIF(59:59,C13,60:60)+100</f>
        <v>100</v>
      </c>
      <c r="G13" s="1967"/>
      <c r="H13" s="386">
        <f>SUMIF(59:59,G13,60:60)-SUMIF(59:59,C13,60:60)+100</f>
        <v>100</v>
      </c>
      <c r="I13" s="417"/>
      <c r="J13" s="383">
        <f>SUMIF(59:59,I13,60:60)-SUMIF(59:59,C13,60:60)+100</f>
        <v>100</v>
      </c>
      <c r="K13" s="559"/>
      <c r="L13" s="2714"/>
      <c r="M13" s="2708"/>
      <c r="N13" s="2708"/>
      <c r="O13" s="2766"/>
      <c r="P13" s="3745"/>
      <c r="Q13" s="1335">
        <f t="shared" si="6"/>
        <v>111</v>
      </c>
      <c r="R13" s="697" t="s">
        <v>14</v>
      </c>
      <c r="S13" s="698">
        <f t="shared" si="0"/>
        <v>100</v>
      </c>
      <c r="T13" s="697" t="s">
        <v>14</v>
      </c>
      <c r="U13" s="698">
        <f t="shared" si="1"/>
        <v>100</v>
      </c>
      <c r="V13" s="697" t="s">
        <v>14</v>
      </c>
      <c r="W13" s="698">
        <f t="shared" si="2"/>
        <v>100</v>
      </c>
      <c r="X13" s="699"/>
      <c r="Y13" s="3651"/>
      <c r="Z13" s="52">
        <f t="shared" si="7"/>
        <v>111</v>
      </c>
      <c r="AA13" s="700">
        <f t="shared" si="3"/>
        <v>1</v>
      </c>
      <c r="AB13" s="700">
        <f t="shared" si="4"/>
        <v>1</v>
      </c>
      <c r="AC13" s="700">
        <f t="shared" si="5"/>
        <v>1</v>
      </c>
    </row>
    <row r="14" spans="1:29" ht="85.5">
      <c r="A14" s="388" t="s">
        <v>1690</v>
      </c>
      <c r="B14" s="61" t="s">
        <v>1833</v>
      </c>
      <c r="C14" s="1963"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52" t="s">
        <v>1691</v>
      </c>
      <c r="Q14" s="1344" t="str">
        <f t="shared" si="6"/>
        <v>交通便捷度</v>
      </c>
      <c r="R14" s="701" t="s">
        <v>14</v>
      </c>
      <c r="S14" s="702">
        <f t="shared" si="0"/>
        <v>100</v>
      </c>
      <c r="T14" s="701" t="s">
        <v>14</v>
      </c>
      <c r="U14" s="702">
        <f t="shared" si="1"/>
        <v>100</v>
      </c>
      <c r="V14" s="701" t="s">
        <v>14</v>
      </c>
      <c r="W14" s="702">
        <f t="shared" si="2"/>
        <v>100</v>
      </c>
      <c r="X14" s="1347"/>
      <c r="Y14" s="3752" t="s">
        <v>1691</v>
      </c>
      <c r="Z14" s="1348" t="str">
        <f t="shared" si="7"/>
        <v>交通便捷度</v>
      </c>
      <c r="AA14" s="1345">
        <f t="shared" si="3"/>
        <v>1</v>
      </c>
      <c r="AB14" s="1345">
        <f t="shared" si="4"/>
        <v>1</v>
      </c>
      <c r="AC14" s="1345">
        <f t="shared" si="5"/>
        <v>1</v>
      </c>
    </row>
    <row r="15" spans="1:29" ht="15">
      <c r="A15" s="376"/>
      <c r="B15" s="394"/>
      <c r="C15" s="395"/>
      <c r="D15" s="396"/>
      <c r="E15" s="395"/>
      <c r="F15" s="397"/>
      <c r="G15" s="395"/>
      <c r="H15" s="398"/>
      <c r="I15" s="395"/>
      <c r="J15" s="396"/>
      <c r="K15" s="561"/>
      <c r="L15" s="2714"/>
      <c r="M15" s="2708"/>
      <c r="N15" s="2708"/>
      <c r="O15" s="2766"/>
      <c r="P15" s="3753"/>
      <c r="Q15" s="1344"/>
      <c r="R15" s="701"/>
      <c r="S15" s="702"/>
      <c r="T15" s="701"/>
      <c r="U15" s="702"/>
      <c r="V15" s="701"/>
      <c r="W15" s="702"/>
      <c r="X15" s="1347"/>
      <c r="Y15" s="3753"/>
      <c r="Z15" s="1348"/>
      <c r="AA15" s="1345">
        <v>1</v>
      </c>
      <c r="AB15" s="1345">
        <v>1</v>
      </c>
      <c r="AC15" s="1345">
        <v>1</v>
      </c>
    </row>
    <row r="16" spans="1:29" ht="42.75">
      <c r="A16" s="376"/>
      <c r="B16" s="399" t="s">
        <v>1812</v>
      </c>
      <c r="C16" s="1892"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53"/>
      <c r="Q16" s="1344" t="str">
        <f>B16</f>
        <v>公共配套设施</v>
      </c>
      <c r="R16" s="701" t="s">
        <v>14</v>
      </c>
      <c r="S16" s="702">
        <f>F16</f>
        <v>100</v>
      </c>
      <c r="T16" s="701" t="s">
        <v>14</v>
      </c>
      <c r="U16" s="702">
        <f>H16</f>
        <v>100</v>
      </c>
      <c r="V16" s="701" t="s">
        <v>14</v>
      </c>
      <c r="W16" s="702">
        <f>J16</f>
        <v>100</v>
      </c>
      <c r="X16" s="1347"/>
      <c r="Y16" s="3753"/>
      <c r="Z16" s="1348" t="str">
        <f>Q16</f>
        <v>公共配套设施</v>
      </c>
      <c r="AA16" s="1345">
        <f t="shared" si="3"/>
        <v>1</v>
      </c>
      <c r="AB16" s="1345">
        <f t="shared" si="4"/>
        <v>1</v>
      </c>
      <c r="AC16" s="1345">
        <f t="shared" si="5"/>
        <v>1</v>
      </c>
    </row>
    <row r="17" spans="1:29" ht="15">
      <c r="A17" s="376"/>
      <c r="B17" s="404"/>
      <c r="C17" s="1893"/>
      <c r="D17" s="396"/>
      <c r="E17" s="395"/>
      <c r="F17" s="397"/>
      <c r="G17" s="395"/>
      <c r="H17" s="396"/>
      <c r="I17" s="395"/>
      <c r="J17" s="396"/>
      <c r="K17" s="561"/>
      <c r="L17" s="2714"/>
      <c r="M17" s="2708"/>
      <c r="N17" s="2708"/>
      <c r="O17" s="2766"/>
      <c r="P17" s="3753"/>
      <c r="Q17" s="1344"/>
      <c r="R17" s="701"/>
      <c r="S17" s="702"/>
      <c r="T17" s="701"/>
      <c r="U17" s="702"/>
      <c r="V17" s="701"/>
      <c r="W17" s="702"/>
      <c r="X17" s="1347"/>
      <c r="Y17" s="3753"/>
      <c r="Z17" s="1348"/>
      <c r="AA17" s="1345">
        <v>1</v>
      </c>
      <c r="AB17" s="1345">
        <v>1</v>
      </c>
      <c r="AC17" s="1345">
        <v>1</v>
      </c>
    </row>
    <row r="18" spans="1:29" ht="28.5">
      <c r="A18" s="376"/>
      <c r="B18" s="1123" t="s">
        <v>1813</v>
      </c>
      <c r="C18" s="1892"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53"/>
      <c r="Q18" s="1344" t="str">
        <f>B18</f>
        <v>基础设施水平</v>
      </c>
      <c r="R18" s="701" t="s">
        <v>14</v>
      </c>
      <c r="S18" s="702">
        <f>F18</f>
        <v>100</v>
      </c>
      <c r="T18" s="701" t="s">
        <v>14</v>
      </c>
      <c r="U18" s="702">
        <f>H18</f>
        <v>100</v>
      </c>
      <c r="V18" s="701" t="s">
        <v>14</v>
      </c>
      <c r="W18" s="702">
        <f>J18</f>
        <v>100</v>
      </c>
      <c r="X18" s="1347"/>
      <c r="Y18" s="3753"/>
      <c r="Z18" s="1348" t="str">
        <f>Q18</f>
        <v>基础设施水平</v>
      </c>
      <c r="AA18" s="1345">
        <f t="shared" ref="AA18" si="8">D18/F18</f>
        <v>1</v>
      </c>
      <c r="AB18" s="1345">
        <f t="shared" ref="AB18" si="9">D18/H18</f>
        <v>1</v>
      </c>
      <c r="AC18" s="1345">
        <f t="shared" ref="AC18" si="10">D18/J18</f>
        <v>1</v>
      </c>
    </row>
    <row r="19" spans="1:29" ht="15">
      <c r="A19" s="376"/>
      <c r="B19" s="1123"/>
      <c r="C19" s="1893"/>
      <c r="D19" s="398"/>
      <c r="E19" s="1893"/>
      <c r="F19" s="401"/>
      <c r="G19" s="1893"/>
      <c r="H19" s="396"/>
      <c r="I19" s="395"/>
      <c r="J19" s="396"/>
      <c r="K19" s="1122"/>
      <c r="L19" s="2714"/>
      <c r="M19" s="2708"/>
      <c r="N19" s="2708"/>
      <c r="O19" s="2766"/>
      <c r="P19" s="3753"/>
      <c r="Q19" s="1344"/>
      <c r="R19" s="701"/>
      <c r="S19" s="702"/>
      <c r="T19" s="701"/>
      <c r="U19" s="702"/>
      <c r="V19" s="701"/>
      <c r="W19" s="702"/>
      <c r="X19" s="1347"/>
      <c r="Y19" s="3753"/>
      <c r="Z19" s="1348"/>
      <c r="AA19" s="1345">
        <v>1</v>
      </c>
      <c r="AB19" s="1345">
        <v>1</v>
      </c>
      <c r="AC19" s="1345">
        <v>1</v>
      </c>
    </row>
    <row r="20" spans="1:29" ht="57">
      <c r="A20" s="376"/>
      <c r="B20" s="399" t="s">
        <v>1834</v>
      </c>
      <c r="C20" s="1892"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53"/>
      <c r="Q20" s="1344" t="str">
        <f>B20</f>
        <v>自然及人文环境</v>
      </c>
      <c r="R20" s="701" t="s">
        <v>14</v>
      </c>
      <c r="S20" s="702">
        <f>F20</f>
        <v>100</v>
      </c>
      <c r="T20" s="701" t="s">
        <v>14</v>
      </c>
      <c r="U20" s="702">
        <f>H20</f>
        <v>100</v>
      </c>
      <c r="V20" s="701" t="s">
        <v>14</v>
      </c>
      <c r="W20" s="702">
        <f>J20</f>
        <v>100</v>
      </c>
      <c r="X20" s="1347"/>
      <c r="Y20" s="3753"/>
      <c r="Z20" s="1348" t="str">
        <f>Q20</f>
        <v>自然及人文环境</v>
      </c>
      <c r="AA20" s="1345">
        <f t="shared" si="3"/>
        <v>1</v>
      </c>
      <c r="AB20" s="1345">
        <f t="shared" si="4"/>
        <v>1</v>
      </c>
      <c r="AC20" s="1345">
        <f t="shared" si="5"/>
        <v>1</v>
      </c>
    </row>
    <row r="21" spans="1:29" ht="15">
      <c r="A21" s="376"/>
      <c r="B21" s="404"/>
      <c r="C21" s="395"/>
      <c r="D21" s="396"/>
      <c r="E21" s="395"/>
      <c r="F21" s="397"/>
      <c r="G21" s="395"/>
      <c r="H21" s="396"/>
      <c r="I21" s="395"/>
      <c r="J21" s="396"/>
      <c r="K21" s="561"/>
      <c r="L21" s="2714"/>
      <c r="M21" s="2708"/>
      <c r="N21" s="2708"/>
      <c r="O21" s="2766"/>
      <c r="P21" s="3753"/>
      <c r="Q21" s="1344"/>
      <c r="R21" s="701"/>
      <c r="S21" s="702"/>
      <c r="T21" s="701"/>
      <c r="U21" s="702"/>
      <c r="V21" s="701"/>
      <c r="W21" s="702"/>
      <c r="X21" s="1347"/>
      <c r="Y21" s="3753"/>
      <c r="Z21" s="1348"/>
      <c r="AA21" s="1345">
        <v>1</v>
      </c>
      <c r="AB21" s="1345">
        <v>1</v>
      </c>
      <c r="AC21" s="1345">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53"/>
      <c r="Q22" s="1344" t="str">
        <f>B22</f>
        <v>楼层</v>
      </c>
      <c r="R22" s="701" t="s">
        <v>14</v>
      </c>
      <c r="S22" s="702">
        <f>F22</f>
        <v>100</v>
      </c>
      <c r="T22" s="701" t="s">
        <v>14</v>
      </c>
      <c r="U22" s="702">
        <f>H22</f>
        <v>100</v>
      </c>
      <c r="V22" s="701" t="s">
        <v>14</v>
      </c>
      <c r="W22" s="702">
        <f>J22</f>
        <v>100</v>
      </c>
      <c r="X22" s="1347"/>
      <c r="Y22" s="3753"/>
      <c r="Z22" s="1348" t="str">
        <f>Q22</f>
        <v>楼层</v>
      </c>
      <c r="AA22" s="1345">
        <f t="shared" si="3"/>
        <v>1</v>
      </c>
      <c r="AB22" s="1345">
        <f t="shared" si="4"/>
        <v>1</v>
      </c>
      <c r="AC22" s="1345">
        <f t="shared" si="5"/>
        <v>1</v>
      </c>
    </row>
    <row r="23" spans="1:29" ht="15">
      <c r="A23" s="355"/>
      <c r="B23" s="1885">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53"/>
      <c r="Q23" s="1344">
        <f>B23</f>
        <v>111</v>
      </c>
      <c r="R23" s="701" t="s">
        <v>14</v>
      </c>
      <c r="S23" s="702">
        <f>F23</f>
        <v>100</v>
      </c>
      <c r="T23" s="701" t="s">
        <v>14</v>
      </c>
      <c r="U23" s="702">
        <f>H23</f>
        <v>100</v>
      </c>
      <c r="V23" s="701" t="s">
        <v>14</v>
      </c>
      <c r="W23" s="702">
        <f>J23</f>
        <v>100</v>
      </c>
      <c r="X23" s="1347"/>
      <c r="Y23" s="3753"/>
      <c r="Z23" s="1348">
        <f>Q23</f>
        <v>111</v>
      </c>
      <c r="AA23" s="1345">
        <f t="shared" si="3"/>
        <v>1</v>
      </c>
      <c r="AB23" s="1345">
        <f t="shared" si="4"/>
        <v>1</v>
      </c>
      <c r="AC23" s="1345">
        <f t="shared" si="5"/>
        <v>1</v>
      </c>
    </row>
    <row r="24" spans="1:29" ht="15">
      <c r="A24" s="376"/>
      <c r="B24" s="1885">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53"/>
      <c r="Q24" s="1344">
        <f t="shared" ref="Q24:Q34" si="11">B24</f>
        <v>111</v>
      </c>
      <c r="R24" s="701" t="s">
        <v>14</v>
      </c>
      <c r="S24" s="702">
        <f>F24</f>
        <v>100</v>
      </c>
      <c r="T24" s="701" t="s">
        <v>14</v>
      </c>
      <c r="U24" s="702">
        <f>H24</f>
        <v>100</v>
      </c>
      <c r="V24" s="701" t="s">
        <v>14</v>
      </c>
      <c r="W24" s="702">
        <f>J24</f>
        <v>100</v>
      </c>
      <c r="X24" s="1347"/>
      <c r="Y24" s="3753"/>
      <c r="Z24" s="1348">
        <f>Q24</f>
        <v>111</v>
      </c>
      <c r="AA24" s="1345">
        <f t="shared" si="3"/>
        <v>1</v>
      </c>
      <c r="AB24" s="1345">
        <f t="shared" si="4"/>
        <v>1</v>
      </c>
      <c r="AC24" s="1345">
        <f t="shared" si="5"/>
        <v>1</v>
      </c>
    </row>
    <row r="25" spans="1:29" s="108" customFormat="1" ht="15.75" thickBot="1">
      <c r="A25" s="379"/>
      <c r="B25" s="1885">
        <v>111</v>
      </c>
      <c r="C25" s="1968"/>
      <c r="D25" s="610">
        <v>100</v>
      </c>
      <c r="E25" s="1968"/>
      <c r="F25" s="611">
        <f>SUMIF(75:75,E25,76:76)-SUMIF(75:75,C25,76:76)+100</f>
        <v>100</v>
      </c>
      <c r="G25" s="1968"/>
      <c r="H25" s="610">
        <f>SUMIF(75:75,G25,76:76)-SUMIF(75:75,C25,76:76)+100</f>
        <v>100</v>
      </c>
      <c r="I25" s="1968"/>
      <c r="J25" s="610">
        <f>SUMIF(75:75,I25,76:76)-SUMIF(75:75,C25,76:76)+100</f>
        <v>100</v>
      </c>
      <c r="K25" s="559"/>
      <c r="L25" s="2709"/>
      <c r="M25" s="2710"/>
      <c r="N25" s="2710"/>
      <c r="O25" s="2764"/>
      <c r="P25" s="3753"/>
      <c r="Q25" s="1335">
        <f t="shared" si="11"/>
        <v>111</v>
      </c>
      <c r="R25" s="697" t="s">
        <v>14</v>
      </c>
      <c r="S25" s="698">
        <f>F25</f>
        <v>100</v>
      </c>
      <c r="T25" s="697" t="s">
        <v>14</v>
      </c>
      <c r="U25" s="698">
        <f>H25</f>
        <v>100</v>
      </c>
      <c r="V25" s="697" t="s">
        <v>14</v>
      </c>
      <c r="W25" s="698">
        <f>J25</f>
        <v>100</v>
      </c>
      <c r="X25" s="699"/>
      <c r="Y25" s="3753"/>
      <c r="Z25" s="52">
        <f>Q25</f>
        <v>111</v>
      </c>
      <c r="AA25" s="1345">
        <f>D25/F25</f>
        <v>1</v>
      </c>
      <c r="AB25" s="1345">
        <f>D25/H25</f>
        <v>1</v>
      </c>
      <c r="AC25" s="1345">
        <f>D25/J25</f>
        <v>1</v>
      </c>
    </row>
    <row r="26" spans="1:29" ht="28.5">
      <c r="A26" s="414" t="s">
        <v>1694</v>
      </c>
      <c r="B26" s="63" t="s">
        <v>1838</v>
      </c>
      <c r="C26" s="1959"/>
      <c r="D26" s="415">
        <v>100</v>
      </c>
      <c r="E26" s="1959"/>
      <c r="F26" s="612">
        <f>SUMIF(77:77,E26,78:78)-SUMIF(77:77,C26,78:78)+100</f>
        <v>100</v>
      </c>
      <c r="G26" s="1959"/>
      <c r="H26" s="415">
        <f>SUMIF(77:77,G26,78:78)-SUMIF(77:77,C26,78:78)+100</f>
        <v>100</v>
      </c>
      <c r="I26" s="1959"/>
      <c r="J26" s="415">
        <f>SUMIF(77:77,I26,78:78)-SUMIF(77:77,C26,78:78)+100</f>
        <v>100</v>
      </c>
      <c r="K26" s="558"/>
      <c r="L26" s="2714"/>
      <c r="M26" s="2708"/>
      <c r="N26" s="2708"/>
      <c r="O26" s="2766"/>
      <c r="P26" s="3834" t="s">
        <v>1696</v>
      </c>
      <c r="Q26" s="1344" t="str">
        <f t="shared" si="11"/>
        <v>公共部分装修</v>
      </c>
      <c r="R26" s="701" t="s">
        <v>14</v>
      </c>
      <c r="S26" s="702">
        <f t="shared" ref="S26:S34" si="12">F26</f>
        <v>100</v>
      </c>
      <c r="T26" s="701" t="s">
        <v>14</v>
      </c>
      <c r="U26" s="702">
        <f t="shared" ref="U26:U34" si="13">H26</f>
        <v>100</v>
      </c>
      <c r="V26" s="701" t="s">
        <v>14</v>
      </c>
      <c r="W26" s="702">
        <f t="shared" ref="W26:W34" si="14">J26</f>
        <v>100</v>
      </c>
      <c r="X26" s="1347"/>
      <c r="Y26" s="3757" t="s">
        <v>1696</v>
      </c>
      <c r="Z26" s="1348" t="str">
        <f t="shared" ref="Z26:Z34" si="15">Q26</f>
        <v>公共部分装修</v>
      </c>
      <c r="AA26" s="1345">
        <f t="shared" si="3"/>
        <v>1</v>
      </c>
      <c r="AB26" s="1345">
        <f t="shared" si="4"/>
        <v>1</v>
      </c>
      <c r="AC26" s="1345">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57"/>
      <c r="Q27" s="703" t="str">
        <f t="shared" si="11"/>
        <v>成新率</v>
      </c>
      <c r="R27" s="704" t="s">
        <v>14</v>
      </c>
      <c r="S27" s="705" t="e">
        <f t="shared" si="12"/>
        <v>#N/A</v>
      </c>
      <c r="T27" s="704" t="s">
        <v>14</v>
      </c>
      <c r="U27" s="705" t="e">
        <f t="shared" si="13"/>
        <v>#N/A</v>
      </c>
      <c r="V27" s="704" t="s">
        <v>14</v>
      </c>
      <c r="W27" s="705" t="e">
        <f t="shared" si="14"/>
        <v>#N/A</v>
      </c>
      <c r="X27" s="706"/>
      <c r="Y27" s="3757"/>
      <c r="Z27" s="707" t="str">
        <f t="shared" si="15"/>
        <v>成新率</v>
      </c>
      <c r="AA27" s="1345" t="e">
        <f t="shared" si="3"/>
        <v>#N/A</v>
      </c>
      <c r="AB27" s="1345" t="e">
        <f t="shared" si="4"/>
        <v>#N/A</v>
      </c>
      <c r="AC27" s="1345"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57"/>
      <c r="Q28" s="1344" t="str">
        <f t="shared" si="11"/>
        <v>物业等级</v>
      </c>
      <c r="R28" s="701" t="s">
        <v>14</v>
      </c>
      <c r="S28" s="702">
        <f t="shared" si="12"/>
        <v>100</v>
      </c>
      <c r="T28" s="701" t="s">
        <v>14</v>
      </c>
      <c r="U28" s="702">
        <f t="shared" si="13"/>
        <v>100</v>
      </c>
      <c r="V28" s="701" t="s">
        <v>14</v>
      </c>
      <c r="W28" s="702">
        <f t="shared" si="14"/>
        <v>100</v>
      </c>
      <c r="X28" s="1347"/>
      <c r="Y28" s="3757"/>
      <c r="Z28" s="1348" t="str">
        <f t="shared" si="15"/>
        <v>物业等级</v>
      </c>
      <c r="AA28" s="1345">
        <f t="shared" si="3"/>
        <v>1</v>
      </c>
      <c r="AB28" s="1345">
        <f t="shared" si="4"/>
        <v>1</v>
      </c>
      <c r="AC28" s="1345">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57"/>
      <c r="Q29" s="1344" t="str">
        <f t="shared" si="11"/>
        <v>有无电梯</v>
      </c>
      <c r="R29" s="701" t="s">
        <v>14</v>
      </c>
      <c r="S29" s="702">
        <f t="shared" si="12"/>
        <v>100</v>
      </c>
      <c r="T29" s="701" t="s">
        <v>14</v>
      </c>
      <c r="U29" s="702">
        <f t="shared" si="13"/>
        <v>100</v>
      </c>
      <c r="V29" s="701" t="s">
        <v>14</v>
      </c>
      <c r="W29" s="702">
        <f t="shared" si="14"/>
        <v>100</v>
      </c>
      <c r="X29" s="1347"/>
      <c r="Y29" s="3757"/>
      <c r="Z29" s="1348" t="str">
        <f t="shared" si="15"/>
        <v>有无电梯</v>
      </c>
      <c r="AA29" s="1345">
        <f t="shared" si="3"/>
        <v>1</v>
      </c>
      <c r="AB29" s="1345">
        <f t="shared" si="4"/>
        <v>1</v>
      </c>
      <c r="AC29" s="1345">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57"/>
      <c r="Q30" s="1344" t="str">
        <f t="shared" si="11"/>
        <v>建筑面积</v>
      </c>
      <c r="R30" s="701" t="s">
        <v>14</v>
      </c>
      <c r="S30" s="702" t="e">
        <f t="shared" si="12"/>
        <v>#N/A</v>
      </c>
      <c r="T30" s="701" t="s">
        <v>14</v>
      </c>
      <c r="U30" s="702" t="e">
        <f t="shared" si="13"/>
        <v>#N/A</v>
      </c>
      <c r="V30" s="701" t="s">
        <v>14</v>
      </c>
      <c r="W30" s="702" t="e">
        <f t="shared" si="14"/>
        <v>#N/A</v>
      </c>
      <c r="X30" s="1347"/>
      <c r="Y30" s="3757"/>
      <c r="Z30" s="1348" t="str">
        <f t="shared" si="15"/>
        <v>建筑面积</v>
      </c>
      <c r="AA30" s="1345" t="e">
        <f t="shared" si="3"/>
        <v>#N/A</v>
      </c>
      <c r="AB30" s="1345" t="e">
        <f t="shared" si="4"/>
        <v>#N/A</v>
      </c>
      <c r="AC30" s="1345" t="e">
        <f t="shared" si="5"/>
        <v>#N/A</v>
      </c>
    </row>
    <row r="31" spans="1:29" s="108"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57"/>
      <c r="Q31" s="1335" t="str">
        <f t="shared" si="11"/>
        <v>是否封闭</v>
      </c>
      <c r="R31" s="697" t="s">
        <v>14</v>
      </c>
      <c r="S31" s="698">
        <f t="shared" si="12"/>
        <v>100</v>
      </c>
      <c r="T31" s="697" t="s">
        <v>14</v>
      </c>
      <c r="U31" s="698">
        <f t="shared" si="13"/>
        <v>100</v>
      </c>
      <c r="V31" s="697" t="s">
        <v>14</v>
      </c>
      <c r="W31" s="698">
        <f t="shared" si="14"/>
        <v>100</v>
      </c>
      <c r="X31" s="699"/>
      <c r="Y31" s="3757"/>
      <c r="Z31" s="52" t="str">
        <f t="shared" si="15"/>
        <v>是否封闭</v>
      </c>
      <c r="AA31" s="700">
        <f t="shared" si="3"/>
        <v>1</v>
      </c>
      <c r="AB31" s="700">
        <f t="shared" si="4"/>
        <v>1</v>
      </c>
      <c r="AC31" s="700">
        <f t="shared" si="5"/>
        <v>1</v>
      </c>
    </row>
    <row r="32" spans="1:29" ht="15">
      <c r="A32" s="420"/>
      <c r="B32" s="1885">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57" t="s">
        <v>1696</v>
      </c>
      <c r="Q32" s="1344">
        <f t="shared" si="11"/>
        <v>111</v>
      </c>
      <c r="R32" s="701" t="s">
        <v>14</v>
      </c>
      <c r="S32" s="702">
        <f t="shared" si="12"/>
        <v>100</v>
      </c>
      <c r="T32" s="701" t="s">
        <v>14</v>
      </c>
      <c r="U32" s="702">
        <f t="shared" si="13"/>
        <v>100</v>
      </c>
      <c r="V32" s="701" t="s">
        <v>14</v>
      </c>
      <c r="W32" s="702">
        <f t="shared" si="14"/>
        <v>100</v>
      </c>
      <c r="X32" s="1347"/>
      <c r="Y32" s="3757" t="s">
        <v>1696</v>
      </c>
      <c r="Z32" s="1348">
        <f t="shared" si="15"/>
        <v>111</v>
      </c>
      <c r="AA32" s="1345">
        <f t="shared" si="3"/>
        <v>1</v>
      </c>
      <c r="AB32" s="1345">
        <f t="shared" si="4"/>
        <v>1</v>
      </c>
      <c r="AC32" s="1345">
        <f t="shared" si="5"/>
        <v>1</v>
      </c>
    </row>
    <row r="33" spans="1:30" ht="15">
      <c r="A33" s="420"/>
      <c r="B33" s="1885">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57"/>
      <c r="Q33" s="1344">
        <f t="shared" si="11"/>
        <v>111</v>
      </c>
      <c r="R33" s="701" t="s">
        <v>14</v>
      </c>
      <c r="S33" s="702">
        <f t="shared" si="12"/>
        <v>100</v>
      </c>
      <c r="T33" s="701" t="s">
        <v>14</v>
      </c>
      <c r="U33" s="702">
        <f t="shared" si="13"/>
        <v>100</v>
      </c>
      <c r="V33" s="701" t="s">
        <v>14</v>
      </c>
      <c r="W33" s="702">
        <f t="shared" si="14"/>
        <v>100</v>
      </c>
      <c r="X33" s="1347"/>
      <c r="Y33" s="3757"/>
      <c r="Z33" s="1348">
        <f t="shared" si="15"/>
        <v>111</v>
      </c>
      <c r="AA33" s="1345">
        <f t="shared" si="3"/>
        <v>1</v>
      </c>
      <c r="AB33" s="1345">
        <f t="shared" si="4"/>
        <v>1</v>
      </c>
      <c r="AC33" s="1345">
        <f t="shared" si="5"/>
        <v>1</v>
      </c>
    </row>
    <row r="34" spans="1:30" ht="15.75" thickBot="1">
      <c r="A34" s="426"/>
      <c r="B34" s="1887">
        <v>111</v>
      </c>
      <c r="C34" s="385"/>
      <c r="D34" s="386">
        <v>100</v>
      </c>
      <c r="E34" s="1967"/>
      <c r="F34" s="387">
        <f>SUMIF(95:95,E34,96:96)-SUMIF(95:95,C34,96:96)+100</f>
        <v>100</v>
      </c>
      <c r="G34" s="1967"/>
      <c r="H34" s="386">
        <f>SUMIF(95:95,G34,96:96)-SUMIF(95:95,C34,96:96)+100</f>
        <v>100</v>
      </c>
      <c r="I34" s="1967"/>
      <c r="J34" s="386">
        <f>SUMIF(95:95,I34,96:96)-SUMIF(95:95,C34,96:96)+100</f>
        <v>100</v>
      </c>
      <c r="K34" s="559"/>
      <c r="L34" s="2714"/>
      <c r="M34" s="2708"/>
      <c r="N34" s="2708"/>
      <c r="O34" s="2766"/>
      <c r="P34" s="3757"/>
      <c r="Q34" s="1344">
        <f t="shared" si="11"/>
        <v>111</v>
      </c>
      <c r="R34" s="701" t="s">
        <v>14</v>
      </c>
      <c r="S34" s="702">
        <f t="shared" si="12"/>
        <v>100</v>
      </c>
      <c r="T34" s="701" t="s">
        <v>14</v>
      </c>
      <c r="U34" s="702">
        <f t="shared" si="13"/>
        <v>100</v>
      </c>
      <c r="V34" s="701" t="s">
        <v>14</v>
      </c>
      <c r="W34" s="702">
        <f t="shared" si="14"/>
        <v>100</v>
      </c>
      <c r="X34" s="1347"/>
      <c r="Y34" s="3757"/>
      <c r="Z34" s="1348">
        <f t="shared" si="15"/>
        <v>111</v>
      </c>
      <c r="AA34" s="1345">
        <f t="shared" si="3"/>
        <v>1</v>
      </c>
      <c r="AB34" s="1345">
        <f t="shared" si="4"/>
        <v>1</v>
      </c>
      <c r="AC34" s="1345">
        <f t="shared" si="5"/>
        <v>1</v>
      </c>
    </row>
    <row r="35" spans="1:30" ht="15">
      <c r="A35" s="427" t="s">
        <v>1708</v>
      </c>
      <c r="B35" s="428"/>
      <c r="C35" s="1146" t="s">
        <v>0</v>
      </c>
      <c r="D35" s="1147"/>
      <c r="E35" s="1148"/>
      <c r="F35" s="1149"/>
      <c r="G35" s="1150"/>
      <c r="H35" s="1151"/>
      <c r="I35" s="1148"/>
      <c r="J35" s="1151"/>
      <c r="K35" s="710"/>
      <c r="L35" s="2716"/>
      <c r="M35" s="2717"/>
      <c r="N35" s="2708"/>
      <c r="O35" s="2717"/>
      <c r="P35" s="3745" t="str">
        <f>A35</f>
        <v>成交单价（元/平方米）</v>
      </c>
      <c r="Q35" s="3745"/>
      <c r="R35" s="3746">
        <f>E35</f>
        <v>0</v>
      </c>
      <c r="S35" s="3746"/>
      <c r="T35" s="3746">
        <f>G35</f>
        <v>0</v>
      </c>
      <c r="U35" s="3746"/>
      <c r="V35" s="3746">
        <f>I35</f>
        <v>0</v>
      </c>
      <c r="W35" s="3746"/>
      <c r="X35" s="686"/>
      <c r="Y35" s="708"/>
      <c r="Z35" s="686"/>
      <c r="AA35" s="686"/>
      <c r="AB35" s="686"/>
      <c r="AC35" s="686"/>
    </row>
    <row r="36" spans="1:30" ht="15.75" thickBot="1">
      <c r="A36" s="434" t="s">
        <v>1793</v>
      </c>
      <c r="B36" s="435"/>
      <c r="C36" s="1152" t="e">
        <f>R37</f>
        <v>#DIV/0!</v>
      </c>
      <c r="D36" s="2309" t="s">
        <v>2138</v>
      </c>
      <c r="E36" s="1153" t="e">
        <f>R36</f>
        <v>#DIV/0!</v>
      </c>
      <c r="F36" s="2310"/>
      <c r="G36" s="1152" t="e">
        <f>T36</f>
        <v>#DIV/0!</v>
      </c>
      <c r="H36" s="2310"/>
      <c r="I36" s="1153" t="e">
        <f>V36</f>
        <v>#DIV/0!</v>
      </c>
      <c r="J36" s="2310"/>
      <c r="K36" s="2312">
        <f>F36+H36+J36</f>
        <v>0</v>
      </c>
      <c r="L36" s="2716"/>
      <c r="M36" s="2717"/>
      <c r="N36" s="2708"/>
      <c r="O36" s="2717"/>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86"/>
      <c r="Y36" s="686"/>
      <c r="Z36" s="686"/>
      <c r="AA36" s="686"/>
      <c r="AB36" s="686"/>
      <c r="AC36" s="686"/>
    </row>
    <row r="37" spans="1:30" ht="15.75" thickBot="1">
      <c r="A37" s="438" t="s">
        <v>1794</v>
      </c>
      <c r="B37" s="439"/>
      <c r="C37" s="1155" t="e">
        <f>R37</f>
        <v>#DIV/0!</v>
      </c>
      <c r="D37" s="1155"/>
      <c r="E37" s="1155"/>
      <c r="F37" s="1155"/>
      <c r="G37" s="1155"/>
      <c r="H37" s="1155"/>
      <c r="I37" s="1155"/>
      <c r="J37" s="1155"/>
      <c r="K37" s="711"/>
      <c r="L37" s="2716"/>
      <c r="M37" s="2717"/>
      <c r="N37" s="2717"/>
      <c r="O37" s="2717"/>
      <c r="P37" s="3824" t="str">
        <f>A37</f>
        <v>估价对象XX用房的比较价值（楼面单价，元/平方米）</v>
      </c>
      <c r="Q37" s="3825"/>
      <c r="R37" s="3835" t="e">
        <f>IF(F1="售价",ROUND(IF(D36="简单平均",AVERAGE(R36:W36),R36*F36+T36*H36+V36*J36),0),ROUND(IF(D36="简单平均",AVERAGE(R36:V36),R36*F36+T36*H36+V36*J36),1))</f>
        <v>#DIV/0!</v>
      </c>
      <c r="S37" s="3835"/>
      <c r="T37" s="3835"/>
      <c r="U37" s="3835"/>
      <c r="V37" s="3835"/>
      <c r="W37" s="3835"/>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76" t="str">
        <f>YEAR(C7)&amp;"-"&amp;MONTH(C7)</f>
        <v>2024-4</v>
      </c>
      <c r="D46" s="1177">
        <f>EDATE(C46,-1)</f>
        <v>45352</v>
      </c>
      <c r="E46" s="1177">
        <f t="shared" ref="E46:O46" si="16">EDATE(D46,-1)</f>
        <v>45323</v>
      </c>
      <c r="F46" s="1177">
        <f t="shared" si="16"/>
        <v>45292</v>
      </c>
      <c r="G46" s="1177">
        <f t="shared" si="16"/>
        <v>45261</v>
      </c>
      <c r="H46" s="1177">
        <f t="shared" si="16"/>
        <v>45231</v>
      </c>
      <c r="I46" s="1177">
        <f t="shared" si="16"/>
        <v>45200</v>
      </c>
      <c r="J46" s="1177">
        <f t="shared" si="16"/>
        <v>45170</v>
      </c>
      <c r="K46" s="1177">
        <f t="shared" si="16"/>
        <v>45139</v>
      </c>
      <c r="L46" s="1177">
        <f t="shared" si="16"/>
        <v>45108</v>
      </c>
      <c r="M46" s="1177">
        <f t="shared" si="16"/>
        <v>45078</v>
      </c>
      <c r="N46" s="1177">
        <f t="shared" si="16"/>
        <v>45047</v>
      </c>
      <c r="O46" s="1177">
        <f t="shared" si="16"/>
        <v>45017</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5">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1"/>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28"/>
      <c r="B98" s="928"/>
      <c r="C98" s="928"/>
      <c r="D98" s="928"/>
      <c r="E98" s="928"/>
      <c r="F98" s="928"/>
      <c r="G98" s="928"/>
      <c r="H98" s="928"/>
      <c r="I98" s="928"/>
      <c r="J98" s="928"/>
      <c r="K98" s="929"/>
      <c r="L98" s="930"/>
      <c r="M98" s="928"/>
      <c r="N98" s="2717"/>
      <c r="O98" s="2717"/>
      <c r="P98" s="2717"/>
      <c r="Q98" s="2717"/>
      <c r="R98" s="2717"/>
      <c r="S98" s="2717"/>
      <c r="T98" s="2717"/>
      <c r="U98" s="2717"/>
      <c r="V98" s="2717"/>
      <c r="W98" s="2717"/>
      <c r="X98" s="2717"/>
      <c r="Y98" s="2717"/>
      <c r="Z98" s="2717"/>
      <c r="AA98" s="2717"/>
      <c r="AB98" s="2717"/>
      <c r="AC98" s="2717"/>
      <c r="AD98" s="2717"/>
    </row>
    <row r="99" spans="1:30">
      <c r="A99" s="928"/>
      <c r="B99" s="928"/>
      <c r="C99" s="928"/>
      <c r="D99" s="928"/>
      <c r="E99" s="928"/>
      <c r="F99" s="928"/>
      <c r="G99" s="928"/>
      <c r="H99" s="928"/>
      <c r="I99" s="928"/>
      <c r="J99" s="928"/>
      <c r="K99" s="929"/>
      <c r="L99" s="930"/>
      <c r="M99" s="928"/>
      <c r="N99" s="2717"/>
      <c r="O99" s="2717"/>
      <c r="P99" s="2717"/>
      <c r="Q99" s="2717"/>
      <c r="R99" s="2717"/>
      <c r="S99" s="2717"/>
      <c r="T99" s="2717"/>
      <c r="U99" s="2717"/>
      <c r="V99" s="2717"/>
      <c r="W99" s="2717"/>
      <c r="X99" s="2717"/>
      <c r="Y99" s="2717"/>
      <c r="Z99" s="2717"/>
      <c r="AA99" s="2717"/>
      <c r="AB99" s="2717"/>
      <c r="AC99" s="2717"/>
      <c r="AD99" s="2717"/>
    </row>
    <row r="100" spans="1:30">
      <c r="A100" s="928"/>
      <c r="B100" s="928"/>
      <c r="C100" s="928"/>
      <c r="D100" s="928"/>
      <c r="E100" s="928"/>
      <c r="F100" s="928"/>
      <c r="G100" s="928"/>
      <c r="H100" s="928"/>
      <c r="I100" s="928"/>
      <c r="J100" s="928"/>
      <c r="K100" s="929"/>
      <c r="L100" s="930"/>
      <c r="M100" s="928"/>
      <c r="N100" s="2717"/>
      <c r="O100" s="2717"/>
      <c r="P100" s="2717"/>
      <c r="Q100" s="2717"/>
      <c r="R100" s="2717"/>
      <c r="S100" s="2717"/>
      <c r="T100" s="2717"/>
      <c r="U100" s="2717"/>
      <c r="V100" s="2717"/>
      <c r="W100" s="2717"/>
      <c r="X100" s="2717"/>
      <c r="Y100" s="2717"/>
      <c r="Z100" s="2717"/>
      <c r="AA100" s="2717"/>
      <c r="AB100" s="2717"/>
      <c r="AC100" s="2717"/>
      <c r="AD100" s="2717"/>
    </row>
    <row r="101" spans="1:30">
      <c r="A101" s="928"/>
      <c r="B101" s="928"/>
      <c r="C101" s="928"/>
      <c r="D101" s="928"/>
      <c r="E101" s="928"/>
      <c r="F101" s="928"/>
      <c r="G101" s="928"/>
      <c r="H101" s="928"/>
      <c r="I101" s="928"/>
      <c r="J101" s="928"/>
      <c r="K101" s="929"/>
      <c r="L101" s="930"/>
      <c r="M101" s="928"/>
      <c r="N101" s="2717"/>
      <c r="O101" s="2717"/>
      <c r="P101" s="2717"/>
      <c r="Q101" s="2717"/>
      <c r="R101" s="2717"/>
      <c r="S101" s="2717"/>
      <c r="T101" s="2717"/>
      <c r="U101" s="2717"/>
      <c r="V101" s="2717"/>
      <c r="W101" s="2717"/>
      <c r="X101" s="2717"/>
      <c r="Y101" s="2717"/>
      <c r="Z101" s="2717"/>
      <c r="AA101" s="2717"/>
      <c r="AB101" s="2717"/>
      <c r="AC101" s="2717"/>
      <c r="AD101" s="2717"/>
    </row>
    <row r="102" spans="1:30">
      <c r="A102" s="928"/>
      <c r="B102" s="928"/>
      <c r="C102" s="928"/>
      <c r="D102" s="928"/>
      <c r="E102" s="928"/>
      <c r="F102" s="928"/>
      <c r="G102" s="928"/>
      <c r="H102" s="928"/>
      <c r="I102" s="928"/>
      <c r="J102" s="928"/>
      <c r="K102" s="929"/>
      <c r="L102" s="930"/>
      <c r="M102" s="928"/>
      <c r="N102" s="2717"/>
      <c r="O102" s="2717"/>
      <c r="P102" s="2717"/>
      <c r="Q102" s="2717"/>
      <c r="R102" s="2717"/>
      <c r="S102" s="2717"/>
      <c r="T102" s="2717"/>
      <c r="U102" s="2717"/>
      <c r="V102" s="2717"/>
      <c r="W102" s="2717"/>
      <c r="X102" s="2717"/>
      <c r="Y102" s="2717"/>
      <c r="Z102" s="2717"/>
      <c r="AA102" s="2717"/>
      <c r="AB102" s="2717"/>
      <c r="AC102" s="2717"/>
      <c r="AD102" s="2717"/>
    </row>
    <row r="103" spans="1:30">
      <c r="A103" s="928"/>
      <c r="B103" s="928"/>
      <c r="C103" s="928"/>
      <c r="D103" s="928"/>
      <c r="E103" s="928"/>
      <c r="F103" s="928"/>
      <c r="G103" s="928"/>
      <c r="H103" s="928"/>
      <c r="I103" s="928"/>
      <c r="J103" s="928"/>
      <c r="K103" s="929"/>
      <c r="L103" s="930"/>
      <c r="M103" s="928"/>
      <c r="N103" s="928"/>
      <c r="O103" s="928"/>
      <c r="P103" s="2717"/>
      <c r="Q103" s="2717"/>
      <c r="R103" s="2717"/>
      <c r="S103" s="2717"/>
      <c r="T103" s="2717"/>
      <c r="U103" s="2717"/>
      <c r="V103" s="2717"/>
      <c r="W103" s="2717"/>
      <c r="X103" s="2717"/>
      <c r="Y103" s="2717"/>
      <c r="Z103" s="2717"/>
      <c r="AA103" s="2717"/>
      <c r="AB103" s="2717"/>
      <c r="AC103" s="2717"/>
      <c r="AD103" s="2717"/>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5" priority="18" stopIfTrue="1" operator="containsText" text="超过">
      <formula>NOT(ISERROR(SEARCH("超过",F40)))</formula>
    </cfRule>
  </conditionalFormatting>
  <conditionalFormatting sqref="J42">
    <cfRule type="containsText" dxfId="74" priority="17" stopIfTrue="1" operator="containsText" text="超过">
      <formula>NOT(ISERROR(SEARCH("超过",J42)))</formula>
    </cfRule>
  </conditionalFormatting>
  <conditionalFormatting sqref="H42">
    <cfRule type="containsText" dxfId="73" priority="16" stopIfTrue="1" operator="containsText" text="超过">
      <formula>NOT(ISERROR(SEARCH("超过",H42)))</formula>
    </cfRule>
  </conditionalFormatting>
  <conditionalFormatting sqref="F42">
    <cfRule type="containsText" dxfId="72" priority="15" stopIfTrue="1" operator="containsText" text="超过">
      <formula>NOT(ISERROR(SEARCH("超过",F42)))</formula>
    </cfRule>
  </conditionalFormatting>
  <conditionalFormatting sqref="F41 H41 J41">
    <cfRule type="containsText" dxfId="71" priority="14" stopIfTrue="1" operator="containsText" text="超过">
      <formula>NOT(ISERROR(SEARCH("超过",F41)))</formula>
    </cfRule>
  </conditionalFormatting>
  <conditionalFormatting sqref="E40">
    <cfRule type="expression" dxfId="70" priority="13" stopIfTrue="1">
      <formula>$F$40="超过30%"</formula>
    </cfRule>
  </conditionalFormatting>
  <conditionalFormatting sqref="G42">
    <cfRule type="expression" dxfId="69" priority="12" stopIfTrue="1">
      <formula>$H$54+$H$42="超过30%"</formula>
    </cfRule>
  </conditionalFormatting>
  <conditionalFormatting sqref="E41">
    <cfRule type="expression" dxfId="68" priority="11" stopIfTrue="1">
      <formula>$F$41="超过20%"</formula>
    </cfRule>
  </conditionalFormatting>
  <conditionalFormatting sqref="E42">
    <cfRule type="expression" dxfId="67" priority="10" stopIfTrue="1">
      <formula>$F$42="超过30%"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F7:F34 H7:H34 J7:J34">
    <cfRule type="cellIs" dxfId="5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t="e">
        <f>F65</f>
        <v>#DIV/0!</v>
      </c>
      <c r="C2" s="899"/>
      <c r="D2" s="899"/>
      <c r="E2" s="900"/>
      <c r="F2" s="901"/>
      <c r="G2" s="900"/>
      <c r="H2" s="900"/>
      <c r="I2" s="900"/>
      <c r="J2" s="900"/>
      <c r="K2" s="902"/>
      <c r="L2" s="2726"/>
      <c r="M2" s="2727"/>
      <c r="N2" s="2727"/>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t="e">
        <f>ROUND(IF(D3="",B2*10000/'数据-汇总表'!E3,B2*10000/D3),0)</f>
        <v>#DIV/0!</v>
      </c>
      <c r="C3" s="200" t="s">
        <v>1869</v>
      </c>
      <c r="D3" s="1185"/>
      <c r="E3" s="900"/>
      <c r="F3" s="901"/>
      <c r="G3" s="900"/>
      <c r="H3" s="900"/>
      <c r="I3" s="900"/>
      <c r="J3" s="900"/>
      <c r="K3" s="902"/>
      <c r="L3" s="2726"/>
      <c r="M3" s="2727"/>
      <c r="N3" s="2727"/>
      <c r="O3" s="2727"/>
      <c r="P3" s="695"/>
      <c r="Q3" s="695"/>
      <c r="R3" s="695"/>
      <c r="S3" s="695"/>
      <c r="T3" s="695"/>
      <c r="U3" s="695"/>
      <c r="V3" s="695"/>
      <c r="W3" s="695"/>
      <c r="X3" s="695"/>
      <c r="Y3" s="695"/>
      <c r="Z3" s="695"/>
      <c r="AA3" s="695"/>
      <c r="AB3" s="712"/>
      <c r="AC3" s="709"/>
    </row>
    <row r="4" spans="1:30" ht="15">
      <c r="A4" s="352" t="s">
        <v>1769</v>
      </c>
      <c r="B4" s="353"/>
      <c r="C4" s="3762" t="s">
        <v>1770</v>
      </c>
      <c r="D4" s="3763"/>
      <c r="E4" s="3764" t="s">
        <v>1771</v>
      </c>
      <c r="F4" s="3765"/>
      <c r="G4" s="3762" t="s">
        <v>1772</v>
      </c>
      <c r="H4" s="3763"/>
      <c r="I4" s="3762" t="s">
        <v>1773</v>
      </c>
      <c r="J4" s="3763"/>
      <c r="K4" s="556" t="s">
        <v>1774</v>
      </c>
      <c r="L4" s="2707"/>
      <c r="M4" s="2708"/>
      <c r="N4" s="2708"/>
      <c r="O4" s="2708"/>
      <c r="P4" s="3828" t="s">
        <v>1775</v>
      </c>
      <c r="Q4" s="3829"/>
      <c r="R4" s="3832" t="s">
        <v>1771</v>
      </c>
      <c r="S4" s="3833"/>
      <c r="T4" s="3832" t="s">
        <v>1772</v>
      </c>
      <c r="U4" s="3833"/>
      <c r="V4" s="3779" t="s">
        <v>1773</v>
      </c>
      <c r="W4" s="3779"/>
      <c r="X4" s="1347"/>
      <c r="Y4" s="3832" t="s">
        <v>1775</v>
      </c>
      <c r="Z4" s="3833"/>
      <c r="AA4" s="3827" t="s">
        <v>1771</v>
      </c>
      <c r="AB4" s="3791" t="s">
        <v>1772</v>
      </c>
      <c r="AC4" s="3827" t="s">
        <v>1773</v>
      </c>
    </row>
    <row r="5" spans="1:30" ht="15">
      <c r="A5" s="355"/>
      <c r="B5" s="356"/>
      <c r="C5" s="3782" t="s">
        <v>1673</v>
      </c>
      <c r="D5" s="3783"/>
      <c r="E5" s="3793" t="s">
        <v>1674</v>
      </c>
      <c r="F5" s="3794"/>
      <c r="G5" s="3782" t="s">
        <v>1675</v>
      </c>
      <c r="H5" s="3783"/>
      <c r="I5" s="3782" t="s">
        <v>1676</v>
      </c>
      <c r="J5" s="3783"/>
      <c r="K5" s="556"/>
      <c r="L5" s="2707"/>
      <c r="M5" s="2708"/>
      <c r="N5" s="2708"/>
      <c r="O5" s="2708"/>
      <c r="P5" s="3830"/>
      <c r="Q5" s="3769"/>
      <c r="R5" s="3774"/>
      <c r="S5" s="3775"/>
      <c r="T5" s="3774"/>
      <c r="U5" s="3775"/>
      <c r="V5" s="3779"/>
      <c r="W5" s="3779"/>
      <c r="X5" s="1347"/>
      <c r="Y5" s="3774"/>
      <c r="Z5" s="3775"/>
      <c r="AA5" s="3791"/>
      <c r="AB5" s="3791"/>
      <c r="AC5" s="3791"/>
    </row>
    <row r="6" spans="1:30" ht="15.75" thickBot="1">
      <c r="A6" s="357"/>
      <c r="B6" s="358"/>
      <c r="C6" s="3780" t="s">
        <v>1677</v>
      </c>
      <c r="D6" s="3781"/>
      <c r="E6" s="3788" t="s">
        <v>1677</v>
      </c>
      <c r="F6" s="3789"/>
      <c r="G6" s="3780" t="s">
        <v>1677</v>
      </c>
      <c r="H6" s="3781"/>
      <c r="I6" s="3780" t="s">
        <v>1677</v>
      </c>
      <c r="J6" s="3781"/>
      <c r="K6" s="556" t="s">
        <v>1678</v>
      </c>
      <c r="L6" s="2707"/>
      <c r="M6" s="2708"/>
      <c r="N6" s="2708"/>
      <c r="O6" s="2708"/>
      <c r="P6" s="3831"/>
      <c r="Q6" s="3771"/>
      <c r="R6" s="3774"/>
      <c r="S6" s="3775"/>
      <c r="T6" s="3776"/>
      <c r="U6" s="3777"/>
      <c r="V6" s="3779"/>
      <c r="W6" s="3779"/>
      <c r="X6" s="1347"/>
      <c r="Y6" s="3776"/>
      <c r="Z6" s="3777"/>
      <c r="AA6" s="3792"/>
      <c r="AB6" s="3792"/>
      <c r="AC6" s="3792"/>
    </row>
    <row r="7" spans="1:30" s="108" customFormat="1" ht="15.75" thickBot="1">
      <c r="A7" s="359" t="s">
        <v>1679</v>
      </c>
      <c r="B7" s="360"/>
      <c r="C7" s="361">
        <f>'数据-取费表'!B2</f>
        <v>45401</v>
      </c>
      <c r="D7" s="362">
        <v>100</v>
      </c>
      <c r="E7" s="363"/>
      <c r="F7" s="364">
        <f>SUMIF(69:69,YEAR(E7)&amp;"-"&amp;INT((MONTH(E7)+2)/3),70:70)</f>
        <v>0</v>
      </c>
      <c r="G7" s="1966"/>
      <c r="H7" s="362">
        <f>SUMIF(69:69,YEAR(G7)&amp;"-"&amp;INT((MONTH(G7)+2)/3),70:70)</f>
        <v>0</v>
      </c>
      <c r="I7" s="1966"/>
      <c r="J7" s="362">
        <f>SUMIF(69:69,YEAR(I7)&amp;"-"&amp;INT((MONTH(I7)+2)/3),70:70)</f>
        <v>0</v>
      </c>
      <c r="K7" s="557"/>
      <c r="L7" s="2709"/>
      <c r="M7" s="2710"/>
      <c r="N7" s="2710"/>
      <c r="O7" s="2710"/>
      <c r="P7" s="3786" t="s">
        <v>1680</v>
      </c>
      <c r="Q7" s="3787"/>
      <c r="R7" s="697" t="s">
        <v>14</v>
      </c>
      <c r="S7" s="698">
        <f t="shared" ref="S7:S15" si="0">F7</f>
        <v>0</v>
      </c>
      <c r="T7" s="697" t="s">
        <v>14</v>
      </c>
      <c r="U7" s="698">
        <f t="shared" ref="U7:U15" si="1">H7</f>
        <v>0</v>
      </c>
      <c r="V7" s="697" t="s">
        <v>14</v>
      </c>
      <c r="W7" s="698">
        <f t="shared" ref="W7:W15" si="2">J7</f>
        <v>0</v>
      </c>
      <c r="X7" s="699"/>
      <c r="Y7" s="3786" t="s">
        <v>1680</v>
      </c>
      <c r="Z7" s="3785"/>
      <c r="AA7" s="700" t="e">
        <f>D7/F7</f>
        <v>#DIV/0!</v>
      </c>
      <c r="AB7" s="700" t="e">
        <f>D7/H7</f>
        <v>#DIV/0!</v>
      </c>
      <c r="AC7" s="700" t="e">
        <f>D7/J7</f>
        <v>#DIV/0!</v>
      </c>
    </row>
    <row r="8" spans="1:30" s="108"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09"/>
      <c r="M8" s="2710"/>
      <c r="N8" s="2710"/>
      <c r="O8" s="2710"/>
      <c r="P8" s="3786" t="s">
        <v>1683</v>
      </c>
      <c r="Q8" s="3785"/>
      <c r="R8" s="697" t="s">
        <v>14</v>
      </c>
      <c r="S8" s="698">
        <f t="shared" si="0"/>
        <v>0</v>
      </c>
      <c r="T8" s="697" t="s">
        <v>14</v>
      </c>
      <c r="U8" s="698">
        <f t="shared" si="1"/>
        <v>0</v>
      </c>
      <c r="V8" s="697" t="s">
        <v>14</v>
      </c>
      <c r="W8" s="698">
        <f t="shared" si="2"/>
        <v>0</v>
      </c>
      <c r="X8" s="699"/>
      <c r="Y8" s="3786" t="s">
        <v>1683</v>
      </c>
      <c r="Z8" s="3785"/>
      <c r="AA8" s="700" t="e">
        <f t="shared" ref="AA8:AA45" si="3">D8/F8</f>
        <v>#DIV/0!</v>
      </c>
      <c r="AB8" s="700" t="e">
        <f t="shared" ref="AB8:AB45" si="4">D8/H8</f>
        <v>#DIV/0!</v>
      </c>
      <c r="AC8" s="700" t="e">
        <f t="shared" ref="AC8:AC45" si="5">D8/J8</f>
        <v>#DIV/0!</v>
      </c>
    </row>
    <row r="9" spans="1:30" s="108" customFormat="1">
      <c r="A9" s="366" t="s">
        <v>1684</v>
      </c>
      <c r="B9" s="63" t="s">
        <v>1685</v>
      </c>
      <c r="C9" s="1969"/>
      <c r="D9" s="123">
        <v>100</v>
      </c>
      <c r="E9" s="1969"/>
      <c r="F9" s="123">
        <f>SUMIF(74:74,E9,75:75)-SUMIF(74:74,C9,75:75)+100</f>
        <v>100</v>
      </c>
      <c r="G9" s="1969"/>
      <c r="H9" s="123">
        <f>SUMIF(74:74,G9,75:75)-SUMIF(74:74,C9,75:75)+100</f>
        <v>100</v>
      </c>
      <c r="I9" s="1969"/>
      <c r="J9" s="123">
        <f>SUMIF(74:74,I9,75:75)-SUMIF(74:74,C9,75:75)+100</f>
        <v>100</v>
      </c>
      <c r="K9" s="557"/>
      <c r="L9" s="2709"/>
      <c r="M9" s="2710"/>
      <c r="N9" s="2710"/>
      <c r="O9" s="2764"/>
      <c r="P9" s="3745" t="s">
        <v>1686</v>
      </c>
      <c r="Q9" s="1335" t="str">
        <f t="shared" ref="Q9:Q15" si="6">B9</f>
        <v>用途</v>
      </c>
      <c r="R9" s="697" t="s">
        <v>14</v>
      </c>
      <c r="S9" s="698">
        <f t="shared" si="0"/>
        <v>100</v>
      </c>
      <c r="T9" s="697" t="s">
        <v>14</v>
      </c>
      <c r="U9" s="698">
        <f t="shared" si="1"/>
        <v>100</v>
      </c>
      <c r="V9" s="697" t="s">
        <v>14</v>
      </c>
      <c r="W9" s="698">
        <f t="shared" si="2"/>
        <v>100</v>
      </c>
      <c r="X9" s="699"/>
      <c r="Y9" s="3651" t="s">
        <v>1687</v>
      </c>
      <c r="Z9" s="52" t="str">
        <f t="shared" ref="Z9:Z15" si="7">Q9</f>
        <v>用途</v>
      </c>
      <c r="AA9" s="700">
        <f t="shared" si="3"/>
        <v>1</v>
      </c>
      <c r="AB9" s="700">
        <f t="shared" si="4"/>
        <v>1</v>
      </c>
      <c r="AC9" s="700">
        <f t="shared" si="5"/>
        <v>1</v>
      </c>
    </row>
    <row r="10" spans="1:30" s="375" customFormat="1" ht="27">
      <c r="A10" s="371"/>
      <c r="B10" s="372" t="s">
        <v>1688</v>
      </c>
      <c r="C10" s="380"/>
      <c r="D10" s="124">
        <v>100</v>
      </c>
      <c r="E10" s="413"/>
      <c r="F10" s="124">
        <f>ROUND(100/'数据-取费表'!G16,0)</f>
        <v>105</v>
      </c>
      <c r="G10" s="411"/>
      <c r="H10" s="124">
        <f>ROUND(100/'数据-取费表'!G16,0)</f>
        <v>105</v>
      </c>
      <c r="I10" s="411"/>
      <c r="J10" s="124">
        <f>ROUND(100/'数据-取费表'!G16,0)</f>
        <v>105</v>
      </c>
      <c r="K10" s="617"/>
      <c r="L10" s="2711"/>
      <c r="M10" s="2712"/>
      <c r="N10" s="2712"/>
      <c r="O10" s="2765"/>
      <c r="P10" s="3745"/>
      <c r="Q10" s="1335" t="str">
        <f t="shared" si="6"/>
        <v>土地使用年限（年）</v>
      </c>
      <c r="R10" s="697" t="s">
        <v>14</v>
      </c>
      <c r="S10" s="698">
        <f t="shared" si="0"/>
        <v>105</v>
      </c>
      <c r="T10" s="697" t="s">
        <v>14</v>
      </c>
      <c r="U10" s="698">
        <f t="shared" si="1"/>
        <v>105</v>
      </c>
      <c r="V10" s="697" t="s">
        <v>14</v>
      </c>
      <c r="W10" s="698">
        <f t="shared" si="2"/>
        <v>105</v>
      </c>
      <c r="X10" s="699"/>
      <c r="Y10" s="3651"/>
      <c r="Z10" s="52" t="str">
        <f t="shared" si="7"/>
        <v>土地使用年限（年）</v>
      </c>
      <c r="AA10" s="700">
        <f t="shared" si="3"/>
        <v>0.95238095238095233</v>
      </c>
      <c r="AB10" s="700">
        <f t="shared" si="4"/>
        <v>0.95238095238095233</v>
      </c>
      <c r="AC10" s="700">
        <f t="shared" si="5"/>
        <v>0.95238095238095233</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3"/>
      <c r="M11" s="2708"/>
      <c r="N11" s="2708"/>
      <c r="O11" s="2766"/>
      <c r="P11" s="3745"/>
      <c r="Q11" s="1335" t="str">
        <f t="shared" si="6"/>
        <v>容积率</v>
      </c>
      <c r="R11" s="697" t="s">
        <v>14</v>
      </c>
      <c r="S11" s="698" t="e">
        <f t="shared" si="0"/>
        <v>#N/A</v>
      </c>
      <c r="T11" s="697" t="s">
        <v>14</v>
      </c>
      <c r="U11" s="698" t="e">
        <f t="shared" si="1"/>
        <v>#N/A</v>
      </c>
      <c r="V11" s="697" t="s">
        <v>14</v>
      </c>
      <c r="W11" s="698" t="e">
        <f t="shared" si="2"/>
        <v>#N/A</v>
      </c>
      <c r="X11" s="699"/>
      <c r="Y11" s="3651"/>
      <c r="Z11" s="52" t="str">
        <f t="shared" si="7"/>
        <v>容积率</v>
      </c>
      <c r="AA11" s="700" t="e">
        <f t="shared" si="3"/>
        <v>#N/A</v>
      </c>
      <c r="AB11" s="700" t="e">
        <f t="shared" si="4"/>
        <v>#N/A</v>
      </c>
      <c r="AC11" s="700" t="e">
        <f t="shared" si="5"/>
        <v>#N/A</v>
      </c>
    </row>
    <row r="12" spans="1:30" s="108" customFormat="1" ht="15">
      <c r="A12" s="379"/>
      <c r="B12" s="1885" t="s">
        <v>1870</v>
      </c>
      <c r="C12" s="380"/>
      <c r="D12" s="381">
        <v>100</v>
      </c>
      <c r="E12" s="413"/>
      <c r="F12" s="124">
        <f>SUMIF(81:81,E12,82:82)-SUMIF(81:81,C12,82:82)+100</f>
        <v>100</v>
      </c>
      <c r="G12" s="411"/>
      <c r="H12" s="124">
        <f>SUMIF(81:81,G12,82:82)-SUMIF(81:81,C12,82:82)+100</f>
        <v>100</v>
      </c>
      <c r="I12" s="413"/>
      <c r="J12" s="124">
        <f>SUMIF(81:81,I12,82:82)-SUMIF(81:81,C12,82:82)+100</f>
        <v>100</v>
      </c>
      <c r="K12" s="617"/>
      <c r="L12" s="2709"/>
      <c r="M12" s="2710"/>
      <c r="N12" s="2710"/>
      <c r="O12" s="2764"/>
      <c r="P12" s="3745"/>
      <c r="Q12" s="1335" t="str">
        <f t="shared" si="6"/>
        <v>配建</v>
      </c>
      <c r="R12" s="697" t="s">
        <v>14</v>
      </c>
      <c r="S12" s="698">
        <f t="shared" si="0"/>
        <v>100</v>
      </c>
      <c r="T12" s="697" t="s">
        <v>14</v>
      </c>
      <c r="U12" s="698">
        <f t="shared" si="1"/>
        <v>100</v>
      </c>
      <c r="V12" s="697" t="s">
        <v>14</v>
      </c>
      <c r="W12" s="698">
        <f t="shared" si="2"/>
        <v>100</v>
      </c>
      <c r="X12" s="699"/>
      <c r="Y12" s="3651"/>
      <c r="Z12" s="52" t="str">
        <f t="shared" si="7"/>
        <v>配建</v>
      </c>
      <c r="AA12" s="700">
        <f>D12/F12</f>
        <v>1</v>
      </c>
      <c r="AB12" s="700">
        <f>D12/H12</f>
        <v>1</v>
      </c>
      <c r="AC12" s="700">
        <f>D12/J12</f>
        <v>1</v>
      </c>
    </row>
    <row r="13" spans="1:30" ht="15">
      <c r="A13" s="376"/>
      <c r="B13" s="1885">
        <v>111</v>
      </c>
      <c r="C13" s="382"/>
      <c r="D13" s="383">
        <v>100</v>
      </c>
      <c r="E13" s="495"/>
      <c r="F13" s="124">
        <f>SUMIF(83:83,E13,84:84)-SUMIF(83:83,C13,84:84)+100</f>
        <v>100</v>
      </c>
      <c r="G13" s="619"/>
      <c r="H13" s="383">
        <f>SUMIF(83:83,G13,84:84)-SUMIF(83:83,C13,84:84)+100</f>
        <v>100</v>
      </c>
      <c r="I13" s="619"/>
      <c r="J13" s="383">
        <f>SUMIF(83:83,I13,84:84)-SUMIF(83:83,C13,84:84)+100</f>
        <v>100</v>
      </c>
      <c r="K13" s="617"/>
      <c r="L13" s="2714"/>
      <c r="M13" s="2708"/>
      <c r="N13" s="2708"/>
      <c r="O13" s="2766"/>
      <c r="P13" s="3745"/>
      <c r="Q13" s="1335">
        <f t="shared" si="6"/>
        <v>111</v>
      </c>
      <c r="R13" s="697" t="s">
        <v>14</v>
      </c>
      <c r="S13" s="698">
        <f t="shared" si="0"/>
        <v>100</v>
      </c>
      <c r="T13" s="697" t="s">
        <v>14</v>
      </c>
      <c r="U13" s="698">
        <f t="shared" si="1"/>
        <v>100</v>
      </c>
      <c r="V13" s="697" t="s">
        <v>14</v>
      </c>
      <c r="W13" s="698">
        <f t="shared" si="2"/>
        <v>100</v>
      </c>
      <c r="X13" s="699"/>
      <c r="Y13" s="3651"/>
      <c r="Z13" s="52">
        <f t="shared" si="7"/>
        <v>111</v>
      </c>
      <c r="AA13" s="700">
        <f>D13/F13</f>
        <v>1</v>
      </c>
      <c r="AB13" s="700">
        <f>D13/H13</f>
        <v>1</v>
      </c>
      <c r="AC13" s="700">
        <f>D13/J13</f>
        <v>1</v>
      </c>
    </row>
    <row r="14" spans="1:30" ht="15.75" thickBot="1">
      <c r="A14" s="384"/>
      <c r="B14" s="1887">
        <v>111</v>
      </c>
      <c r="C14" s="385"/>
      <c r="D14" s="386">
        <v>100</v>
      </c>
      <c r="E14" s="495"/>
      <c r="F14" s="386">
        <f>SUMIF(85:85,E14,86:86)-SUMIF(85:85,C14,86:86)+100</f>
        <v>100</v>
      </c>
      <c r="G14" s="619"/>
      <c r="H14" s="386">
        <f>SUMIF(85:85,G14,86:86)-SUMIF(85:85,C14,86:86)+100</f>
        <v>100</v>
      </c>
      <c r="I14" s="619"/>
      <c r="J14" s="386">
        <f>SUMIF(85:85,I14,86:86)-SUMIF(85:85,C14,86:86)+100</f>
        <v>100</v>
      </c>
      <c r="K14" s="617"/>
      <c r="L14" s="2714"/>
      <c r="M14" s="2708"/>
      <c r="N14" s="2708"/>
      <c r="O14" s="2766"/>
      <c r="P14" s="3745"/>
      <c r="Q14" s="1335">
        <f t="shared" si="6"/>
        <v>111</v>
      </c>
      <c r="R14" s="697" t="s">
        <v>14</v>
      </c>
      <c r="S14" s="698">
        <f t="shared" si="0"/>
        <v>100</v>
      </c>
      <c r="T14" s="697" t="s">
        <v>14</v>
      </c>
      <c r="U14" s="698">
        <f t="shared" si="1"/>
        <v>100</v>
      </c>
      <c r="V14" s="697" t="s">
        <v>14</v>
      </c>
      <c r="W14" s="698">
        <f t="shared" si="2"/>
        <v>100</v>
      </c>
      <c r="X14" s="699"/>
      <c r="Y14" s="3651"/>
      <c r="Z14" s="52">
        <f t="shared" si="7"/>
        <v>111</v>
      </c>
      <c r="AA14" s="700">
        <f>D14/F14</f>
        <v>1</v>
      </c>
      <c r="AB14" s="700">
        <f>D14/H14</f>
        <v>1</v>
      </c>
      <c r="AC14" s="700">
        <f>D14/J14</f>
        <v>1</v>
      </c>
    </row>
    <row r="15" spans="1:30" ht="99.75">
      <c r="A15" s="388" t="s">
        <v>1690</v>
      </c>
      <c r="B15" s="61" t="s">
        <v>1257</v>
      </c>
      <c r="C15" s="1888"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4"/>
      <c r="M15" s="2708"/>
      <c r="N15" s="2708"/>
      <c r="O15" s="2766"/>
      <c r="P15" s="3752" t="s">
        <v>1691</v>
      </c>
      <c r="Q15" s="1344" t="str">
        <f t="shared" si="6"/>
        <v>居住社区成熟度</v>
      </c>
      <c r="R15" s="701" t="s">
        <v>14</v>
      </c>
      <c r="S15" s="702">
        <f t="shared" si="0"/>
        <v>100</v>
      </c>
      <c r="T15" s="701" t="s">
        <v>14</v>
      </c>
      <c r="U15" s="702">
        <f t="shared" si="1"/>
        <v>100</v>
      </c>
      <c r="V15" s="701" t="s">
        <v>14</v>
      </c>
      <c r="W15" s="702">
        <f t="shared" si="2"/>
        <v>100</v>
      </c>
      <c r="X15" s="1347"/>
      <c r="Y15" s="3752" t="s">
        <v>1691</v>
      </c>
      <c r="Z15" s="1348" t="str">
        <f t="shared" si="7"/>
        <v>居住社区成熟度</v>
      </c>
      <c r="AA15" s="1345">
        <f t="shared" si="3"/>
        <v>1</v>
      </c>
      <c r="AB15" s="1345">
        <f t="shared" si="4"/>
        <v>1</v>
      </c>
      <c r="AC15" s="1345">
        <f t="shared" si="5"/>
        <v>1</v>
      </c>
    </row>
    <row r="16" spans="1:30" ht="15">
      <c r="A16" s="376"/>
      <c r="B16" s="394"/>
      <c r="C16" s="395"/>
      <c r="D16" s="396"/>
      <c r="E16" s="1890"/>
      <c r="F16" s="396"/>
      <c r="G16" s="1890"/>
      <c r="H16" s="398"/>
      <c r="I16" s="1889"/>
      <c r="J16" s="396"/>
      <c r="K16" s="617"/>
      <c r="L16" s="2714"/>
      <c r="M16" s="2708"/>
      <c r="N16" s="2708"/>
      <c r="O16" s="2766"/>
      <c r="P16" s="3753"/>
      <c r="Q16" s="1344"/>
      <c r="R16" s="701"/>
      <c r="S16" s="702"/>
      <c r="T16" s="701"/>
      <c r="U16" s="702"/>
      <c r="V16" s="701"/>
      <c r="W16" s="702"/>
      <c r="X16" s="1347"/>
      <c r="Y16" s="3753"/>
      <c r="Z16" s="1348"/>
      <c r="AA16" s="1345">
        <v>1</v>
      </c>
      <c r="AB16" s="1345">
        <v>1</v>
      </c>
      <c r="AC16" s="1345">
        <v>1</v>
      </c>
    </row>
    <row r="17" spans="1:29" ht="71.25">
      <c r="A17" s="376"/>
      <c r="B17" s="399" t="s">
        <v>1777</v>
      </c>
      <c r="C17" s="1947"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4"/>
      <c r="M17" s="2708"/>
      <c r="N17" s="2708"/>
      <c r="O17" s="2766"/>
      <c r="P17" s="3753"/>
      <c r="Q17" s="1344" t="str">
        <f>B17</f>
        <v>商业繁华度</v>
      </c>
      <c r="R17" s="701" t="s">
        <v>14</v>
      </c>
      <c r="S17" s="702">
        <f>F17</f>
        <v>100</v>
      </c>
      <c r="T17" s="701" t="s">
        <v>14</v>
      </c>
      <c r="U17" s="702">
        <f>H17</f>
        <v>100</v>
      </c>
      <c r="V17" s="701" t="s">
        <v>14</v>
      </c>
      <c r="W17" s="702">
        <f>J17</f>
        <v>100</v>
      </c>
      <c r="X17" s="1347"/>
      <c r="Y17" s="3753"/>
      <c r="Z17" s="1348" t="str">
        <f>Q17</f>
        <v>商业繁华度</v>
      </c>
      <c r="AA17" s="1345">
        <f t="shared" si="3"/>
        <v>1</v>
      </c>
      <c r="AB17" s="1345">
        <f t="shared" si="4"/>
        <v>1</v>
      </c>
      <c r="AC17" s="1345">
        <f t="shared" si="5"/>
        <v>1</v>
      </c>
    </row>
    <row r="18" spans="1:29" ht="15">
      <c r="A18" s="376"/>
      <c r="B18" s="404"/>
      <c r="C18" s="1893"/>
      <c r="D18" s="398"/>
      <c r="E18" s="1895"/>
      <c r="F18" s="398"/>
      <c r="G18" s="1895"/>
      <c r="H18" s="396"/>
      <c r="I18" s="1894"/>
      <c r="J18" s="396"/>
      <c r="K18" s="617"/>
      <c r="L18" s="2714"/>
      <c r="M18" s="2708"/>
      <c r="N18" s="2708"/>
      <c r="O18" s="2766"/>
      <c r="P18" s="3753"/>
      <c r="Q18" s="1344"/>
      <c r="R18" s="701"/>
      <c r="S18" s="702"/>
      <c r="T18" s="701"/>
      <c r="U18" s="702"/>
      <c r="V18" s="701"/>
      <c r="W18" s="702"/>
      <c r="X18" s="1347"/>
      <c r="Y18" s="3753"/>
      <c r="Z18" s="1348"/>
      <c r="AA18" s="1345">
        <v>1</v>
      </c>
      <c r="AB18" s="1345">
        <v>1</v>
      </c>
      <c r="AC18" s="1345">
        <v>1</v>
      </c>
    </row>
    <row r="19" spans="1:29" ht="71.25">
      <c r="A19" s="376"/>
      <c r="B19" s="399" t="s">
        <v>1811</v>
      </c>
      <c r="C19" s="1947"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4"/>
      <c r="M19" s="2708"/>
      <c r="N19" s="2708"/>
      <c r="O19" s="2766"/>
      <c r="P19" s="3753"/>
      <c r="Q19" s="1344" t="str">
        <f>B19</f>
        <v>办公集聚程度</v>
      </c>
      <c r="R19" s="701" t="s">
        <v>14</v>
      </c>
      <c r="S19" s="702">
        <f>F19</f>
        <v>100</v>
      </c>
      <c r="T19" s="701" t="s">
        <v>14</v>
      </c>
      <c r="U19" s="702">
        <f>H19</f>
        <v>100</v>
      </c>
      <c r="V19" s="701" t="s">
        <v>14</v>
      </c>
      <c r="W19" s="702">
        <f>J19</f>
        <v>100</v>
      </c>
      <c r="X19" s="1347"/>
      <c r="Y19" s="3753"/>
      <c r="Z19" s="1348" t="str">
        <f>Q19</f>
        <v>办公集聚程度</v>
      </c>
      <c r="AA19" s="1345">
        <f t="shared" si="3"/>
        <v>1</v>
      </c>
      <c r="AB19" s="1345">
        <f t="shared" si="4"/>
        <v>1</v>
      </c>
      <c r="AC19" s="1345">
        <f t="shared" si="5"/>
        <v>1</v>
      </c>
    </row>
    <row r="20" spans="1:29" ht="15">
      <c r="A20" s="376"/>
      <c r="B20" s="404"/>
      <c r="C20" s="395"/>
      <c r="D20" s="396"/>
      <c r="E20" s="1890"/>
      <c r="F20" s="396"/>
      <c r="G20" s="1890"/>
      <c r="H20" s="396"/>
      <c r="I20" s="1889"/>
      <c r="J20" s="396"/>
      <c r="K20" s="617"/>
      <c r="L20" s="2714"/>
      <c r="M20" s="2708"/>
      <c r="N20" s="2708"/>
      <c r="O20" s="2766"/>
      <c r="P20" s="3753"/>
      <c r="Q20" s="1344"/>
      <c r="R20" s="701"/>
      <c r="S20" s="702"/>
      <c r="T20" s="701"/>
      <c r="U20" s="702"/>
      <c r="V20" s="701"/>
      <c r="W20" s="702"/>
      <c r="X20" s="1347"/>
      <c r="Y20" s="3753"/>
      <c r="Z20" s="1348"/>
      <c r="AA20" s="1345">
        <v>1</v>
      </c>
      <c r="AB20" s="1345">
        <v>1</v>
      </c>
      <c r="AC20" s="1345">
        <v>1</v>
      </c>
    </row>
    <row r="21" spans="1:29" ht="85.5">
      <c r="A21" s="376"/>
      <c r="B21" s="399" t="s">
        <v>1833</v>
      </c>
      <c r="C21" s="1892"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4"/>
      <c r="M21" s="2708"/>
      <c r="N21" s="2708"/>
      <c r="O21" s="2766"/>
      <c r="P21" s="3753"/>
      <c r="Q21" s="1344" t="str">
        <f>B21</f>
        <v>交通便捷度</v>
      </c>
      <c r="R21" s="701" t="s">
        <v>14</v>
      </c>
      <c r="S21" s="702">
        <f>F21</f>
        <v>100</v>
      </c>
      <c r="T21" s="701" t="s">
        <v>14</v>
      </c>
      <c r="U21" s="702">
        <f>H21</f>
        <v>100</v>
      </c>
      <c r="V21" s="701" t="s">
        <v>14</v>
      </c>
      <c r="W21" s="702">
        <f>J21</f>
        <v>100</v>
      </c>
      <c r="X21" s="1347"/>
      <c r="Y21" s="3753"/>
      <c r="Z21" s="1348" t="str">
        <f>Q21</f>
        <v>交通便捷度</v>
      </c>
      <c r="AA21" s="1345">
        <f t="shared" si="3"/>
        <v>1</v>
      </c>
      <c r="AB21" s="1345">
        <f t="shared" si="4"/>
        <v>1</v>
      </c>
      <c r="AC21" s="1345">
        <f t="shared" si="5"/>
        <v>1</v>
      </c>
    </row>
    <row r="22" spans="1:29" ht="15">
      <c r="A22" s="376"/>
      <c r="B22" s="1123"/>
      <c r="C22" s="395"/>
      <c r="D22" s="398"/>
      <c r="E22" s="1890"/>
      <c r="F22" s="396"/>
      <c r="G22" s="1890"/>
      <c r="H22" s="396"/>
      <c r="I22" s="1889"/>
      <c r="J22" s="396"/>
      <c r="K22" s="617"/>
      <c r="L22" s="2714"/>
      <c r="M22" s="2708"/>
      <c r="N22" s="2708"/>
      <c r="O22" s="2766"/>
      <c r="P22" s="3753"/>
      <c r="Q22" s="1344"/>
      <c r="R22" s="701"/>
      <c r="S22" s="702"/>
      <c r="T22" s="701"/>
      <c r="U22" s="702"/>
      <c r="V22" s="701"/>
      <c r="W22" s="702"/>
      <c r="X22" s="1347"/>
      <c r="Y22" s="3753"/>
      <c r="Z22" s="1348"/>
      <c r="AA22" s="1345">
        <v>1</v>
      </c>
      <c r="AB22" s="1345">
        <v>1</v>
      </c>
      <c r="AC22" s="1345">
        <v>1</v>
      </c>
    </row>
    <row r="23" spans="1:29" ht="15">
      <c r="A23" s="355"/>
      <c r="B23" s="399" t="s">
        <v>1871</v>
      </c>
      <c r="C23" s="1128">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4"/>
      <c r="M23" s="2708"/>
      <c r="N23" s="2708"/>
      <c r="O23" s="2766"/>
      <c r="P23" s="3753"/>
      <c r="Q23" s="1344" t="str">
        <f t="shared" ref="Q23:Q37" si="8">B23</f>
        <v>区域土地利用方向</v>
      </c>
      <c r="R23" s="701" t="s">
        <v>14</v>
      </c>
      <c r="S23" s="702">
        <f>F23</f>
        <v>100</v>
      </c>
      <c r="T23" s="701" t="s">
        <v>14</v>
      </c>
      <c r="U23" s="702">
        <f>H23</f>
        <v>100</v>
      </c>
      <c r="V23" s="701" t="s">
        <v>14</v>
      </c>
      <c r="W23" s="702">
        <f>J23</f>
        <v>100</v>
      </c>
      <c r="X23" s="1347"/>
      <c r="Y23" s="3753"/>
      <c r="Z23" s="1348" t="str">
        <f>Q23</f>
        <v>区域土地利用方向</v>
      </c>
      <c r="AA23" s="1345">
        <f t="shared" si="3"/>
        <v>1</v>
      </c>
      <c r="AB23" s="1345">
        <f t="shared" si="4"/>
        <v>1</v>
      </c>
      <c r="AC23" s="1345">
        <f t="shared" si="5"/>
        <v>1</v>
      </c>
    </row>
    <row r="24" spans="1:29" ht="15">
      <c r="A24" s="355"/>
      <c r="B24" s="404"/>
      <c r="C24" s="562"/>
      <c r="D24" s="396"/>
      <c r="E24" s="1890"/>
      <c r="F24" s="396"/>
      <c r="G24" s="1889"/>
      <c r="H24" s="396"/>
      <c r="I24" s="1889"/>
      <c r="J24" s="396"/>
      <c r="K24" s="732"/>
      <c r="L24" s="2714"/>
      <c r="M24" s="2708"/>
      <c r="N24" s="2708"/>
      <c r="O24" s="2766"/>
      <c r="P24" s="3753"/>
      <c r="Q24" s="1344"/>
      <c r="R24" s="701"/>
      <c r="S24" s="702"/>
      <c r="T24" s="701"/>
      <c r="U24" s="702"/>
      <c r="V24" s="701"/>
      <c r="W24" s="702"/>
      <c r="X24" s="1347"/>
      <c r="Y24" s="3753"/>
      <c r="Z24" s="1348"/>
      <c r="AA24" s="1345"/>
      <c r="AB24" s="1345"/>
      <c r="AC24" s="1345"/>
    </row>
    <row r="25" spans="1:29" ht="57">
      <c r="A25" s="355"/>
      <c r="B25" s="1123" t="s">
        <v>1872</v>
      </c>
      <c r="C25" s="1947"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4"/>
      <c r="M25" s="2708"/>
      <c r="N25" s="2708"/>
      <c r="O25" s="2766"/>
      <c r="P25" s="3753"/>
      <c r="Q25" s="1344" t="str">
        <f t="shared" si="8"/>
        <v>自然及人文环境状况</v>
      </c>
      <c r="R25" s="701" t="s">
        <v>14</v>
      </c>
      <c r="S25" s="702">
        <f>F25</f>
        <v>100</v>
      </c>
      <c r="T25" s="701" t="s">
        <v>14</v>
      </c>
      <c r="U25" s="702">
        <f>H25</f>
        <v>100</v>
      </c>
      <c r="V25" s="701" t="s">
        <v>14</v>
      </c>
      <c r="W25" s="702">
        <f>J25</f>
        <v>100</v>
      </c>
      <c r="X25" s="1347"/>
      <c r="Y25" s="3753"/>
      <c r="Z25" s="1348" t="str">
        <f>Q25</f>
        <v>自然及人文环境状况</v>
      </c>
      <c r="AA25" s="1345">
        <f t="shared" si="3"/>
        <v>1</v>
      </c>
      <c r="AB25" s="1345">
        <f t="shared" si="4"/>
        <v>1</v>
      </c>
      <c r="AC25" s="1345">
        <f t="shared" si="5"/>
        <v>1</v>
      </c>
    </row>
    <row r="26" spans="1:29" ht="15">
      <c r="A26" s="355"/>
      <c r="B26" s="404"/>
      <c r="C26" s="395"/>
      <c r="D26" s="396"/>
      <c r="E26" s="1896"/>
      <c r="F26" s="396"/>
      <c r="G26" s="1896"/>
      <c r="H26" s="396"/>
      <c r="I26" s="395"/>
      <c r="J26" s="396"/>
      <c r="K26" s="617"/>
      <c r="L26" s="2714"/>
      <c r="M26" s="2708"/>
      <c r="N26" s="2708"/>
      <c r="O26" s="2766"/>
      <c r="P26" s="3753"/>
      <c r="Q26" s="1344"/>
      <c r="R26" s="701"/>
      <c r="S26" s="702"/>
      <c r="T26" s="701"/>
      <c r="U26" s="702"/>
      <c r="V26" s="701"/>
      <c r="W26" s="702"/>
      <c r="X26" s="1347"/>
      <c r="Y26" s="3753"/>
      <c r="Z26" s="1348"/>
      <c r="AA26" s="1345">
        <v>1</v>
      </c>
      <c r="AB26" s="1345">
        <v>1</v>
      </c>
      <c r="AC26" s="1345">
        <v>1</v>
      </c>
    </row>
    <row r="27" spans="1:29" s="108" customFormat="1" ht="42.75">
      <c r="A27" s="594"/>
      <c r="B27" s="1123" t="s">
        <v>1778</v>
      </c>
      <c r="C27" s="1892"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09"/>
      <c r="M27" s="2710"/>
      <c r="N27" s="2710"/>
      <c r="O27" s="2764"/>
      <c r="P27" s="3753"/>
      <c r="Q27" s="1335" t="str">
        <f t="shared" si="8"/>
        <v>公共配套设施</v>
      </c>
      <c r="R27" s="697" t="s">
        <v>14</v>
      </c>
      <c r="S27" s="698">
        <f>F27</f>
        <v>100</v>
      </c>
      <c r="T27" s="697" t="s">
        <v>14</v>
      </c>
      <c r="U27" s="698">
        <f>H27</f>
        <v>100</v>
      </c>
      <c r="V27" s="697" t="s">
        <v>14</v>
      </c>
      <c r="W27" s="698">
        <f>J27</f>
        <v>100</v>
      </c>
      <c r="X27" s="699"/>
      <c r="Y27" s="3753"/>
      <c r="Z27" s="52" t="str">
        <f>Q27</f>
        <v>公共配套设施</v>
      </c>
      <c r="AA27" s="1345">
        <f>D27/F27</f>
        <v>1</v>
      </c>
      <c r="AB27" s="1345">
        <f>D27/H27</f>
        <v>1</v>
      </c>
      <c r="AC27" s="1345">
        <f>D27/J27</f>
        <v>1</v>
      </c>
    </row>
    <row r="28" spans="1:29" s="108" customFormat="1" ht="15">
      <c r="A28" s="594"/>
      <c r="B28" s="404"/>
      <c r="C28" s="1970"/>
      <c r="D28" s="396"/>
      <c r="E28" s="1896"/>
      <c r="F28" s="396"/>
      <c r="G28" s="1896"/>
      <c r="H28" s="396"/>
      <c r="I28" s="395"/>
      <c r="J28" s="396"/>
      <c r="K28" s="617"/>
      <c r="L28" s="2709"/>
      <c r="M28" s="2710"/>
      <c r="N28" s="2710"/>
      <c r="O28" s="2764"/>
      <c r="P28" s="3753"/>
      <c r="Q28" s="1335"/>
      <c r="R28" s="697"/>
      <c r="S28" s="698"/>
      <c r="T28" s="697"/>
      <c r="U28" s="698"/>
      <c r="V28" s="697"/>
      <c r="W28" s="698"/>
      <c r="X28" s="699"/>
      <c r="Y28" s="3753"/>
      <c r="Z28" s="52"/>
      <c r="AA28" s="1345">
        <v>1</v>
      </c>
      <c r="AB28" s="1345">
        <v>1</v>
      </c>
      <c r="AC28" s="1345">
        <v>1</v>
      </c>
    </row>
    <row r="29" spans="1:29" s="108" customFormat="1" ht="28.5">
      <c r="A29" s="594"/>
      <c r="B29" s="1123" t="s">
        <v>1779</v>
      </c>
      <c r="C29" s="1892"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09"/>
      <c r="M29" s="2710"/>
      <c r="N29" s="2710"/>
      <c r="O29" s="2764"/>
      <c r="P29" s="3753"/>
      <c r="Q29" s="1335" t="str">
        <f t="shared" ref="Q29" si="9">B29</f>
        <v>基础设施水平</v>
      </c>
      <c r="R29" s="697" t="s">
        <v>14</v>
      </c>
      <c r="S29" s="698">
        <f>F29</f>
        <v>100</v>
      </c>
      <c r="T29" s="697" t="s">
        <v>14</v>
      </c>
      <c r="U29" s="698">
        <f>H29</f>
        <v>100</v>
      </c>
      <c r="V29" s="697" t="s">
        <v>14</v>
      </c>
      <c r="W29" s="698">
        <f>J29</f>
        <v>100</v>
      </c>
      <c r="X29" s="699"/>
      <c r="Y29" s="3753"/>
      <c r="Z29" s="52" t="str">
        <f>Q29</f>
        <v>基础设施水平</v>
      </c>
      <c r="AA29" s="1345">
        <f>D29/F29</f>
        <v>1</v>
      </c>
      <c r="AB29" s="1345">
        <f>D29/H29</f>
        <v>1</v>
      </c>
      <c r="AC29" s="1345">
        <f>D29/J29</f>
        <v>1</v>
      </c>
    </row>
    <row r="30" spans="1:29" s="108" customFormat="1" ht="15">
      <c r="A30" s="594"/>
      <c r="B30" s="404"/>
      <c r="C30" s="1970"/>
      <c r="D30" s="396"/>
      <c r="E30" s="1971"/>
      <c r="F30" s="396"/>
      <c r="G30" s="1971"/>
      <c r="H30" s="396"/>
      <c r="I30" s="1971"/>
      <c r="J30" s="396"/>
      <c r="K30" s="617"/>
      <c r="L30" s="2709"/>
      <c r="M30" s="2710"/>
      <c r="N30" s="2710"/>
      <c r="O30" s="2764"/>
      <c r="P30" s="3753"/>
      <c r="Q30" s="1335"/>
      <c r="R30" s="697"/>
      <c r="S30" s="698"/>
      <c r="T30" s="697"/>
      <c r="U30" s="698"/>
      <c r="V30" s="697"/>
      <c r="W30" s="698"/>
      <c r="X30" s="699"/>
      <c r="Y30" s="3753"/>
      <c r="Z30" s="52"/>
      <c r="AA30" s="1345">
        <v>1</v>
      </c>
      <c r="AB30" s="1345">
        <v>1</v>
      </c>
      <c r="AC30" s="1345">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4"/>
      <c r="M31" s="2708"/>
      <c r="N31" s="2708"/>
      <c r="O31" s="2766"/>
      <c r="P31" s="3753"/>
      <c r="Q31" s="1344" t="str">
        <f t="shared" si="8"/>
        <v>临街状况</v>
      </c>
      <c r="R31" s="701" t="s">
        <v>14</v>
      </c>
      <c r="S31" s="702">
        <f t="shared" ref="S31:S45" si="10">F31</f>
        <v>100</v>
      </c>
      <c r="T31" s="701" t="s">
        <v>14</v>
      </c>
      <c r="U31" s="702">
        <f t="shared" ref="U31:U45" si="11">H31</f>
        <v>100</v>
      </c>
      <c r="V31" s="701" t="s">
        <v>14</v>
      </c>
      <c r="W31" s="702">
        <f t="shared" ref="W31:W45" si="12">J31</f>
        <v>100</v>
      </c>
      <c r="X31" s="1347"/>
      <c r="Y31" s="3753"/>
      <c r="Z31" s="1348" t="str">
        <f t="shared" ref="Z31:Z45" si="13">Q31</f>
        <v>临街状况</v>
      </c>
      <c r="AA31" s="1345">
        <f t="shared" si="3"/>
        <v>1</v>
      </c>
      <c r="AB31" s="1345">
        <f t="shared" si="4"/>
        <v>1</v>
      </c>
      <c r="AC31" s="1345">
        <f t="shared" si="5"/>
        <v>1</v>
      </c>
    </row>
    <row r="32" spans="1:29" ht="27">
      <c r="A32" s="376"/>
      <c r="B32" s="1123"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4"/>
      <c r="M32" s="2708"/>
      <c r="N32" s="2708"/>
      <c r="O32" s="2766"/>
      <c r="P32" s="3753"/>
      <c r="Q32" s="1344" t="str">
        <f t="shared" si="8"/>
        <v>毗邻道路的类型与等级</v>
      </c>
      <c r="R32" s="701" t="s">
        <v>14</v>
      </c>
      <c r="S32" s="702">
        <f t="shared" si="10"/>
        <v>100</v>
      </c>
      <c r="T32" s="701" t="s">
        <v>14</v>
      </c>
      <c r="U32" s="702">
        <f t="shared" si="11"/>
        <v>100</v>
      </c>
      <c r="V32" s="701" t="s">
        <v>14</v>
      </c>
      <c r="W32" s="702">
        <f t="shared" si="12"/>
        <v>100</v>
      </c>
      <c r="X32" s="1347"/>
      <c r="Y32" s="3753"/>
      <c r="Z32" s="1348" t="str">
        <f t="shared" si="13"/>
        <v>毗邻道路的类型与等级</v>
      </c>
      <c r="AA32" s="1345">
        <f t="shared" si="3"/>
        <v>1</v>
      </c>
      <c r="AB32" s="1345">
        <f t="shared" si="4"/>
        <v>1</v>
      </c>
      <c r="AC32" s="1345">
        <f t="shared" si="5"/>
        <v>1</v>
      </c>
    </row>
    <row r="33" spans="1:29" ht="15">
      <c r="A33" s="376"/>
      <c r="B33" s="404"/>
      <c r="C33" s="395"/>
      <c r="D33" s="396"/>
      <c r="E33" s="1896"/>
      <c r="F33" s="396"/>
      <c r="G33" s="1896"/>
      <c r="H33" s="396"/>
      <c r="I33" s="395"/>
      <c r="J33" s="396"/>
      <c r="K33" s="559"/>
      <c r="L33" s="2714"/>
      <c r="M33" s="2708"/>
      <c r="N33" s="2708"/>
      <c r="O33" s="2766"/>
      <c r="P33" s="3753"/>
      <c r="Q33" s="1344"/>
      <c r="R33" s="701"/>
      <c r="S33" s="702"/>
      <c r="T33" s="701"/>
      <c r="U33" s="702"/>
      <c r="V33" s="701"/>
      <c r="W33" s="702"/>
      <c r="X33" s="1347"/>
      <c r="Y33" s="3753"/>
      <c r="Z33" s="1348"/>
      <c r="AA33" s="1345">
        <v>1</v>
      </c>
      <c r="AB33" s="1345">
        <v>1</v>
      </c>
      <c r="AC33" s="1345">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4"/>
      <c r="M34" s="2708"/>
      <c r="N34" s="2708"/>
      <c r="O34" s="2766"/>
      <c r="P34" s="3753"/>
      <c r="Q34" s="1344" t="str">
        <f t="shared" si="8"/>
        <v>土地级别</v>
      </c>
      <c r="R34" s="701" t="s">
        <v>14</v>
      </c>
      <c r="S34" s="702">
        <f t="shared" si="10"/>
        <v>100</v>
      </c>
      <c r="T34" s="701" t="s">
        <v>14</v>
      </c>
      <c r="U34" s="702">
        <f t="shared" si="11"/>
        <v>100</v>
      </c>
      <c r="V34" s="701" t="s">
        <v>14</v>
      </c>
      <c r="W34" s="702">
        <f t="shared" si="12"/>
        <v>100</v>
      </c>
      <c r="X34" s="1347"/>
      <c r="Y34" s="3753"/>
      <c r="Z34" s="1348" t="str">
        <f t="shared" si="13"/>
        <v>土地级别</v>
      </c>
      <c r="AA34" s="1345">
        <f t="shared" si="3"/>
        <v>1</v>
      </c>
      <c r="AB34" s="1345">
        <f t="shared" si="4"/>
        <v>1</v>
      </c>
      <c r="AC34" s="1345">
        <f t="shared" si="5"/>
        <v>1</v>
      </c>
    </row>
    <row r="35" spans="1:29" ht="15">
      <c r="A35" s="355"/>
      <c r="B35" s="1125">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4"/>
      <c r="M35" s="2708"/>
      <c r="N35" s="2708"/>
      <c r="O35" s="2766"/>
      <c r="P35" s="3753"/>
      <c r="Q35" s="1344">
        <f t="shared" si="8"/>
        <v>111</v>
      </c>
      <c r="R35" s="701" t="s">
        <v>14</v>
      </c>
      <c r="S35" s="702">
        <f t="shared" si="10"/>
        <v>100</v>
      </c>
      <c r="T35" s="701" t="s">
        <v>14</v>
      </c>
      <c r="U35" s="702">
        <f t="shared" si="11"/>
        <v>100</v>
      </c>
      <c r="V35" s="701" t="s">
        <v>14</v>
      </c>
      <c r="W35" s="702">
        <f t="shared" si="12"/>
        <v>100</v>
      </c>
      <c r="X35" s="1347"/>
      <c r="Y35" s="3753"/>
      <c r="Z35" s="1348">
        <f t="shared" si="13"/>
        <v>111</v>
      </c>
      <c r="AA35" s="1345">
        <f t="shared" si="3"/>
        <v>1</v>
      </c>
      <c r="AB35" s="1345">
        <f t="shared" si="4"/>
        <v>1</v>
      </c>
      <c r="AC35" s="1345">
        <f t="shared" si="5"/>
        <v>1</v>
      </c>
    </row>
    <row r="36" spans="1:29" ht="15">
      <c r="A36" s="620"/>
      <c r="B36" s="1126">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4"/>
      <c r="M36" s="2708"/>
      <c r="N36" s="2708"/>
      <c r="O36" s="2766"/>
      <c r="P36" s="3834" t="s">
        <v>1696</v>
      </c>
      <c r="Q36" s="1344">
        <f t="shared" si="8"/>
        <v>111</v>
      </c>
      <c r="R36" s="701" t="s">
        <v>14</v>
      </c>
      <c r="S36" s="702">
        <f t="shared" si="10"/>
        <v>100</v>
      </c>
      <c r="T36" s="701" t="s">
        <v>14</v>
      </c>
      <c r="U36" s="702">
        <f t="shared" si="11"/>
        <v>100</v>
      </c>
      <c r="V36" s="701" t="s">
        <v>14</v>
      </c>
      <c r="W36" s="702">
        <f t="shared" si="12"/>
        <v>100</v>
      </c>
      <c r="X36" s="1347"/>
      <c r="Y36" s="3757" t="s">
        <v>1696</v>
      </c>
      <c r="Z36" s="1348">
        <f t="shared" si="13"/>
        <v>111</v>
      </c>
      <c r="AA36" s="1345">
        <f t="shared" si="3"/>
        <v>1</v>
      </c>
      <c r="AB36" s="1345">
        <f t="shared" si="4"/>
        <v>1</v>
      </c>
      <c r="AC36" s="1345">
        <f t="shared" si="5"/>
        <v>1</v>
      </c>
    </row>
    <row r="37" spans="1:29" s="419" customFormat="1" ht="15.75" thickBot="1">
      <c r="A37" s="621"/>
      <c r="B37" s="1127">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3"/>
      <c r="M37" s="2715"/>
      <c r="N37" s="2715"/>
      <c r="O37" s="2767"/>
      <c r="P37" s="3757"/>
      <c r="Q37" s="1344">
        <f t="shared" si="8"/>
        <v>111</v>
      </c>
      <c r="R37" s="704" t="s">
        <v>14</v>
      </c>
      <c r="S37" s="705">
        <f t="shared" si="10"/>
        <v>100</v>
      </c>
      <c r="T37" s="704" t="s">
        <v>14</v>
      </c>
      <c r="U37" s="705">
        <f t="shared" si="11"/>
        <v>100</v>
      </c>
      <c r="V37" s="704" t="s">
        <v>14</v>
      </c>
      <c r="W37" s="705">
        <f t="shared" si="12"/>
        <v>100</v>
      </c>
      <c r="X37" s="706"/>
      <c r="Y37" s="3757"/>
      <c r="Z37" s="707">
        <f t="shared" si="13"/>
        <v>111</v>
      </c>
      <c r="AA37" s="1345">
        <f t="shared" si="3"/>
        <v>1</v>
      </c>
      <c r="AB37" s="1345">
        <f t="shared" si="4"/>
        <v>1</v>
      </c>
      <c r="AC37" s="1345">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4"/>
      <c r="M38" s="2708"/>
      <c r="N38" s="2708"/>
      <c r="O38" s="2766"/>
      <c r="P38" s="3757"/>
      <c r="Q38" s="1344" t="str">
        <f>B38</f>
        <v>宗地面积</v>
      </c>
      <c r="R38" s="701" t="s">
        <v>14</v>
      </c>
      <c r="S38" s="702" t="e">
        <f t="shared" si="10"/>
        <v>#N/A</v>
      </c>
      <c r="T38" s="701" t="s">
        <v>14</v>
      </c>
      <c r="U38" s="702" t="e">
        <f t="shared" si="11"/>
        <v>#N/A</v>
      </c>
      <c r="V38" s="701" t="s">
        <v>14</v>
      </c>
      <c r="W38" s="702" t="e">
        <f t="shared" si="12"/>
        <v>#N/A</v>
      </c>
      <c r="X38" s="1347"/>
      <c r="Y38" s="3757"/>
      <c r="Z38" s="1348" t="str">
        <f t="shared" si="13"/>
        <v>宗地面积</v>
      </c>
      <c r="AA38" s="1345" t="e">
        <f t="shared" si="3"/>
        <v>#N/A</v>
      </c>
      <c r="AB38" s="1345" t="e">
        <f t="shared" si="4"/>
        <v>#N/A</v>
      </c>
      <c r="AC38" s="1345" t="e">
        <f t="shared" si="5"/>
        <v>#N/A</v>
      </c>
    </row>
    <row r="39" spans="1:29" ht="15">
      <c r="A39" s="420"/>
      <c r="B39" s="372" t="s">
        <v>1875</v>
      </c>
      <c r="C39" s="1898"/>
      <c r="D39" s="383">
        <v>100</v>
      </c>
      <c r="E39" s="1898"/>
      <c r="F39" s="383">
        <f>SUMIF(118:118,E39,119:119)-SUMIF(118:118,C39,119:119)+100</f>
        <v>100</v>
      </c>
      <c r="G39" s="1898"/>
      <c r="H39" s="383">
        <f>SUMIF(118:118,G39,119:119)-SUMIF(118:118,C39,119:119)+100</f>
        <v>100</v>
      </c>
      <c r="I39" s="1898"/>
      <c r="J39" s="383">
        <f>SUMIF(118:118,I39,119:119)-SUMIF(118:118,C39,119:119)+100</f>
        <v>100</v>
      </c>
      <c r="K39" s="558"/>
      <c r="L39" s="2714"/>
      <c r="M39" s="2708"/>
      <c r="N39" s="2708"/>
      <c r="O39" s="2766"/>
      <c r="P39" s="3757"/>
      <c r="Q39" s="1344" t="str">
        <f t="shared" ref="Q39:Q45" si="14">B39</f>
        <v>宗地形状</v>
      </c>
      <c r="R39" s="701" t="s">
        <v>14</v>
      </c>
      <c r="S39" s="702">
        <f t="shared" si="10"/>
        <v>100</v>
      </c>
      <c r="T39" s="701" t="s">
        <v>14</v>
      </c>
      <c r="U39" s="702">
        <f t="shared" si="11"/>
        <v>100</v>
      </c>
      <c r="V39" s="701" t="s">
        <v>14</v>
      </c>
      <c r="W39" s="702">
        <f t="shared" si="12"/>
        <v>100</v>
      </c>
      <c r="X39" s="1347"/>
      <c r="Y39" s="3757"/>
      <c r="Z39" s="1348" t="str">
        <f t="shared" si="13"/>
        <v>宗地形状</v>
      </c>
      <c r="AA39" s="1345">
        <f t="shared" si="3"/>
        <v>1</v>
      </c>
      <c r="AB39" s="1345">
        <f t="shared" si="4"/>
        <v>1</v>
      </c>
      <c r="AC39" s="1345">
        <f t="shared" si="5"/>
        <v>1</v>
      </c>
    </row>
    <row r="40" spans="1:29" ht="15">
      <c r="A40" s="420"/>
      <c r="B40" s="372" t="s">
        <v>1876</v>
      </c>
      <c r="C40" s="1898"/>
      <c r="D40" s="383">
        <v>100</v>
      </c>
      <c r="E40" s="1898"/>
      <c r="F40" s="383">
        <f>SUMIF(120:120,E40,121:121)-SUMIF(120:120,C40,121:121)+100</f>
        <v>100</v>
      </c>
      <c r="G40" s="1898"/>
      <c r="H40" s="383">
        <f>SUMIF(120:120,G40,121:121)-SUMIF(120:120,C40,121:121)+100</f>
        <v>100</v>
      </c>
      <c r="I40" s="1898"/>
      <c r="J40" s="383">
        <f>SUMIF(120:120,I40,121:121)-SUMIF(120:120,C40,121:121)+100</f>
        <v>100</v>
      </c>
      <c r="K40" s="558"/>
      <c r="L40" s="2714"/>
      <c r="M40" s="2708"/>
      <c r="N40" s="2708"/>
      <c r="O40" s="2766"/>
      <c r="P40" s="3757"/>
      <c r="Q40" s="1344" t="str">
        <f t="shared" si="14"/>
        <v>临街宽度及深度</v>
      </c>
      <c r="R40" s="701" t="s">
        <v>14</v>
      </c>
      <c r="S40" s="702">
        <f t="shared" si="10"/>
        <v>100</v>
      </c>
      <c r="T40" s="701" t="s">
        <v>14</v>
      </c>
      <c r="U40" s="702">
        <f t="shared" si="11"/>
        <v>100</v>
      </c>
      <c r="V40" s="701" t="s">
        <v>14</v>
      </c>
      <c r="W40" s="702">
        <f t="shared" si="12"/>
        <v>100</v>
      </c>
      <c r="X40" s="1347"/>
      <c r="Y40" s="3757"/>
      <c r="Z40" s="1348" t="str">
        <f t="shared" si="13"/>
        <v>临街宽度及深度</v>
      </c>
      <c r="AA40" s="1345">
        <f t="shared" si="3"/>
        <v>1</v>
      </c>
      <c r="AB40" s="1345">
        <f t="shared" si="4"/>
        <v>1</v>
      </c>
      <c r="AC40" s="1345">
        <f t="shared" si="5"/>
        <v>1</v>
      </c>
    </row>
    <row r="41" spans="1:29" s="108" customFormat="1" ht="15">
      <c r="A41" s="421"/>
      <c r="B41" s="372" t="s">
        <v>1877</v>
      </c>
      <c r="C41" s="1972"/>
      <c r="D41" s="124">
        <v>100</v>
      </c>
      <c r="E41" s="1972"/>
      <c r="F41" s="383">
        <f>SUMIF(122:122,E41,123:123)-SUMIF(122:122,C41,123:123)+100</f>
        <v>100</v>
      </c>
      <c r="G41" s="1972"/>
      <c r="H41" s="383">
        <f>SUMIF(122:122,G41,123:123)-SUMIF(122:122,C41,123:123)+100</f>
        <v>100</v>
      </c>
      <c r="I41" s="1972"/>
      <c r="J41" s="383">
        <f>SUMIF(122:122,I41,123:123)-SUMIF(122:122,C41,123:123)+100</f>
        <v>100</v>
      </c>
      <c r="K41" s="558"/>
      <c r="L41" s="2709"/>
      <c r="M41" s="2710"/>
      <c r="N41" s="2710"/>
      <c r="O41" s="2764"/>
      <c r="P41" s="3757"/>
      <c r="Q41" s="1344" t="str">
        <f t="shared" si="14"/>
        <v>宗地开发程度</v>
      </c>
      <c r="R41" s="697" t="s">
        <v>14</v>
      </c>
      <c r="S41" s="698">
        <f t="shared" si="10"/>
        <v>100</v>
      </c>
      <c r="T41" s="697" t="s">
        <v>14</v>
      </c>
      <c r="U41" s="698">
        <f t="shared" si="11"/>
        <v>100</v>
      </c>
      <c r="V41" s="697" t="s">
        <v>14</v>
      </c>
      <c r="W41" s="698">
        <f t="shared" si="12"/>
        <v>100</v>
      </c>
      <c r="X41" s="699"/>
      <c r="Y41" s="3757"/>
      <c r="Z41" s="52" t="str">
        <f t="shared" si="13"/>
        <v>宗地开发程度</v>
      </c>
      <c r="AA41" s="700">
        <f t="shared" si="3"/>
        <v>1</v>
      </c>
      <c r="AB41" s="700">
        <f t="shared" si="4"/>
        <v>1</v>
      </c>
      <c r="AC41" s="700">
        <f t="shared" si="5"/>
        <v>1</v>
      </c>
    </row>
    <row r="42" spans="1:29" ht="15">
      <c r="A42" s="420"/>
      <c r="B42" s="372" t="s">
        <v>1878</v>
      </c>
      <c r="C42" s="1898"/>
      <c r="D42" s="383">
        <v>100</v>
      </c>
      <c r="E42" s="1898"/>
      <c r="F42" s="383">
        <f>SUMIF(124:124,E42,125:125)-SUMIF(124:124,C42,125:125)+100</f>
        <v>100</v>
      </c>
      <c r="G42" s="1898"/>
      <c r="H42" s="383">
        <f>SUMIF(124:124,G42,125:125)-SUMIF(124:124,C42,125:125)+100</f>
        <v>100</v>
      </c>
      <c r="I42" s="1898"/>
      <c r="J42" s="383">
        <f>SUMIF(124:124,I42,125:125)-SUMIF(124:124,C42,125:125)+100</f>
        <v>100</v>
      </c>
      <c r="K42" s="558"/>
      <c r="L42" s="2714"/>
      <c r="M42" s="2708"/>
      <c r="N42" s="2708"/>
      <c r="O42" s="2766"/>
      <c r="P42" s="3757" t="s">
        <v>1696</v>
      </c>
      <c r="Q42" s="1344" t="str">
        <f t="shared" si="14"/>
        <v>工程地质条件</v>
      </c>
      <c r="R42" s="701" t="s">
        <v>14</v>
      </c>
      <c r="S42" s="702">
        <f t="shared" si="10"/>
        <v>100</v>
      </c>
      <c r="T42" s="701" t="s">
        <v>14</v>
      </c>
      <c r="U42" s="702">
        <f t="shared" si="11"/>
        <v>100</v>
      </c>
      <c r="V42" s="701" t="s">
        <v>14</v>
      </c>
      <c r="W42" s="702">
        <f t="shared" si="12"/>
        <v>100</v>
      </c>
      <c r="X42" s="1347"/>
      <c r="Y42" s="3757" t="s">
        <v>1696</v>
      </c>
      <c r="Z42" s="1348" t="str">
        <f t="shared" si="13"/>
        <v>工程地质条件</v>
      </c>
      <c r="AA42" s="1345">
        <f t="shared" si="3"/>
        <v>1</v>
      </c>
      <c r="AB42" s="1345">
        <f t="shared" si="4"/>
        <v>1</v>
      </c>
      <c r="AC42" s="1345">
        <f t="shared" si="5"/>
        <v>1</v>
      </c>
    </row>
    <row r="43" spans="1:29" ht="15">
      <c r="A43" s="420"/>
      <c r="B43" s="1126">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4"/>
      <c r="M43" s="2708"/>
      <c r="N43" s="2708"/>
      <c r="O43" s="2766"/>
      <c r="P43" s="3757"/>
      <c r="Q43" s="1344">
        <f t="shared" si="14"/>
        <v>111</v>
      </c>
      <c r="R43" s="701" t="s">
        <v>14</v>
      </c>
      <c r="S43" s="702">
        <f t="shared" si="10"/>
        <v>100</v>
      </c>
      <c r="T43" s="701" t="s">
        <v>14</v>
      </c>
      <c r="U43" s="702">
        <f t="shared" si="11"/>
        <v>100</v>
      </c>
      <c r="V43" s="701" t="s">
        <v>14</v>
      </c>
      <c r="W43" s="702">
        <f t="shared" si="12"/>
        <v>100</v>
      </c>
      <c r="X43" s="1347"/>
      <c r="Y43" s="3757"/>
      <c r="Z43" s="1348">
        <f t="shared" si="13"/>
        <v>111</v>
      </c>
      <c r="AA43" s="1345">
        <f t="shared" si="3"/>
        <v>1</v>
      </c>
      <c r="AB43" s="1345">
        <f t="shared" si="4"/>
        <v>1</v>
      </c>
      <c r="AC43" s="1345">
        <f t="shared" si="5"/>
        <v>1</v>
      </c>
    </row>
    <row r="44" spans="1:29" ht="15">
      <c r="A44" s="420"/>
      <c r="B44" s="1126">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4"/>
      <c r="M44" s="2708"/>
      <c r="N44" s="2708"/>
      <c r="O44" s="2766"/>
      <c r="P44" s="3757"/>
      <c r="Q44" s="1344">
        <f t="shared" si="14"/>
        <v>111</v>
      </c>
      <c r="R44" s="701" t="s">
        <v>14</v>
      </c>
      <c r="S44" s="702">
        <f t="shared" si="10"/>
        <v>100</v>
      </c>
      <c r="T44" s="701" t="s">
        <v>14</v>
      </c>
      <c r="U44" s="702">
        <f t="shared" si="11"/>
        <v>100</v>
      </c>
      <c r="V44" s="701" t="s">
        <v>14</v>
      </c>
      <c r="W44" s="702">
        <f t="shared" si="12"/>
        <v>100</v>
      </c>
      <c r="X44" s="1347"/>
      <c r="Y44" s="3757"/>
      <c r="Z44" s="1348">
        <f t="shared" si="13"/>
        <v>111</v>
      </c>
      <c r="AA44" s="1345">
        <f t="shared" si="3"/>
        <v>1</v>
      </c>
      <c r="AB44" s="1345">
        <f t="shared" si="4"/>
        <v>1</v>
      </c>
      <c r="AC44" s="1345">
        <f t="shared" si="5"/>
        <v>1</v>
      </c>
    </row>
    <row r="45" spans="1:29" s="419" customFormat="1" ht="15.75" thickBot="1">
      <c r="A45" s="416"/>
      <c r="B45" s="1126">
        <v>111</v>
      </c>
      <c r="C45" s="1973"/>
      <c r="D45" s="625">
        <v>100</v>
      </c>
      <c r="E45" s="619"/>
      <c r="F45" s="386">
        <f>SUMIF(130:130,E45,131:131)-SUMIF(130:130,C45,131:131)+100</f>
        <v>100</v>
      </c>
      <c r="G45" s="619"/>
      <c r="H45" s="386">
        <f>SUMIF(130:130,G45,131:131)-SUMIF(130:130,C45,131:131)+100</f>
        <v>100</v>
      </c>
      <c r="I45" s="619"/>
      <c r="J45" s="386">
        <f>SUMIF(130:130,I45,131:131)-SUMIF(130:130,C45,131:131)+100</f>
        <v>100</v>
      </c>
      <c r="K45" s="626"/>
      <c r="L45" s="2713"/>
      <c r="M45" s="2715"/>
      <c r="N45" s="2715"/>
      <c r="O45" s="2767"/>
      <c r="P45" s="3757"/>
      <c r="Q45" s="1344">
        <f t="shared" si="14"/>
        <v>111</v>
      </c>
      <c r="R45" s="704" t="s">
        <v>14</v>
      </c>
      <c r="S45" s="705">
        <f t="shared" si="10"/>
        <v>100</v>
      </c>
      <c r="T45" s="704" t="s">
        <v>14</v>
      </c>
      <c r="U45" s="705">
        <f t="shared" si="11"/>
        <v>100</v>
      </c>
      <c r="V45" s="704" t="s">
        <v>14</v>
      </c>
      <c r="W45" s="705">
        <f t="shared" si="12"/>
        <v>100</v>
      </c>
      <c r="X45" s="706"/>
      <c r="Y45" s="3757"/>
      <c r="Z45" s="707">
        <f t="shared" si="13"/>
        <v>111</v>
      </c>
      <c r="AA45" s="1345">
        <f t="shared" si="3"/>
        <v>1</v>
      </c>
      <c r="AB45" s="1345">
        <f t="shared" si="4"/>
        <v>1</v>
      </c>
      <c r="AC45" s="1345">
        <f t="shared" si="5"/>
        <v>1</v>
      </c>
    </row>
    <row r="46" spans="1:29" ht="15">
      <c r="A46" s="427" t="s">
        <v>1844</v>
      </c>
      <c r="B46" s="1974" t="s">
        <v>1879</v>
      </c>
      <c r="C46" s="627" t="s">
        <v>0</v>
      </c>
      <c r="D46" s="429"/>
      <c r="E46" s="430"/>
      <c r="F46" s="431"/>
      <c r="G46" s="432"/>
      <c r="H46" s="433"/>
      <c r="I46" s="430"/>
      <c r="J46" s="433"/>
      <c r="K46" s="710"/>
      <c r="L46" s="2716"/>
      <c r="M46" s="2717"/>
      <c r="N46" s="2708"/>
      <c r="O46" s="2717"/>
      <c r="P46" s="3745" t="str">
        <f>A46</f>
        <v>成交单价</v>
      </c>
      <c r="Q46" s="3745"/>
      <c r="R46" s="3779">
        <f>E46</f>
        <v>0</v>
      </c>
      <c r="S46" s="3779"/>
      <c r="T46" s="3779">
        <f>G46</f>
        <v>0</v>
      </c>
      <c r="U46" s="3779"/>
      <c r="V46" s="3779">
        <f>I46</f>
        <v>0</v>
      </c>
      <c r="W46" s="3779"/>
      <c r="X46" s="686"/>
      <c r="Y46" s="708"/>
      <c r="Z46" s="686"/>
      <c r="AA46" s="686"/>
      <c r="AB46" s="686"/>
      <c r="AC46" s="686"/>
    </row>
    <row r="47" spans="1:29" ht="15.75" thickBot="1">
      <c r="A47" s="434" t="s">
        <v>1793</v>
      </c>
      <c r="B47" s="628"/>
      <c r="C47" s="437" t="e">
        <f>R48</f>
        <v>#DIV/0!</v>
      </c>
      <c r="D47" s="2309" t="s">
        <v>2138</v>
      </c>
      <c r="E47" s="437" t="e">
        <f>R47</f>
        <v>#DIV/0!</v>
      </c>
      <c r="F47" s="2310"/>
      <c r="G47" s="436" t="e">
        <f>T47</f>
        <v>#DIV/0!</v>
      </c>
      <c r="H47" s="2310"/>
      <c r="I47" s="437" t="e">
        <f>V47</f>
        <v>#DIV/0!</v>
      </c>
      <c r="J47" s="2310"/>
      <c r="K47" s="2312">
        <f>F47+H47+J47</f>
        <v>0</v>
      </c>
      <c r="L47" s="2716"/>
      <c r="M47" s="2717"/>
      <c r="N47" s="2717"/>
      <c r="O47" s="2717"/>
      <c r="P47" s="3745" t="str">
        <f>A47</f>
        <v>比较价值（元/平方米）</v>
      </c>
      <c r="Q47" s="3745"/>
      <c r="R47" s="3836" t="e">
        <f>ROUND(PRODUCT(R46,AA7:AA45),0)</f>
        <v>#DIV/0!</v>
      </c>
      <c r="S47" s="3836"/>
      <c r="T47" s="3836" t="e">
        <f>ROUND(PRODUCT(T46,AB7:AB45),0)</f>
        <v>#DIV/0!</v>
      </c>
      <c r="U47" s="3836"/>
      <c r="V47" s="3836" t="e">
        <f>ROUND(PRODUCT(V46,AC7:AC45),0)</f>
        <v>#DIV/0!</v>
      </c>
      <c r="W47" s="3836"/>
      <c r="X47" s="686"/>
      <c r="Y47" s="686"/>
      <c r="Z47" s="686"/>
      <c r="AA47" s="686"/>
      <c r="AB47" s="686"/>
      <c r="AC47" s="686"/>
    </row>
    <row r="48" spans="1:29" ht="15.75" thickBot="1">
      <c r="A48" s="438" t="s">
        <v>1880</v>
      </c>
      <c r="B48" s="439"/>
      <c r="C48" s="440" t="e">
        <f>R48</f>
        <v>#DIV/0!</v>
      </c>
      <c r="D48" s="440"/>
      <c r="E48" s="440"/>
      <c r="F48" s="440"/>
      <c r="G48" s="440"/>
      <c r="H48" s="440"/>
      <c r="I48" s="440"/>
      <c r="J48" s="440"/>
      <c r="K48" s="711"/>
      <c r="L48" s="2716"/>
      <c r="M48" s="2717"/>
      <c r="N48" s="2717"/>
      <c r="O48" s="2717"/>
      <c r="P48" s="3824" t="str">
        <f>A48</f>
        <v>估价对象XX用房的比较价值（楼面单价，元/平方米）</v>
      </c>
      <c r="Q48" s="3825"/>
      <c r="R48" s="3837" t="e">
        <f>ROUND(IF(D47="简单平均",AVERAGE(R47:W47),R47*F47+T47*H47+V47*J47),0)</f>
        <v>#DIV/0!</v>
      </c>
      <c r="S48" s="3837"/>
      <c r="T48" s="3837"/>
      <c r="U48" s="3837"/>
      <c r="V48" s="3837"/>
      <c r="W48" s="3837"/>
      <c r="X48" s="686"/>
      <c r="Y48" s="686"/>
      <c r="Z48" s="686"/>
      <c r="AA48" s="686"/>
      <c r="AB48" s="686"/>
      <c r="AC48" s="686"/>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5" t="s">
        <v>1883</v>
      </c>
      <c r="D55" s="1976" t="s">
        <v>1884</v>
      </c>
      <c r="E55" s="631" t="s">
        <v>1885</v>
      </c>
      <c r="F55" s="882" t="s">
        <v>1886</v>
      </c>
      <c r="G55" s="3762" t="s">
        <v>1887</v>
      </c>
      <c r="H55" s="3838"/>
      <c r="I55" s="132" t="s">
        <v>1888</v>
      </c>
      <c r="J55" s="1977">
        <f>项目基本情况!F35</f>
        <v>0</v>
      </c>
      <c r="K55" s="1978"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t="e">
        <f>C48</f>
        <v>#DIV/0!</v>
      </c>
      <c r="C56" s="635">
        <v>1</v>
      </c>
      <c r="D56" s="936">
        <v>1</v>
      </c>
      <c r="E56" s="635">
        <f>'数据-汇总表'!E8+'数据-汇总表'!E9</f>
        <v>51900.97</v>
      </c>
      <c r="F56" s="878" t="e">
        <f t="shared" ref="F56:F64" si="15">ROUND(B56*E56/10000,0)</f>
        <v>#DIV/0!</v>
      </c>
      <c r="G56" s="3744"/>
      <c r="H56" s="3745"/>
      <c r="I56" s="883">
        <v>1</v>
      </c>
      <c r="J56" s="886">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t="e">
        <f>ROUND($C$48*C57*D57,0)</f>
        <v>#DIV/0!</v>
      </c>
      <c r="C57" s="168">
        <f t="shared" ref="C57:C64" si="16">IF($C$55="北京市系数",I57,J57)</f>
        <v>0.6</v>
      </c>
      <c r="D57" s="937">
        <v>0.25</v>
      </c>
      <c r="E57" s="639"/>
      <c r="F57" s="878" t="e">
        <f t="shared" si="15"/>
        <v>#DIV/0!</v>
      </c>
      <c r="G57" s="2998" t="s">
        <v>1892</v>
      </c>
      <c r="H57" s="879" t="str">
        <f>项目基本情况!B37</f>
        <v>五级</v>
      </c>
      <c r="I57" s="883">
        <f>SUMIF(修正!A57:A68,H57,修正!B57:B68)</f>
        <v>0.6</v>
      </c>
      <c r="J57" s="887"/>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t="e">
        <f t="shared" ref="B58:B64" si="17">ROUND($C$48*C58*D58,0)</f>
        <v>#DIV/0!</v>
      </c>
      <c r="C58" s="168">
        <f t="shared" si="16"/>
        <v>0.3</v>
      </c>
      <c r="D58" s="937">
        <v>0.25</v>
      </c>
      <c r="E58" s="639"/>
      <c r="F58" s="878" t="e">
        <f t="shared" si="15"/>
        <v>#DIV/0!</v>
      </c>
      <c r="G58" s="2999"/>
      <c r="H58" s="879" t="str">
        <f>项目基本情况!B37</f>
        <v>五级</v>
      </c>
      <c r="I58" s="883">
        <f>SUMIF(修正!A57:A68,H58,修正!C57:C68)</f>
        <v>0.3</v>
      </c>
      <c r="J58" s="887"/>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t="e">
        <f t="shared" si="17"/>
        <v>#DIV/0!</v>
      </c>
      <c r="C59" s="168">
        <f t="shared" si="16"/>
        <v>0.25</v>
      </c>
      <c r="D59" s="937">
        <v>0.25</v>
      </c>
      <c r="E59" s="639"/>
      <c r="F59" s="878" t="e">
        <f t="shared" si="15"/>
        <v>#DIV/0!</v>
      </c>
      <c r="G59" s="2999"/>
      <c r="H59" s="879" t="str">
        <f>项目基本情况!B37</f>
        <v>五级</v>
      </c>
      <c r="I59" s="883">
        <f>SUMIF(修正!A57:A68,H59,修正!D57:D68)</f>
        <v>0.25</v>
      </c>
      <c r="J59" s="887"/>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t="e">
        <f t="shared" si="17"/>
        <v>#DIV/0!</v>
      </c>
      <c r="C60" s="168">
        <f t="shared" si="16"/>
        <v>0.25</v>
      </c>
      <c r="D60" s="937">
        <v>0.25</v>
      </c>
      <c r="E60" s="214">
        <f>'数据-汇总表'!E11</f>
        <v>0</v>
      </c>
      <c r="F60" s="878" t="e">
        <f t="shared" si="15"/>
        <v>#DIV/0!</v>
      </c>
      <c r="G60" s="1979" t="s">
        <v>1896</v>
      </c>
      <c r="H60" s="879" t="str">
        <f>项目基本情况!C37</f>
        <v>五级</v>
      </c>
      <c r="I60" s="883">
        <f>SUMIF(修正!A57:A68,H60,修正!E57:E68)</f>
        <v>0.25</v>
      </c>
      <c r="J60" s="887"/>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t="e">
        <f t="shared" si="17"/>
        <v>#DIV/0!</v>
      </c>
      <c r="C61" s="168">
        <f t="shared" si="16"/>
        <v>0.25</v>
      </c>
      <c r="D61" s="937">
        <v>0.25</v>
      </c>
      <c r="E61" s="214">
        <f>'数据-汇总表'!E12</f>
        <v>0</v>
      </c>
      <c r="F61" s="878" t="e">
        <f t="shared" si="15"/>
        <v>#DIV/0!</v>
      </c>
      <c r="G61" s="884" t="s">
        <v>1898</v>
      </c>
      <c r="H61" s="879" t="str">
        <f>IF(G61="商业",项目基本情况!B37,IF(G61="办公",项目基本情况!C37,IF(G61="住宅",项目基本情况!D37,项目基本情况!E37)))</f>
        <v>五级</v>
      </c>
      <c r="I61" s="883">
        <f>SUMIF(修正!A57:A68,H61,修正!F57:F68)</f>
        <v>0.25</v>
      </c>
      <c r="J61" s="887"/>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t="e">
        <f t="shared" si="17"/>
        <v>#DIV/0!</v>
      </c>
      <c r="C62" s="168">
        <f t="shared" si="16"/>
        <v>0</v>
      </c>
      <c r="D62" s="937">
        <v>0.25</v>
      </c>
      <c r="E62" s="214">
        <f>'数据-汇总表'!E13</f>
        <v>0</v>
      </c>
      <c r="F62" s="878" t="e">
        <f t="shared" si="15"/>
        <v>#DIV/0!</v>
      </c>
      <c r="G62" s="884" t="s">
        <v>1900</v>
      </c>
      <c r="H62" s="879">
        <f>IF(G62="商业",项目基本情况!B37,IF(G62="办公",项目基本情况!C37,IF(G62="住宅",项目基本情况!D37,项目基本情况!E37)))</f>
        <v>0</v>
      </c>
      <c r="I62" s="883">
        <f>SUMIF(修正!A57:A68,H62,修正!G57:G68)</f>
        <v>0</v>
      </c>
      <c r="J62" s="887"/>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t="e">
        <f t="shared" si="17"/>
        <v>#DIV/0!</v>
      </c>
      <c r="C63" s="168">
        <f t="shared" si="16"/>
        <v>0.15</v>
      </c>
      <c r="D63" s="937">
        <v>0.25</v>
      </c>
      <c r="E63" s="214">
        <f>'数据-汇总表'!E14</f>
        <v>0</v>
      </c>
      <c r="F63" s="878" t="e">
        <f t="shared" si="15"/>
        <v>#DIV/0!</v>
      </c>
      <c r="G63" s="1979" t="s">
        <v>1892</v>
      </c>
      <c r="H63" s="879" t="str">
        <f>项目基本情况!B37</f>
        <v>五级</v>
      </c>
      <c r="I63" s="883">
        <f>SUMIF(修正!A57:A68,H63,修正!G57:G68)</f>
        <v>0.15</v>
      </c>
      <c r="J63" s="887"/>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t="e">
        <f t="shared" si="17"/>
        <v>#DIV/0!</v>
      </c>
      <c r="C64" s="168">
        <f t="shared" si="16"/>
        <v>0.15</v>
      </c>
      <c r="D64" s="937">
        <v>0.25</v>
      </c>
      <c r="E64" s="214">
        <f>'数据-汇总表'!E15</f>
        <v>0</v>
      </c>
      <c r="F64" s="878" t="e">
        <f t="shared" si="15"/>
        <v>#DIV/0!</v>
      </c>
      <c r="G64" s="1980" t="s">
        <v>1896</v>
      </c>
      <c r="H64" s="889" t="str">
        <f>项目基本情况!C37</f>
        <v>五级</v>
      </c>
      <c r="I64" s="885">
        <f>SUMIF(修正!A57:A68,H64,修正!G57:G68)</f>
        <v>0.15</v>
      </c>
      <c r="J64" s="888"/>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51900.97</v>
      </c>
      <c r="F65" s="642" t="e">
        <f>IF(B46="楼面地价",SUM(F56:F64),ROUND(C48*E65/10000,0))</f>
        <v>#DIV/0!</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19"/>
      <c r="K66" s="880"/>
      <c r="L66" s="881"/>
      <c r="M66" s="919"/>
      <c r="N66" s="919"/>
      <c r="O66" s="919"/>
      <c r="P66" s="2717"/>
      <c r="Q66" s="2717"/>
      <c r="R66" s="2717"/>
      <c r="S66" s="2717"/>
      <c r="T66" s="2717"/>
      <c r="U66" s="2717"/>
      <c r="V66" s="2717"/>
      <c r="W66" s="2717"/>
      <c r="X66" s="2717"/>
      <c r="Y66" s="2717"/>
      <c r="Z66" s="2717"/>
      <c r="AA66" s="2717"/>
      <c r="AB66" s="2717"/>
      <c r="AC66" s="2717"/>
    </row>
    <row r="67" spans="1:29">
      <c r="A67" s="686"/>
      <c r="B67" s="688"/>
      <c r="C67" s="688" t="str">
        <f>YEAR(C7)&amp;"-"&amp;MONTH(C7)&amp;"-1"</f>
        <v>2024-4-1</v>
      </c>
      <c r="D67" s="688">
        <f>EDATE(C67,-3)</f>
        <v>45292</v>
      </c>
      <c r="E67" s="688">
        <f>EDATE(D67,-3)</f>
        <v>45200</v>
      </c>
      <c r="F67" s="688">
        <f t="shared" ref="F67:O67" si="18">EDATE(E67,-3)</f>
        <v>45108</v>
      </c>
      <c r="G67" s="688">
        <f t="shared" si="18"/>
        <v>45017</v>
      </c>
      <c r="H67" s="688">
        <f t="shared" si="18"/>
        <v>44927</v>
      </c>
      <c r="I67" s="688">
        <f t="shared" si="18"/>
        <v>44835</v>
      </c>
      <c r="J67" s="688">
        <f t="shared" si="18"/>
        <v>44743</v>
      </c>
      <c r="K67" s="688">
        <f t="shared" si="18"/>
        <v>44652</v>
      </c>
      <c r="L67" s="688">
        <f t="shared" si="18"/>
        <v>44562</v>
      </c>
      <c r="M67" s="688">
        <f t="shared" si="18"/>
        <v>44470</v>
      </c>
      <c r="N67" s="688">
        <f t="shared" si="18"/>
        <v>44378</v>
      </c>
      <c r="O67" s="688">
        <f t="shared" si="18"/>
        <v>44287</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2"/>
      <c r="K68" s="933"/>
      <c r="L68" s="934"/>
      <c r="M68" s="932"/>
      <c r="N68" s="2761"/>
      <c r="O68" s="2761"/>
      <c r="P68" s="2761"/>
      <c r="Q68" s="2731"/>
      <c r="R68" s="2717"/>
      <c r="S68" s="2717"/>
      <c r="T68" s="2717"/>
      <c r="U68" s="2717"/>
      <c r="V68" s="2717"/>
      <c r="W68" s="2717"/>
      <c r="X68" s="2717"/>
      <c r="Y68" s="2717"/>
      <c r="Z68" s="2717"/>
      <c r="AA68" s="2717"/>
      <c r="AB68" s="2717"/>
      <c r="AC68" s="2717"/>
    </row>
    <row r="69" spans="1:29" s="454" customFormat="1" ht="15">
      <c r="A69" s="1981" t="s">
        <v>1904</v>
      </c>
      <c r="B69" s="1101"/>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2768"/>
      <c r="Q69" s="2733"/>
      <c r="R69" s="2733"/>
      <c r="S69" s="2733"/>
      <c r="T69" s="2733"/>
      <c r="U69" s="2733"/>
      <c r="V69" s="2733"/>
      <c r="W69" s="2733"/>
      <c r="X69" s="2733"/>
      <c r="Y69" s="2733"/>
      <c r="Z69" s="2733"/>
      <c r="AA69" s="2733"/>
      <c r="AB69" s="2733"/>
      <c r="AC69" s="2733"/>
    </row>
    <row r="70" spans="1:29" s="108" customFormat="1" ht="30" customHeight="1">
      <c r="A70" s="1982"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0"/>
      <c r="N70" s="541"/>
      <c r="O70" s="1171"/>
      <c r="P70" s="2731"/>
      <c r="Q70" s="2653"/>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5"/>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c r="E72" s="469"/>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c r="E73" s="458"/>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c r="A74" s="473" t="s">
        <v>1719</v>
      </c>
      <c r="B74" s="474" t="s">
        <v>1685</v>
      </c>
      <c r="C74" s="476"/>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c r="D79" s="495"/>
      <c r="E79" s="495"/>
      <c r="F79" s="495"/>
      <c r="G79" s="495"/>
      <c r="H79" s="495"/>
      <c r="I79" s="495"/>
      <c r="J79" s="495"/>
      <c r="K79" s="496"/>
      <c r="L79" s="497"/>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4"/>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4"/>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500"/>
      <c r="D105" s="500"/>
      <c r="E105" s="500"/>
      <c r="F105" s="500"/>
      <c r="G105" s="500"/>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529"/>
      <c r="D107" s="529"/>
      <c r="E107" s="529"/>
      <c r="F107" s="529"/>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c r="D116" s="541"/>
      <c r="E116" s="541"/>
      <c r="F116" s="541"/>
      <c r="G116" s="541"/>
      <c r="H116" s="541"/>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c r="D117" s="537"/>
      <c r="E117" s="537"/>
      <c r="F117" s="537"/>
      <c r="G117" s="537"/>
      <c r="H117" s="537"/>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529"/>
      <c r="D118" s="529"/>
      <c r="E118" s="529"/>
      <c r="F118" s="529"/>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500"/>
      <c r="D122" s="500"/>
      <c r="E122" s="500"/>
      <c r="F122" s="500"/>
      <c r="G122" s="500"/>
      <c r="H122" s="529"/>
      <c r="I122" s="529"/>
      <c r="J122" s="529"/>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500"/>
      <c r="D124" s="500"/>
      <c r="E124" s="529"/>
      <c r="F124" s="529"/>
      <c r="G124" s="529"/>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f>B43</f>
        <v>111</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0"/>
      <c r="D2" s="900"/>
      <c r="E2" s="900"/>
      <c r="F2" s="901"/>
      <c r="G2" s="900"/>
      <c r="H2" s="900"/>
      <c r="I2" s="900"/>
      <c r="J2" s="900"/>
      <c r="K2" s="902"/>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5"/>
      <c r="E3" s="900"/>
      <c r="F3" s="901"/>
      <c r="G3" s="900"/>
      <c r="H3" s="900"/>
      <c r="I3" s="900"/>
      <c r="J3" s="900"/>
      <c r="K3" s="902"/>
      <c r="L3" s="2726"/>
      <c r="M3" s="2727"/>
      <c r="N3" s="2727"/>
      <c r="O3" s="2727"/>
      <c r="P3" s="695"/>
      <c r="Q3" s="695"/>
      <c r="R3" s="695"/>
      <c r="S3" s="695"/>
      <c r="T3" s="695"/>
      <c r="U3" s="695"/>
      <c r="V3" s="695"/>
      <c r="W3" s="695"/>
      <c r="X3" s="695"/>
      <c r="Y3" s="695"/>
      <c r="Z3" s="695"/>
      <c r="AA3" s="695"/>
      <c r="AB3" s="712"/>
      <c r="AC3" s="709"/>
    </row>
    <row r="4" spans="1:29" ht="15">
      <c r="A4" s="352" t="s">
        <v>1769</v>
      </c>
      <c r="B4" s="353"/>
      <c r="C4" s="3762" t="s">
        <v>1770</v>
      </c>
      <c r="D4" s="3763"/>
      <c r="E4" s="3764" t="s">
        <v>1771</v>
      </c>
      <c r="F4" s="3765"/>
      <c r="G4" s="3762" t="s">
        <v>1772</v>
      </c>
      <c r="H4" s="3763"/>
      <c r="I4" s="3762" t="s">
        <v>1773</v>
      </c>
      <c r="J4" s="3763"/>
      <c r="K4" s="556" t="s">
        <v>1774</v>
      </c>
      <c r="L4" s="2707"/>
      <c r="M4" s="2708"/>
      <c r="N4" s="2708"/>
      <c r="O4" s="2708"/>
      <c r="P4" s="3828" t="s">
        <v>1775</v>
      </c>
      <c r="Q4" s="3829"/>
      <c r="R4" s="3832" t="s">
        <v>1771</v>
      </c>
      <c r="S4" s="3833"/>
      <c r="T4" s="3832" t="s">
        <v>1772</v>
      </c>
      <c r="U4" s="3833"/>
      <c r="V4" s="3779" t="s">
        <v>1773</v>
      </c>
      <c r="W4" s="3779"/>
      <c r="X4" s="1347"/>
      <c r="Y4" s="3832" t="s">
        <v>1775</v>
      </c>
      <c r="Z4" s="3833"/>
      <c r="AA4" s="3827" t="s">
        <v>1771</v>
      </c>
      <c r="AB4" s="3791" t="s">
        <v>1772</v>
      </c>
      <c r="AC4" s="3827" t="s">
        <v>1773</v>
      </c>
    </row>
    <row r="5" spans="1:29" ht="15">
      <c r="A5" s="355"/>
      <c r="B5" s="356"/>
      <c r="C5" s="3782" t="s">
        <v>1673</v>
      </c>
      <c r="D5" s="3783"/>
      <c r="E5" s="3793" t="s">
        <v>1674</v>
      </c>
      <c r="F5" s="3794"/>
      <c r="G5" s="3782" t="s">
        <v>1675</v>
      </c>
      <c r="H5" s="3783"/>
      <c r="I5" s="3782" t="s">
        <v>1676</v>
      </c>
      <c r="J5" s="3783"/>
      <c r="K5" s="556"/>
      <c r="L5" s="2707"/>
      <c r="M5" s="2708"/>
      <c r="N5" s="2708"/>
      <c r="O5" s="2708"/>
      <c r="P5" s="3830"/>
      <c r="Q5" s="3769"/>
      <c r="R5" s="3774"/>
      <c r="S5" s="3775"/>
      <c r="T5" s="3774"/>
      <c r="U5" s="3775"/>
      <c r="V5" s="3779"/>
      <c r="W5" s="3779"/>
      <c r="X5" s="1347"/>
      <c r="Y5" s="3774"/>
      <c r="Z5" s="3775"/>
      <c r="AA5" s="3791"/>
      <c r="AB5" s="3791"/>
      <c r="AC5" s="3791"/>
    </row>
    <row r="6" spans="1:29" ht="15.75" thickBot="1">
      <c r="A6" s="357"/>
      <c r="B6" s="358"/>
      <c r="C6" s="3839" t="s">
        <v>1919</v>
      </c>
      <c r="D6" s="3840"/>
      <c r="E6" s="3841" t="s">
        <v>1919</v>
      </c>
      <c r="F6" s="3842"/>
      <c r="G6" s="3839" t="s">
        <v>1919</v>
      </c>
      <c r="H6" s="3840"/>
      <c r="I6" s="3839" t="s">
        <v>1919</v>
      </c>
      <c r="J6" s="3840"/>
      <c r="K6" s="556" t="s">
        <v>1678</v>
      </c>
      <c r="L6" s="2707"/>
      <c r="M6" s="2708"/>
      <c r="N6" s="2708"/>
      <c r="O6" s="2708"/>
      <c r="P6" s="3831"/>
      <c r="Q6" s="3771"/>
      <c r="R6" s="3774"/>
      <c r="S6" s="3775"/>
      <c r="T6" s="3776"/>
      <c r="U6" s="3777"/>
      <c r="V6" s="3779"/>
      <c r="W6" s="3779"/>
      <c r="X6" s="1347"/>
      <c r="Y6" s="3776"/>
      <c r="Z6" s="3777"/>
      <c r="AA6" s="3792"/>
      <c r="AB6" s="3792"/>
      <c r="AC6" s="3792"/>
    </row>
    <row r="7" spans="1:29" s="108" customFormat="1" ht="15.75" thickBot="1">
      <c r="A7" s="359" t="s">
        <v>1679</v>
      </c>
      <c r="B7" s="360"/>
      <c r="C7" s="361">
        <f>'数据-取费表'!B2</f>
        <v>45401</v>
      </c>
      <c r="D7" s="362">
        <v>100</v>
      </c>
      <c r="E7" s="363"/>
      <c r="F7" s="364">
        <f>SUMIF(65:65,YEAR(E7)&amp;"-"&amp;INT((MONTH(E7)+2)/3),66:66)</f>
        <v>0</v>
      </c>
      <c r="G7" s="1966"/>
      <c r="H7" s="362">
        <f>SUMIF(65:65,YEAR(G7)&amp;"-"&amp;INT((MONTH(G7)+2)/3),66:66)</f>
        <v>0</v>
      </c>
      <c r="I7" s="1966"/>
      <c r="J7" s="362">
        <f>SUMIF(65:65,YEAR(I7)&amp;"-"&amp;INT((MONTH(I7)+2)/3),66:66)</f>
        <v>0</v>
      </c>
      <c r="K7" s="557"/>
      <c r="L7" s="2709"/>
      <c r="M7" s="2710"/>
      <c r="N7" s="2710"/>
      <c r="O7" s="2710"/>
      <c r="P7" s="3786" t="s">
        <v>1680</v>
      </c>
      <c r="Q7" s="3787"/>
      <c r="R7" s="697" t="s">
        <v>14</v>
      </c>
      <c r="S7" s="698">
        <f t="shared" ref="S7:S15" si="0">F7</f>
        <v>0</v>
      </c>
      <c r="T7" s="697" t="s">
        <v>14</v>
      </c>
      <c r="U7" s="698">
        <f t="shared" ref="U7:U15" si="1">H7</f>
        <v>0</v>
      </c>
      <c r="V7" s="697" t="s">
        <v>14</v>
      </c>
      <c r="W7" s="698">
        <f t="shared" ref="W7:W15" si="2">J7</f>
        <v>0</v>
      </c>
      <c r="X7" s="699"/>
      <c r="Y7" s="3786" t="s">
        <v>1680</v>
      </c>
      <c r="Z7" s="3785"/>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86" t="s">
        <v>1683</v>
      </c>
      <c r="Q8" s="3785"/>
      <c r="R8" s="697" t="s">
        <v>14</v>
      </c>
      <c r="S8" s="698">
        <f t="shared" si="0"/>
        <v>0</v>
      </c>
      <c r="T8" s="697" t="s">
        <v>14</v>
      </c>
      <c r="U8" s="698">
        <f t="shared" si="1"/>
        <v>0</v>
      </c>
      <c r="V8" s="697" t="s">
        <v>14</v>
      </c>
      <c r="W8" s="698">
        <f t="shared" si="2"/>
        <v>0</v>
      </c>
      <c r="X8" s="699"/>
      <c r="Y8" s="3786" t="s">
        <v>1683</v>
      </c>
      <c r="Z8" s="3785"/>
      <c r="AA8" s="700" t="e">
        <f t="shared" ref="AA8:AA40" si="3">D8/F8</f>
        <v>#DIV/0!</v>
      </c>
      <c r="AB8" s="700" t="e">
        <f t="shared" ref="AB8:AB40" si="4">D8/H8</f>
        <v>#DIV/0!</v>
      </c>
      <c r="AC8" s="700" t="e">
        <f t="shared" ref="AC8:AC40" si="5">D8/J8</f>
        <v>#DIV/0!</v>
      </c>
    </row>
    <row r="9" spans="1:29" s="108" customFormat="1">
      <c r="A9" s="366" t="s">
        <v>1684</v>
      </c>
      <c r="B9" s="63" t="s">
        <v>1685</v>
      </c>
      <c r="C9" s="1969"/>
      <c r="D9" s="123">
        <v>100</v>
      </c>
      <c r="E9" s="1969"/>
      <c r="F9" s="123">
        <f>SUMIF(70:70,E9,71:71)-SUMIF(70:70,C9,71:71)+100</f>
        <v>100</v>
      </c>
      <c r="G9" s="1969"/>
      <c r="H9" s="123">
        <f>SUMIF(70:70,G9,71:71)-SUMIF(70:70,C9,71:71)+100</f>
        <v>100</v>
      </c>
      <c r="I9" s="1969"/>
      <c r="J9" s="123">
        <f>SUMIF(70:70,I9,71:71)-SUMIF(70:70,C9,71:71)+100</f>
        <v>100</v>
      </c>
      <c r="K9" s="557"/>
      <c r="L9" s="2709"/>
      <c r="M9" s="2710"/>
      <c r="N9" s="2710"/>
      <c r="O9" s="2764"/>
      <c r="P9" s="3745" t="s">
        <v>1686</v>
      </c>
      <c r="Q9" s="1335" t="str">
        <f t="shared" ref="Q9:Q15" si="6">B9</f>
        <v>用途</v>
      </c>
      <c r="R9" s="697" t="s">
        <v>14</v>
      </c>
      <c r="S9" s="698">
        <f t="shared" si="0"/>
        <v>100</v>
      </c>
      <c r="T9" s="697" t="s">
        <v>14</v>
      </c>
      <c r="U9" s="698">
        <f t="shared" si="1"/>
        <v>100</v>
      </c>
      <c r="V9" s="697" t="s">
        <v>14</v>
      </c>
      <c r="W9" s="698">
        <f t="shared" si="2"/>
        <v>100</v>
      </c>
      <c r="X9" s="699"/>
      <c r="Y9" s="3651" t="s">
        <v>1687</v>
      </c>
      <c r="Z9" s="52" t="str">
        <f t="shared" ref="Z9:Z15" si="7">Q9</f>
        <v>用途</v>
      </c>
      <c r="AA9" s="700">
        <f t="shared" si="3"/>
        <v>1</v>
      </c>
      <c r="AB9" s="700">
        <f t="shared" si="4"/>
        <v>1</v>
      </c>
      <c r="AC9" s="700">
        <f t="shared" si="5"/>
        <v>1</v>
      </c>
    </row>
    <row r="10" spans="1:29" s="375" customFormat="1" ht="27">
      <c r="A10" s="371"/>
      <c r="B10" s="372" t="s">
        <v>1688</v>
      </c>
      <c r="C10" s="380"/>
      <c r="D10" s="124">
        <v>100</v>
      </c>
      <c r="E10" s="380"/>
      <c r="F10" s="124">
        <f>ROUND(100/'数据-取费表'!G16,0)</f>
        <v>105</v>
      </c>
      <c r="G10" s="380"/>
      <c r="H10" s="124">
        <f>ROUND(100/'数据-取费表'!G16,0)</f>
        <v>105</v>
      </c>
      <c r="I10" s="380"/>
      <c r="J10" s="124">
        <f>ROUND(100/'数据-取费表'!G16,0)</f>
        <v>105</v>
      </c>
      <c r="K10" s="617"/>
      <c r="L10" s="2711"/>
      <c r="M10" s="2712"/>
      <c r="N10" s="2712"/>
      <c r="O10" s="2765"/>
      <c r="P10" s="3745"/>
      <c r="Q10" s="1335" t="str">
        <f t="shared" si="6"/>
        <v>土地使用年限（年）</v>
      </c>
      <c r="R10" s="697" t="s">
        <v>14</v>
      </c>
      <c r="S10" s="698">
        <f t="shared" si="0"/>
        <v>105</v>
      </c>
      <c r="T10" s="697" t="s">
        <v>14</v>
      </c>
      <c r="U10" s="698">
        <f t="shared" si="1"/>
        <v>105</v>
      </c>
      <c r="V10" s="697" t="s">
        <v>14</v>
      </c>
      <c r="W10" s="698">
        <f t="shared" si="2"/>
        <v>105</v>
      </c>
      <c r="X10" s="699"/>
      <c r="Y10" s="3651"/>
      <c r="Z10" s="52" t="str">
        <f t="shared" si="7"/>
        <v>土地使用年限（年）</v>
      </c>
      <c r="AA10" s="700">
        <f t="shared" si="3"/>
        <v>0.95238095238095233</v>
      </c>
      <c r="AB10" s="700">
        <f t="shared" si="4"/>
        <v>0.95238095238095233</v>
      </c>
      <c r="AC10" s="700">
        <f t="shared" si="5"/>
        <v>0.95238095238095233</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3"/>
      <c r="M11" s="2708"/>
      <c r="N11" s="2708"/>
      <c r="O11" s="2766"/>
      <c r="P11" s="3745"/>
      <c r="Q11" s="1335" t="str">
        <f t="shared" si="6"/>
        <v>容积率</v>
      </c>
      <c r="R11" s="697" t="s">
        <v>14</v>
      </c>
      <c r="S11" s="698" t="e">
        <f t="shared" si="0"/>
        <v>#N/A</v>
      </c>
      <c r="T11" s="697" t="s">
        <v>14</v>
      </c>
      <c r="U11" s="698" t="e">
        <f t="shared" si="1"/>
        <v>#N/A</v>
      </c>
      <c r="V11" s="697" t="s">
        <v>14</v>
      </c>
      <c r="W11" s="698" t="e">
        <f t="shared" si="2"/>
        <v>#N/A</v>
      </c>
      <c r="X11" s="699"/>
      <c r="Y11" s="3651"/>
      <c r="Z11" s="52" t="str">
        <f t="shared" si="7"/>
        <v>容积率</v>
      </c>
      <c r="AA11" s="700" t="e">
        <f t="shared" si="3"/>
        <v>#N/A</v>
      </c>
      <c r="AB11" s="700" t="e">
        <f t="shared" si="4"/>
        <v>#N/A</v>
      </c>
      <c r="AC11" s="700" t="e">
        <f t="shared" si="5"/>
        <v>#N/A</v>
      </c>
    </row>
    <row r="12" spans="1:29" s="108" customFormat="1" ht="15">
      <c r="A12" s="379"/>
      <c r="B12" s="1885">
        <v>111</v>
      </c>
      <c r="C12" s="380"/>
      <c r="D12" s="381">
        <v>100</v>
      </c>
      <c r="E12" s="495"/>
      <c r="F12" s="124">
        <f>SUMIF(77:77,E12,78:78)-SUMIF(77:77,C12,78:78)+100</f>
        <v>100</v>
      </c>
      <c r="G12" s="619"/>
      <c r="H12" s="124">
        <f>SUMIF(77:77,G12,78:78)-SUMIF(77:77,C12,78:78)+100</f>
        <v>100</v>
      </c>
      <c r="I12" s="495"/>
      <c r="J12" s="124">
        <f>SUMIF(77:77,I12,78:78)-SUMIF(77:77,C12,78:78)+100</f>
        <v>100</v>
      </c>
      <c r="K12" s="617"/>
      <c r="L12" s="2709"/>
      <c r="M12" s="2710"/>
      <c r="N12" s="2710"/>
      <c r="O12" s="2764"/>
      <c r="P12" s="3745"/>
      <c r="Q12" s="1335">
        <f t="shared" si="6"/>
        <v>111</v>
      </c>
      <c r="R12" s="697" t="s">
        <v>14</v>
      </c>
      <c r="S12" s="698">
        <f t="shared" si="0"/>
        <v>100</v>
      </c>
      <c r="T12" s="697" t="s">
        <v>14</v>
      </c>
      <c r="U12" s="698">
        <f t="shared" si="1"/>
        <v>100</v>
      </c>
      <c r="V12" s="697" t="s">
        <v>14</v>
      </c>
      <c r="W12" s="698">
        <f t="shared" si="2"/>
        <v>100</v>
      </c>
      <c r="X12" s="699"/>
      <c r="Y12" s="3651"/>
      <c r="Z12" s="52">
        <f t="shared" si="7"/>
        <v>111</v>
      </c>
      <c r="AA12" s="700">
        <f>D12/F12</f>
        <v>1</v>
      </c>
      <c r="AB12" s="700">
        <f>D12/H12</f>
        <v>1</v>
      </c>
      <c r="AC12" s="700">
        <f>D12/J12</f>
        <v>1</v>
      </c>
    </row>
    <row r="13" spans="1:29" ht="15">
      <c r="A13" s="376"/>
      <c r="B13" s="1885">
        <v>111</v>
      </c>
      <c r="C13" s="382"/>
      <c r="D13" s="383">
        <v>100</v>
      </c>
      <c r="E13" s="495"/>
      <c r="F13" s="124">
        <f>SUMIF(79:79,E13,80:80)-SUMIF(79:79,C13,80:80)+100</f>
        <v>100</v>
      </c>
      <c r="G13" s="619"/>
      <c r="H13" s="383">
        <f>SUMIF(79:79,G13,80:80)-SUMIF(79:79,C13,80:80)+100</f>
        <v>100</v>
      </c>
      <c r="I13" s="495"/>
      <c r="J13" s="383">
        <f>SUMIF(79:79,I13,80:80)-SUMIF(79:79,C13,80:80)+100</f>
        <v>100</v>
      </c>
      <c r="K13" s="617"/>
      <c r="L13" s="2714"/>
      <c r="M13" s="2708"/>
      <c r="N13" s="2708"/>
      <c r="O13" s="2766"/>
      <c r="P13" s="3745"/>
      <c r="Q13" s="1335">
        <f t="shared" si="6"/>
        <v>111</v>
      </c>
      <c r="R13" s="697" t="s">
        <v>14</v>
      </c>
      <c r="S13" s="698">
        <f t="shared" si="0"/>
        <v>100</v>
      </c>
      <c r="T13" s="697" t="s">
        <v>14</v>
      </c>
      <c r="U13" s="698">
        <f t="shared" si="1"/>
        <v>100</v>
      </c>
      <c r="V13" s="697" t="s">
        <v>14</v>
      </c>
      <c r="W13" s="698">
        <f t="shared" si="2"/>
        <v>100</v>
      </c>
      <c r="X13" s="699"/>
      <c r="Y13" s="3651"/>
      <c r="Z13" s="52">
        <f t="shared" si="7"/>
        <v>111</v>
      </c>
      <c r="AA13" s="700">
        <f t="shared" si="3"/>
        <v>1</v>
      </c>
      <c r="AB13" s="700">
        <f t="shared" si="4"/>
        <v>1</v>
      </c>
      <c r="AC13" s="700">
        <f t="shared" si="5"/>
        <v>1</v>
      </c>
    </row>
    <row r="14" spans="1:29" ht="15.75" thickBot="1">
      <c r="A14" s="384"/>
      <c r="B14" s="1887">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45"/>
      <c r="Q14" s="1335">
        <f t="shared" si="6"/>
        <v>111</v>
      </c>
      <c r="R14" s="697" t="s">
        <v>14</v>
      </c>
      <c r="S14" s="698">
        <f t="shared" si="0"/>
        <v>100</v>
      </c>
      <c r="T14" s="697" t="s">
        <v>14</v>
      </c>
      <c r="U14" s="698">
        <f t="shared" si="1"/>
        <v>100</v>
      </c>
      <c r="V14" s="697" t="s">
        <v>14</v>
      </c>
      <c r="W14" s="698">
        <f t="shared" si="2"/>
        <v>100</v>
      </c>
      <c r="X14" s="699"/>
      <c r="Y14" s="3651"/>
      <c r="Z14" s="52">
        <f t="shared" si="7"/>
        <v>111</v>
      </c>
      <c r="AA14" s="700">
        <f t="shared" si="3"/>
        <v>1</v>
      </c>
      <c r="AB14" s="700">
        <f t="shared" si="4"/>
        <v>1</v>
      </c>
      <c r="AC14" s="700">
        <f t="shared" si="5"/>
        <v>1</v>
      </c>
    </row>
    <row r="15" spans="1:29" ht="57">
      <c r="A15" s="388" t="s">
        <v>1690</v>
      </c>
      <c r="B15" s="574" t="s">
        <v>1920</v>
      </c>
      <c r="C15" s="1963"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52" t="s">
        <v>1691</v>
      </c>
      <c r="Q15" s="1344" t="str">
        <f t="shared" si="6"/>
        <v>产业集聚程度</v>
      </c>
      <c r="R15" s="701" t="s">
        <v>14</v>
      </c>
      <c r="S15" s="702">
        <f t="shared" si="0"/>
        <v>100</v>
      </c>
      <c r="T15" s="701" t="s">
        <v>14</v>
      </c>
      <c r="U15" s="702">
        <f t="shared" si="1"/>
        <v>100</v>
      </c>
      <c r="V15" s="701" t="s">
        <v>14</v>
      </c>
      <c r="W15" s="702">
        <f t="shared" si="2"/>
        <v>100</v>
      </c>
      <c r="X15" s="1347"/>
      <c r="Y15" s="3752" t="s">
        <v>1691</v>
      </c>
      <c r="Z15" s="1348" t="str">
        <f t="shared" si="7"/>
        <v>产业集聚程度</v>
      </c>
      <c r="AA15" s="1345">
        <f t="shared" si="3"/>
        <v>1</v>
      </c>
      <c r="AB15" s="1345">
        <f t="shared" si="4"/>
        <v>1</v>
      </c>
      <c r="AC15" s="1345">
        <f t="shared" si="5"/>
        <v>1</v>
      </c>
    </row>
    <row r="16" spans="1:29" ht="15">
      <c r="A16" s="376"/>
      <c r="B16" s="575"/>
      <c r="C16" s="395"/>
      <c r="D16" s="396"/>
      <c r="E16" s="1896"/>
      <c r="F16" s="396"/>
      <c r="G16" s="1896"/>
      <c r="H16" s="398"/>
      <c r="I16" s="1896"/>
      <c r="J16" s="396"/>
      <c r="K16" s="617"/>
      <c r="L16" s="2714"/>
      <c r="M16" s="2708"/>
      <c r="N16" s="2708"/>
      <c r="O16" s="2766"/>
      <c r="P16" s="3753"/>
      <c r="Q16" s="1344"/>
      <c r="R16" s="701"/>
      <c r="S16" s="702"/>
      <c r="T16" s="701"/>
      <c r="U16" s="702"/>
      <c r="V16" s="701"/>
      <c r="W16" s="702"/>
      <c r="X16" s="1347"/>
      <c r="Y16" s="3753"/>
      <c r="Z16" s="1348"/>
      <c r="AA16" s="1345">
        <v>1</v>
      </c>
      <c r="AB16" s="1345">
        <v>1</v>
      </c>
      <c r="AC16" s="1345">
        <v>1</v>
      </c>
    </row>
    <row r="17" spans="1:29" ht="85.5">
      <c r="A17" s="376"/>
      <c r="B17" s="576" t="s">
        <v>1833</v>
      </c>
      <c r="C17" s="1892"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53"/>
      <c r="Q17" s="1344" t="str">
        <f>B17</f>
        <v>交通便捷度</v>
      </c>
      <c r="R17" s="701" t="s">
        <v>14</v>
      </c>
      <c r="S17" s="702">
        <f>F17</f>
        <v>100</v>
      </c>
      <c r="T17" s="701" t="s">
        <v>14</v>
      </c>
      <c r="U17" s="702">
        <f>H17</f>
        <v>100</v>
      </c>
      <c r="V17" s="701" t="s">
        <v>14</v>
      </c>
      <c r="W17" s="702">
        <f>J17</f>
        <v>100</v>
      </c>
      <c r="X17" s="1347"/>
      <c r="Y17" s="3753"/>
      <c r="Z17" s="1348" t="str">
        <f>Q17</f>
        <v>交通便捷度</v>
      </c>
      <c r="AA17" s="1345">
        <f t="shared" si="3"/>
        <v>1</v>
      </c>
      <c r="AB17" s="1345">
        <f t="shared" si="4"/>
        <v>1</v>
      </c>
      <c r="AC17" s="1345">
        <f t="shared" si="5"/>
        <v>1</v>
      </c>
    </row>
    <row r="18" spans="1:29" ht="15">
      <c r="A18" s="376"/>
      <c r="B18" s="577"/>
      <c r="C18" s="395"/>
      <c r="D18" s="396"/>
      <c r="E18" s="1890"/>
      <c r="F18" s="396"/>
      <c r="G18" s="1890"/>
      <c r="H18" s="396"/>
      <c r="I18" s="1889"/>
      <c r="J18" s="396"/>
      <c r="K18" s="617"/>
      <c r="L18" s="2714"/>
      <c r="M18" s="2708"/>
      <c r="N18" s="2708"/>
      <c r="O18" s="2766"/>
      <c r="P18" s="3753"/>
      <c r="Q18" s="1344"/>
      <c r="R18" s="701"/>
      <c r="S18" s="702"/>
      <c r="T18" s="701"/>
      <c r="U18" s="702"/>
      <c r="V18" s="701"/>
      <c r="W18" s="702"/>
      <c r="X18" s="1347"/>
      <c r="Y18" s="3753"/>
      <c r="Z18" s="1348"/>
      <c r="AA18" s="1345">
        <v>1</v>
      </c>
      <c r="AB18" s="1345">
        <v>1</v>
      </c>
      <c r="AC18" s="1345">
        <v>1</v>
      </c>
    </row>
    <row r="19" spans="1:29" ht="15">
      <c r="A19" s="376"/>
      <c r="B19" s="576" t="s">
        <v>1871</v>
      </c>
      <c r="C19" s="1892">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53"/>
      <c r="Q19" s="1344" t="str">
        <f t="shared" ref="Q19:Q33" si="8">B19</f>
        <v>区域土地利用方向</v>
      </c>
      <c r="R19" s="701" t="s">
        <v>14</v>
      </c>
      <c r="S19" s="702">
        <f>F19</f>
        <v>100</v>
      </c>
      <c r="T19" s="701" t="s">
        <v>14</v>
      </c>
      <c r="U19" s="702">
        <f>H19</f>
        <v>100</v>
      </c>
      <c r="V19" s="701" t="s">
        <v>14</v>
      </c>
      <c r="W19" s="702">
        <f>J19</f>
        <v>100</v>
      </c>
      <c r="X19" s="1347"/>
      <c r="Y19" s="3753"/>
      <c r="Z19" s="1348" t="str">
        <f>Q19</f>
        <v>区域土地利用方向</v>
      </c>
      <c r="AA19" s="1345">
        <f t="shared" si="3"/>
        <v>1</v>
      </c>
      <c r="AB19" s="1345">
        <f t="shared" si="4"/>
        <v>1</v>
      </c>
      <c r="AC19" s="1345">
        <f t="shared" si="5"/>
        <v>1</v>
      </c>
    </row>
    <row r="20" spans="1:29" ht="15">
      <c r="A20" s="355"/>
      <c r="B20" s="577"/>
      <c r="C20" s="395"/>
      <c r="D20" s="396"/>
      <c r="E20" s="1890"/>
      <c r="F20" s="396"/>
      <c r="G20" s="1890"/>
      <c r="H20" s="396"/>
      <c r="I20" s="1890"/>
      <c r="J20" s="396"/>
      <c r="K20" s="732"/>
      <c r="L20" s="2714"/>
      <c r="M20" s="2708"/>
      <c r="N20" s="2708"/>
      <c r="O20" s="2766"/>
      <c r="P20" s="3753"/>
      <c r="Q20" s="1344"/>
      <c r="R20" s="701"/>
      <c r="S20" s="702"/>
      <c r="T20" s="701"/>
      <c r="U20" s="702"/>
      <c r="V20" s="701"/>
      <c r="W20" s="702"/>
      <c r="X20" s="1347"/>
      <c r="Y20" s="3753"/>
      <c r="Z20" s="1348"/>
      <c r="AA20" s="1345"/>
      <c r="AB20" s="1345"/>
      <c r="AC20" s="1345"/>
    </row>
    <row r="21" spans="1:29" ht="71.25">
      <c r="A21" s="355"/>
      <c r="B21" s="576" t="s">
        <v>1921</v>
      </c>
      <c r="C21" s="1892"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53"/>
      <c r="Q21" s="1344" t="str">
        <f t="shared" si="8"/>
        <v>环境状况</v>
      </c>
      <c r="R21" s="701" t="s">
        <v>14</v>
      </c>
      <c r="S21" s="702">
        <f>F21</f>
        <v>100</v>
      </c>
      <c r="T21" s="701" t="s">
        <v>14</v>
      </c>
      <c r="U21" s="702">
        <f>H21</f>
        <v>100</v>
      </c>
      <c r="V21" s="701" t="s">
        <v>14</v>
      </c>
      <c r="W21" s="702">
        <f>J21</f>
        <v>100</v>
      </c>
      <c r="X21" s="1347"/>
      <c r="Y21" s="3753"/>
      <c r="Z21" s="1348" t="str">
        <f>Q21</f>
        <v>环境状况</v>
      </c>
      <c r="AA21" s="1345">
        <f t="shared" si="3"/>
        <v>1</v>
      </c>
      <c r="AB21" s="1345">
        <f t="shared" si="4"/>
        <v>1</v>
      </c>
      <c r="AC21" s="1345">
        <f t="shared" si="5"/>
        <v>1</v>
      </c>
    </row>
    <row r="22" spans="1:29" ht="15">
      <c r="A22" s="355"/>
      <c r="B22" s="577"/>
      <c r="C22" s="395"/>
      <c r="D22" s="396"/>
      <c r="E22" s="1896"/>
      <c r="F22" s="396"/>
      <c r="G22" s="1896"/>
      <c r="H22" s="396"/>
      <c r="I22" s="395"/>
      <c r="J22" s="396"/>
      <c r="K22" s="617"/>
      <c r="L22" s="2714"/>
      <c r="M22" s="2708"/>
      <c r="N22" s="2708"/>
      <c r="O22" s="2766"/>
      <c r="P22" s="3753"/>
      <c r="Q22" s="1344"/>
      <c r="R22" s="701"/>
      <c r="S22" s="702"/>
      <c r="T22" s="701"/>
      <c r="U22" s="702"/>
      <c r="V22" s="701"/>
      <c r="W22" s="702"/>
      <c r="X22" s="1347"/>
      <c r="Y22" s="3753"/>
      <c r="Z22" s="1348"/>
      <c r="AA22" s="1345">
        <v>1</v>
      </c>
      <c r="AB22" s="1345">
        <v>1</v>
      </c>
      <c r="AC22" s="1345">
        <v>1</v>
      </c>
    </row>
    <row r="23" spans="1:29" s="108" customFormat="1" ht="42.75">
      <c r="A23" s="594"/>
      <c r="B23" s="578" t="s">
        <v>1778</v>
      </c>
      <c r="C23" s="1892"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53"/>
      <c r="Q23" s="1335" t="str">
        <f t="shared" si="8"/>
        <v>公共配套设施</v>
      </c>
      <c r="R23" s="697" t="s">
        <v>14</v>
      </c>
      <c r="S23" s="698">
        <f>F23</f>
        <v>100</v>
      </c>
      <c r="T23" s="697" t="s">
        <v>14</v>
      </c>
      <c r="U23" s="698">
        <f>H23</f>
        <v>100</v>
      </c>
      <c r="V23" s="697" t="s">
        <v>14</v>
      </c>
      <c r="W23" s="698">
        <f>J23</f>
        <v>100</v>
      </c>
      <c r="X23" s="699"/>
      <c r="Y23" s="3753"/>
      <c r="Z23" s="52" t="str">
        <f>Q23</f>
        <v>公共配套设施</v>
      </c>
      <c r="AA23" s="1345">
        <f>D23/F23</f>
        <v>1</v>
      </c>
      <c r="AB23" s="1345">
        <f>D23/H23</f>
        <v>1</v>
      </c>
      <c r="AC23" s="1345">
        <f>D23/J23</f>
        <v>1</v>
      </c>
    </row>
    <row r="24" spans="1:29" s="108" customFormat="1" ht="15">
      <c r="A24" s="594"/>
      <c r="B24" s="577"/>
      <c r="C24" s="1970"/>
      <c r="D24" s="396"/>
      <c r="E24" s="1896"/>
      <c r="F24" s="396"/>
      <c r="G24" s="1896"/>
      <c r="H24" s="396"/>
      <c r="I24" s="395"/>
      <c r="J24" s="396"/>
      <c r="K24" s="617"/>
      <c r="L24" s="2709"/>
      <c r="M24" s="2710"/>
      <c r="N24" s="2710"/>
      <c r="O24" s="2764"/>
      <c r="P24" s="3753"/>
      <c r="Q24" s="1335"/>
      <c r="R24" s="697"/>
      <c r="S24" s="698"/>
      <c r="T24" s="697"/>
      <c r="U24" s="698"/>
      <c r="V24" s="697"/>
      <c r="W24" s="698"/>
      <c r="X24" s="699"/>
      <c r="Y24" s="3753"/>
      <c r="Z24" s="52"/>
      <c r="AA24" s="700">
        <v>1</v>
      </c>
      <c r="AB24" s="700">
        <v>1</v>
      </c>
      <c r="AC24" s="700">
        <v>1</v>
      </c>
    </row>
    <row r="25" spans="1:29" s="108" customFormat="1" ht="28.5">
      <c r="A25" s="594"/>
      <c r="B25" s="578" t="s">
        <v>1779</v>
      </c>
      <c r="C25" s="1892"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53"/>
      <c r="Q25" s="1335" t="str">
        <f t="shared" ref="Q25" si="9">B25</f>
        <v>基础设施水平</v>
      </c>
      <c r="R25" s="697" t="s">
        <v>14</v>
      </c>
      <c r="S25" s="698">
        <f>F25</f>
        <v>100</v>
      </c>
      <c r="T25" s="697" t="s">
        <v>14</v>
      </c>
      <c r="U25" s="698">
        <f>H25</f>
        <v>100</v>
      </c>
      <c r="V25" s="697" t="s">
        <v>14</v>
      </c>
      <c r="W25" s="698">
        <f>J25</f>
        <v>100</v>
      </c>
      <c r="X25" s="699"/>
      <c r="Y25" s="3753"/>
      <c r="Z25" s="52" t="str">
        <f>Q25</f>
        <v>基础设施水平</v>
      </c>
      <c r="AA25" s="1345">
        <f>D25/F25</f>
        <v>1</v>
      </c>
      <c r="AB25" s="1345">
        <f>D25/H25</f>
        <v>1</v>
      </c>
      <c r="AC25" s="1345">
        <f>D25/J25</f>
        <v>1</v>
      </c>
    </row>
    <row r="26" spans="1:29" s="108" customFormat="1" ht="15">
      <c r="A26" s="594"/>
      <c r="B26" s="577"/>
      <c r="C26" s="1970"/>
      <c r="D26" s="396"/>
      <c r="E26" s="1971"/>
      <c r="F26" s="396"/>
      <c r="G26" s="1971"/>
      <c r="H26" s="396"/>
      <c r="I26" s="1971"/>
      <c r="J26" s="396"/>
      <c r="K26" s="617"/>
      <c r="L26" s="2709"/>
      <c r="M26" s="2710"/>
      <c r="N26" s="2710"/>
      <c r="O26" s="2764"/>
      <c r="P26" s="3753"/>
      <c r="Q26" s="1335"/>
      <c r="R26" s="697"/>
      <c r="S26" s="698"/>
      <c r="T26" s="697"/>
      <c r="U26" s="698"/>
      <c r="V26" s="697"/>
      <c r="W26" s="698"/>
      <c r="X26" s="699"/>
      <c r="Y26" s="3753"/>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53"/>
      <c r="Q27" s="1344" t="str">
        <f t="shared" si="8"/>
        <v>临街状况</v>
      </c>
      <c r="R27" s="701" t="s">
        <v>14</v>
      </c>
      <c r="S27" s="702">
        <f t="shared" ref="S27:S40" si="10">F27</f>
        <v>100</v>
      </c>
      <c r="T27" s="701" t="s">
        <v>14</v>
      </c>
      <c r="U27" s="702">
        <f t="shared" ref="U27:U40" si="11">H27</f>
        <v>100</v>
      </c>
      <c r="V27" s="701" t="s">
        <v>14</v>
      </c>
      <c r="W27" s="702">
        <f t="shared" ref="W27:W40" si="12">J27</f>
        <v>100</v>
      </c>
      <c r="X27" s="1347"/>
      <c r="Y27" s="3753"/>
      <c r="Z27" s="1348" t="str">
        <f t="shared" ref="Z27:Z40" si="13">Q27</f>
        <v>临街状况</v>
      </c>
      <c r="AA27" s="1345">
        <f t="shared" si="3"/>
        <v>1</v>
      </c>
      <c r="AB27" s="1345">
        <f t="shared" si="4"/>
        <v>1</v>
      </c>
      <c r="AC27" s="1345">
        <f t="shared" si="5"/>
        <v>1</v>
      </c>
    </row>
    <row r="28" spans="1:29" ht="27">
      <c r="A28" s="376"/>
      <c r="B28" s="578" t="s">
        <v>1815</v>
      </c>
      <c r="C28" s="1983">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53"/>
      <c r="Q28" s="1344" t="str">
        <f t="shared" si="8"/>
        <v>毗邻道路的类型与等级</v>
      </c>
      <c r="R28" s="701" t="s">
        <v>14</v>
      </c>
      <c r="S28" s="702">
        <f t="shared" si="10"/>
        <v>100</v>
      </c>
      <c r="T28" s="701" t="s">
        <v>14</v>
      </c>
      <c r="U28" s="702">
        <f t="shared" si="11"/>
        <v>100</v>
      </c>
      <c r="V28" s="701" t="s">
        <v>14</v>
      </c>
      <c r="W28" s="702">
        <f t="shared" si="12"/>
        <v>100</v>
      </c>
      <c r="X28" s="1347"/>
      <c r="Y28" s="3753"/>
      <c r="Z28" s="1348" t="str">
        <f t="shared" si="13"/>
        <v>毗邻道路的类型与等级</v>
      </c>
      <c r="AA28" s="1345">
        <f t="shared" si="3"/>
        <v>1</v>
      </c>
      <c r="AB28" s="1345">
        <f t="shared" si="4"/>
        <v>1</v>
      </c>
      <c r="AC28" s="1345">
        <f t="shared" si="5"/>
        <v>1</v>
      </c>
    </row>
    <row r="29" spans="1:29" ht="15">
      <c r="A29" s="376"/>
      <c r="B29" s="577"/>
      <c r="C29" s="395"/>
      <c r="D29" s="396"/>
      <c r="E29" s="1896"/>
      <c r="F29" s="396"/>
      <c r="G29" s="1896"/>
      <c r="H29" s="396"/>
      <c r="I29" s="1896"/>
      <c r="J29" s="396"/>
      <c r="K29" s="559"/>
      <c r="L29" s="2714"/>
      <c r="M29" s="2708"/>
      <c r="N29" s="2708"/>
      <c r="O29" s="2766"/>
      <c r="P29" s="3753"/>
      <c r="Q29" s="1344"/>
      <c r="R29" s="701"/>
      <c r="S29" s="702"/>
      <c r="T29" s="701"/>
      <c r="U29" s="702"/>
      <c r="V29" s="701"/>
      <c r="W29" s="702"/>
      <c r="X29" s="1347"/>
      <c r="Y29" s="3753"/>
      <c r="Z29" s="1348"/>
      <c r="AA29" s="1345">
        <v>1</v>
      </c>
      <c r="AB29" s="1345">
        <v>1</v>
      </c>
      <c r="AC29" s="1345">
        <v>1</v>
      </c>
    </row>
    <row r="30" spans="1:29" ht="15">
      <c r="A30" s="376"/>
      <c r="B30" s="599" t="s">
        <v>1873</v>
      </c>
      <c r="C30" s="1128">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53"/>
      <c r="Q30" s="1344" t="str">
        <f t="shared" si="8"/>
        <v>土地级别</v>
      </c>
      <c r="R30" s="701" t="s">
        <v>14</v>
      </c>
      <c r="S30" s="702">
        <f t="shared" si="10"/>
        <v>100</v>
      </c>
      <c r="T30" s="701" t="s">
        <v>14</v>
      </c>
      <c r="U30" s="702">
        <f t="shared" si="11"/>
        <v>100</v>
      </c>
      <c r="V30" s="701" t="s">
        <v>14</v>
      </c>
      <c r="W30" s="702">
        <f t="shared" si="12"/>
        <v>100</v>
      </c>
      <c r="X30" s="1347"/>
      <c r="Y30" s="3753"/>
      <c r="Z30" s="1348" t="str">
        <f t="shared" si="13"/>
        <v>土地级别</v>
      </c>
      <c r="AA30" s="1345">
        <f t="shared" si="3"/>
        <v>1</v>
      </c>
      <c r="AB30" s="1345">
        <f t="shared" si="4"/>
        <v>1</v>
      </c>
      <c r="AC30" s="1345">
        <f t="shared" si="5"/>
        <v>1</v>
      </c>
    </row>
    <row r="31" spans="1:29" ht="15">
      <c r="A31" s="355"/>
      <c r="B31" s="1958">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53"/>
      <c r="Q31" s="1344">
        <f t="shared" si="8"/>
        <v>111</v>
      </c>
      <c r="R31" s="701" t="s">
        <v>14</v>
      </c>
      <c r="S31" s="702">
        <f t="shared" si="10"/>
        <v>100</v>
      </c>
      <c r="T31" s="701" t="s">
        <v>14</v>
      </c>
      <c r="U31" s="702">
        <f t="shared" si="11"/>
        <v>100</v>
      </c>
      <c r="V31" s="701" t="s">
        <v>14</v>
      </c>
      <c r="W31" s="702">
        <f t="shared" si="12"/>
        <v>100</v>
      </c>
      <c r="X31" s="1347"/>
      <c r="Y31" s="3753"/>
      <c r="Z31" s="1348">
        <f t="shared" si="13"/>
        <v>111</v>
      </c>
      <c r="AA31" s="1345">
        <f t="shared" si="3"/>
        <v>1</v>
      </c>
      <c r="AB31" s="1345">
        <f t="shared" si="4"/>
        <v>1</v>
      </c>
      <c r="AC31" s="1345">
        <f t="shared" si="5"/>
        <v>1</v>
      </c>
    </row>
    <row r="32" spans="1:29" ht="15">
      <c r="A32" s="620"/>
      <c r="B32" s="1984">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834" t="s">
        <v>1696</v>
      </c>
      <c r="Q32" s="1344">
        <f t="shared" si="8"/>
        <v>111</v>
      </c>
      <c r="R32" s="701" t="s">
        <v>14</v>
      </c>
      <c r="S32" s="702">
        <f t="shared" si="10"/>
        <v>100</v>
      </c>
      <c r="T32" s="701" t="s">
        <v>14</v>
      </c>
      <c r="U32" s="702">
        <f t="shared" si="11"/>
        <v>100</v>
      </c>
      <c r="V32" s="701" t="s">
        <v>14</v>
      </c>
      <c r="W32" s="702">
        <f t="shared" si="12"/>
        <v>100</v>
      </c>
      <c r="X32" s="1347"/>
      <c r="Y32" s="3757" t="s">
        <v>1696</v>
      </c>
      <c r="Z32" s="1348">
        <f t="shared" si="13"/>
        <v>111</v>
      </c>
      <c r="AA32" s="1345">
        <f t="shared" si="3"/>
        <v>1</v>
      </c>
      <c r="AB32" s="1345">
        <f t="shared" si="4"/>
        <v>1</v>
      </c>
      <c r="AC32" s="1345">
        <f t="shared" si="5"/>
        <v>1</v>
      </c>
    </row>
    <row r="33" spans="1:31" s="419" customFormat="1" ht="15.75" thickBot="1">
      <c r="A33" s="621"/>
      <c r="B33" s="1985">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57"/>
      <c r="Q33" s="1344">
        <f t="shared" si="8"/>
        <v>111</v>
      </c>
      <c r="R33" s="704" t="s">
        <v>14</v>
      </c>
      <c r="S33" s="705">
        <f t="shared" si="10"/>
        <v>100</v>
      </c>
      <c r="T33" s="704" t="s">
        <v>14</v>
      </c>
      <c r="U33" s="705">
        <f t="shared" si="11"/>
        <v>100</v>
      </c>
      <c r="V33" s="704" t="s">
        <v>14</v>
      </c>
      <c r="W33" s="705">
        <f t="shared" si="12"/>
        <v>100</v>
      </c>
      <c r="X33" s="706"/>
      <c r="Y33" s="3757"/>
      <c r="Z33" s="707">
        <f t="shared" si="13"/>
        <v>111</v>
      </c>
      <c r="AA33" s="1345">
        <f t="shared" si="3"/>
        <v>1</v>
      </c>
      <c r="AB33" s="1345">
        <f t="shared" si="4"/>
        <v>1</v>
      </c>
      <c r="AC33" s="1345">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57"/>
      <c r="Q34" s="1344" t="str">
        <f>B34</f>
        <v>宗地面积</v>
      </c>
      <c r="R34" s="701" t="s">
        <v>14</v>
      </c>
      <c r="S34" s="702" t="e">
        <f t="shared" si="10"/>
        <v>#N/A</v>
      </c>
      <c r="T34" s="701" t="s">
        <v>14</v>
      </c>
      <c r="U34" s="702" t="e">
        <f t="shared" si="11"/>
        <v>#N/A</v>
      </c>
      <c r="V34" s="701" t="s">
        <v>14</v>
      </c>
      <c r="W34" s="702" t="e">
        <f t="shared" si="12"/>
        <v>#N/A</v>
      </c>
      <c r="X34" s="1347"/>
      <c r="Y34" s="3757"/>
      <c r="Z34" s="1348" t="str">
        <f t="shared" si="13"/>
        <v>宗地面积</v>
      </c>
      <c r="AA34" s="1345" t="e">
        <f t="shared" si="3"/>
        <v>#N/A</v>
      </c>
      <c r="AB34" s="1345" t="e">
        <f t="shared" si="4"/>
        <v>#N/A</v>
      </c>
      <c r="AC34" s="1345" t="e">
        <f t="shared" si="5"/>
        <v>#N/A</v>
      </c>
    </row>
    <row r="35" spans="1:31" ht="15">
      <c r="A35" s="420"/>
      <c r="B35" s="372" t="s">
        <v>1875</v>
      </c>
      <c r="C35" s="1898"/>
      <c r="D35" s="383">
        <v>100</v>
      </c>
      <c r="E35" s="1898"/>
      <c r="F35" s="383">
        <f>SUMIF(110:110,E35,111:111)-SUMIF(110:110,C35,111:111)+100</f>
        <v>100</v>
      </c>
      <c r="G35" s="1898"/>
      <c r="H35" s="383">
        <f>SUMIF(110:110,G35,111:111)-SUMIF(110:110,C35,111:111)+100</f>
        <v>100</v>
      </c>
      <c r="I35" s="1898"/>
      <c r="J35" s="383">
        <f>SUMIF(110:110,I35,111:111)-SUMIF(110:110,C35,111:111)+100</f>
        <v>100</v>
      </c>
      <c r="K35" s="558"/>
      <c r="L35" s="2714"/>
      <c r="M35" s="2708"/>
      <c r="N35" s="2708"/>
      <c r="O35" s="2766"/>
      <c r="P35" s="3757"/>
      <c r="Q35" s="1344" t="str">
        <f t="shared" ref="Q35:Q40" si="14">B35</f>
        <v>宗地形状</v>
      </c>
      <c r="R35" s="701" t="s">
        <v>14</v>
      </c>
      <c r="S35" s="702">
        <f t="shared" si="10"/>
        <v>100</v>
      </c>
      <c r="T35" s="701" t="s">
        <v>14</v>
      </c>
      <c r="U35" s="702">
        <f t="shared" si="11"/>
        <v>100</v>
      </c>
      <c r="V35" s="701" t="s">
        <v>14</v>
      </c>
      <c r="W35" s="702">
        <f t="shared" si="12"/>
        <v>100</v>
      </c>
      <c r="X35" s="1347"/>
      <c r="Y35" s="3757"/>
      <c r="Z35" s="1348" t="str">
        <f t="shared" si="13"/>
        <v>宗地形状</v>
      </c>
      <c r="AA35" s="1345">
        <f t="shared" si="3"/>
        <v>1</v>
      </c>
      <c r="AB35" s="1345">
        <f t="shared" si="4"/>
        <v>1</v>
      </c>
      <c r="AC35" s="1345">
        <f t="shared" si="5"/>
        <v>1</v>
      </c>
    </row>
    <row r="36" spans="1:31" s="108" customFormat="1" ht="15">
      <c r="A36" s="421"/>
      <c r="B36" s="372" t="s">
        <v>1877</v>
      </c>
      <c r="C36" s="1972"/>
      <c r="D36" s="124">
        <v>100</v>
      </c>
      <c r="E36" s="1972"/>
      <c r="F36" s="383">
        <f>SUMIF(112:112,E36,113:113)-SUMIF(112:112,C36,113:113)+100</f>
        <v>100</v>
      </c>
      <c r="G36" s="1972"/>
      <c r="H36" s="383">
        <f>SUMIF(112:112,G36,113:113)-SUMIF(112:112,C36,113:113)+100</f>
        <v>100</v>
      </c>
      <c r="I36" s="1972"/>
      <c r="J36" s="383">
        <f>SUMIF(112:112,I36,113:113)-SUMIF(112:112,C36,113:113)+100</f>
        <v>100</v>
      </c>
      <c r="K36" s="558"/>
      <c r="L36" s="2709"/>
      <c r="M36" s="2710"/>
      <c r="N36" s="2710"/>
      <c r="O36" s="2764"/>
      <c r="P36" s="3757"/>
      <c r="Q36" s="1344" t="str">
        <f t="shared" si="14"/>
        <v>宗地开发程度</v>
      </c>
      <c r="R36" s="697" t="s">
        <v>14</v>
      </c>
      <c r="S36" s="698">
        <f t="shared" si="10"/>
        <v>100</v>
      </c>
      <c r="T36" s="697" t="s">
        <v>14</v>
      </c>
      <c r="U36" s="698">
        <f t="shared" si="11"/>
        <v>100</v>
      </c>
      <c r="V36" s="697" t="s">
        <v>14</v>
      </c>
      <c r="W36" s="698">
        <f t="shared" si="12"/>
        <v>100</v>
      </c>
      <c r="X36" s="699"/>
      <c r="Y36" s="3757"/>
      <c r="Z36" s="52" t="str">
        <f t="shared" si="13"/>
        <v>宗地开发程度</v>
      </c>
      <c r="AA36" s="700">
        <f t="shared" si="3"/>
        <v>1</v>
      </c>
      <c r="AB36" s="700">
        <f t="shared" si="4"/>
        <v>1</v>
      </c>
      <c r="AC36" s="700">
        <f t="shared" si="5"/>
        <v>1</v>
      </c>
    </row>
    <row r="37" spans="1:31" ht="15">
      <c r="A37" s="420"/>
      <c r="B37" s="372" t="s">
        <v>1878</v>
      </c>
      <c r="C37" s="1898"/>
      <c r="D37" s="383">
        <v>100</v>
      </c>
      <c r="E37" s="1898"/>
      <c r="F37" s="383">
        <f>SUMIF(114:114,E37,115:115)-SUMIF(114:114,C37,115:115)+100</f>
        <v>100</v>
      </c>
      <c r="G37" s="1898"/>
      <c r="H37" s="383">
        <f>SUMIF(114:114,G37,115:115)-SUMIF(114:114,C37,115:115)+100</f>
        <v>100</v>
      </c>
      <c r="I37" s="1898"/>
      <c r="J37" s="383">
        <f>SUMIF(114:114,I37,115:115)-SUMIF(114:114,C37,115:115)+100</f>
        <v>100</v>
      </c>
      <c r="K37" s="558"/>
      <c r="L37" s="2714"/>
      <c r="M37" s="2708"/>
      <c r="N37" s="2708"/>
      <c r="O37" s="2766"/>
      <c r="P37" s="3757" t="s">
        <v>1696</v>
      </c>
      <c r="Q37" s="1344" t="str">
        <f t="shared" si="14"/>
        <v>工程地质条件</v>
      </c>
      <c r="R37" s="701" t="s">
        <v>14</v>
      </c>
      <c r="S37" s="702">
        <f t="shared" si="10"/>
        <v>100</v>
      </c>
      <c r="T37" s="701" t="s">
        <v>14</v>
      </c>
      <c r="U37" s="702">
        <f t="shared" si="11"/>
        <v>100</v>
      </c>
      <c r="V37" s="701" t="s">
        <v>14</v>
      </c>
      <c r="W37" s="702">
        <f t="shared" si="12"/>
        <v>100</v>
      </c>
      <c r="X37" s="1347"/>
      <c r="Y37" s="3757" t="s">
        <v>1696</v>
      </c>
      <c r="Z37" s="1348" t="str">
        <f t="shared" si="13"/>
        <v>工程地质条件</v>
      </c>
      <c r="AA37" s="1345">
        <f t="shared" si="3"/>
        <v>1</v>
      </c>
      <c r="AB37" s="1345">
        <f t="shared" si="4"/>
        <v>1</v>
      </c>
      <c r="AC37" s="1345">
        <f t="shared" si="5"/>
        <v>1</v>
      </c>
    </row>
    <row r="38" spans="1:31" ht="15">
      <c r="A38" s="420"/>
      <c r="B38" s="1126">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57"/>
      <c r="Q38" s="1344">
        <f t="shared" si="14"/>
        <v>111</v>
      </c>
      <c r="R38" s="701" t="s">
        <v>14</v>
      </c>
      <c r="S38" s="702">
        <f t="shared" si="10"/>
        <v>100</v>
      </c>
      <c r="T38" s="701" t="s">
        <v>14</v>
      </c>
      <c r="U38" s="702">
        <f t="shared" si="11"/>
        <v>100</v>
      </c>
      <c r="V38" s="701" t="s">
        <v>14</v>
      </c>
      <c r="W38" s="702">
        <f t="shared" si="12"/>
        <v>100</v>
      </c>
      <c r="X38" s="1347"/>
      <c r="Y38" s="3757"/>
      <c r="Z38" s="1348">
        <f t="shared" si="13"/>
        <v>111</v>
      </c>
      <c r="AA38" s="1345">
        <f t="shared" si="3"/>
        <v>1</v>
      </c>
      <c r="AB38" s="1345">
        <f t="shared" si="4"/>
        <v>1</v>
      </c>
      <c r="AC38" s="1345">
        <f t="shared" si="5"/>
        <v>1</v>
      </c>
    </row>
    <row r="39" spans="1:31" ht="15">
      <c r="A39" s="420"/>
      <c r="B39" s="1126">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57"/>
      <c r="Q39" s="1344">
        <f t="shared" si="14"/>
        <v>111</v>
      </c>
      <c r="R39" s="701" t="s">
        <v>14</v>
      </c>
      <c r="S39" s="702">
        <f t="shared" si="10"/>
        <v>100</v>
      </c>
      <c r="T39" s="701" t="s">
        <v>14</v>
      </c>
      <c r="U39" s="702">
        <f t="shared" si="11"/>
        <v>100</v>
      </c>
      <c r="V39" s="701" t="s">
        <v>14</v>
      </c>
      <c r="W39" s="702">
        <f t="shared" si="12"/>
        <v>100</v>
      </c>
      <c r="X39" s="1347"/>
      <c r="Y39" s="3757"/>
      <c r="Z39" s="1348">
        <f t="shared" si="13"/>
        <v>111</v>
      </c>
      <c r="AA39" s="1345">
        <f t="shared" si="3"/>
        <v>1</v>
      </c>
      <c r="AB39" s="1345">
        <f t="shared" si="4"/>
        <v>1</v>
      </c>
      <c r="AC39" s="1345">
        <f t="shared" si="5"/>
        <v>1</v>
      </c>
    </row>
    <row r="40" spans="1:31" s="419" customFormat="1" ht="15.75" thickBot="1">
      <c r="A40" s="416"/>
      <c r="B40" s="1126">
        <v>111</v>
      </c>
      <c r="C40" s="1973"/>
      <c r="D40" s="125">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57"/>
      <c r="Q40" s="1344">
        <f t="shared" si="14"/>
        <v>111</v>
      </c>
      <c r="R40" s="704" t="s">
        <v>14</v>
      </c>
      <c r="S40" s="705">
        <f t="shared" si="10"/>
        <v>100</v>
      </c>
      <c r="T40" s="704" t="s">
        <v>14</v>
      </c>
      <c r="U40" s="705">
        <f t="shared" si="11"/>
        <v>100</v>
      </c>
      <c r="V40" s="704" t="s">
        <v>14</v>
      </c>
      <c r="W40" s="705">
        <f t="shared" si="12"/>
        <v>100</v>
      </c>
      <c r="X40" s="706"/>
      <c r="Y40" s="3757"/>
      <c r="Z40" s="707">
        <f t="shared" si="13"/>
        <v>111</v>
      </c>
      <c r="AA40" s="1345">
        <f t="shared" si="3"/>
        <v>1</v>
      </c>
      <c r="AB40" s="1345">
        <f t="shared" si="4"/>
        <v>1</v>
      </c>
      <c r="AC40" s="1345">
        <f t="shared" si="5"/>
        <v>1</v>
      </c>
    </row>
    <row r="41" spans="1:31" ht="15">
      <c r="A41" s="427" t="s">
        <v>1844</v>
      </c>
      <c r="B41" s="1974" t="s">
        <v>1922</v>
      </c>
      <c r="C41" s="627" t="s">
        <v>0</v>
      </c>
      <c r="D41" s="429"/>
      <c r="E41" s="430"/>
      <c r="F41" s="431"/>
      <c r="G41" s="432"/>
      <c r="H41" s="433"/>
      <c r="I41" s="430"/>
      <c r="J41" s="433"/>
      <c r="K41" s="710"/>
      <c r="L41" s="2716"/>
      <c r="M41" s="2708"/>
      <c r="N41" s="2708"/>
      <c r="O41" s="2717"/>
      <c r="P41" s="3745" t="str">
        <f>A41</f>
        <v>成交单价</v>
      </c>
      <c r="Q41" s="3745"/>
      <c r="R41" s="3779">
        <f>E41</f>
        <v>0</v>
      </c>
      <c r="S41" s="3779"/>
      <c r="T41" s="3779">
        <f>G41</f>
        <v>0</v>
      </c>
      <c r="U41" s="3779"/>
      <c r="V41" s="3779">
        <f>I41</f>
        <v>0</v>
      </c>
      <c r="W41" s="3779"/>
      <c r="X41" s="686"/>
      <c r="Y41" s="708"/>
      <c r="Z41" s="686"/>
      <c r="AA41" s="686"/>
      <c r="AB41" s="686"/>
      <c r="AC41" s="686"/>
    </row>
    <row r="42" spans="1:31" ht="15.75" thickBot="1">
      <c r="A42" s="434" t="s">
        <v>1793</v>
      </c>
      <c r="B42" s="628"/>
      <c r="C42" s="437" t="e">
        <f>R43</f>
        <v>#DIV/0!</v>
      </c>
      <c r="D42" s="2309" t="s">
        <v>2138</v>
      </c>
      <c r="E42" s="437" t="e">
        <f>R42</f>
        <v>#DIV/0!</v>
      </c>
      <c r="F42" s="2310"/>
      <c r="G42" s="436" t="e">
        <f>T42</f>
        <v>#DIV/0!</v>
      </c>
      <c r="H42" s="2310"/>
      <c r="I42" s="437" t="e">
        <f>V42</f>
        <v>#DIV/0!</v>
      </c>
      <c r="J42" s="2310"/>
      <c r="K42" s="2312">
        <f>F42+H42+J42</f>
        <v>0</v>
      </c>
      <c r="L42" s="2716"/>
      <c r="M42" s="2708"/>
      <c r="N42" s="2708"/>
      <c r="O42" s="2717"/>
      <c r="P42" s="3745" t="str">
        <f>A42</f>
        <v>比较价值（元/平方米）</v>
      </c>
      <c r="Q42" s="3745"/>
      <c r="R42" s="3836" t="e">
        <f>ROUND(PRODUCT(R41,AA7:AA40),0)</f>
        <v>#DIV/0!</v>
      </c>
      <c r="S42" s="3836"/>
      <c r="T42" s="3836" t="e">
        <f>ROUND(PRODUCT(T41,AB7:AB40),0)</f>
        <v>#DIV/0!</v>
      </c>
      <c r="U42" s="3836"/>
      <c r="V42" s="3836" t="e">
        <f>ROUND(PRODUCT(V41,AC7:AC40),0)</f>
        <v>#DIV/0!</v>
      </c>
      <c r="W42" s="3836"/>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824" t="str">
        <f>A43</f>
        <v>估价对象XX用房的比较价值（楼面单价，元/平方米）</v>
      </c>
      <c r="Q43" s="3825"/>
      <c r="R43" s="3837" t="e">
        <f>ROUND(IF(D42="简单平均",AVERAGE(R42:W42),R42*F42+T42*H42+V42*J42),0)</f>
        <v>#DIV/0!</v>
      </c>
      <c r="S43" s="3837"/>
      <c r="T43" s="3837"/>
      <c r="U43" s="3837"/>
      <c r="V43" s="3837"/>
      <c r="W43" s="3837"/>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5" t="s">
        <v>1883</v>
      </c>
      <c r="D50" s="1976" t="s">
        <v>1884</v>
      </c>
      <c r="E50" s="631" t="s">
        <v>1885</v>
      </c>
      <c r="F50" s="632" t="s">
        <v>1886</v>
      </c>
      <c r="G50" s="3762" t="s">
        <v>1887</v>
      </c>
      <c r="H50" s="3838"/>
      <c r="I50" s="1348" t="s">
        <v>1923</v>
      </c>
      <c r="J50" s="1348">
        <f>项目基本情况!F35</f>
        <v>0</v>
      </c>
      <c r="K50" s="1978"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36">
        <v>1</v>
      </c>
      <c r="E51" s="635">
        <f>'数据-汇总表'!E8+'数据-汇总表'!E9</f>
        <v>51900.97</v>
      </c>
      <c r="F51" s="636" t="e">
        <f t="shared" ref="F51:F60" si="15">ROUND(B51*E51/10000,0)</f>
        <v>#DIV/0!</v>
      </c>
      <c r="G51" s="3744"/>
      <c r="H51" s="3745"/>
      <c r="I51" s="765">
        <v>1</v>
      </c>
      <c r="J51" s="765">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0.6</v>
      </c>
      <c r="D52" s="937">
        <v>0.25</v>
      </c>
      <c r="E52" s="639"/>
      <c r="F52" s="636" t="e">
        <f t="shared" si="15"/>
        <v>#DIV/0!</v>
      </c>
      <c r="G52" s="2998" t="s">
        <v>1892</v>
      </c>
      <c r="H52" s="879" t="str">
        <f>项目基本情况!B37</f>
        <v>五级</v>
      </c>
      <c r="I52" s="765">
        <f>SUMIF(修正!A57:A68,H52,修正!B57:B68)</f>
        <v>0.6</v>
      </c>
      <c r="J52" s="766"/>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0.3</v>
      </c>
      <c r="D53" s="937">
        <v>0.25</v>
      </c>
      <c r="E53" s="639"/>
      <c r="F53" s="636" t="e">
        <f t="shared" si="15"/>
        <v>#DIV/0!</v>
      </c>
      <c r="G53" s="2999"/>
      <c r="H53" s="879" t="str">
        <f>项目基本情况!B37</f>
        <v>五级</v>
      </c>
      <c r="I53" s="765">
        <f>SUMIF(修正!A57:A68,H53,修正!C57:C68)</f>
        <v>0.3</v>
      </c>
      <c r="J53" s="766"/>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0.25</v>
      </c>
      <c r="D54" s="937">
        <v>0.25</v>
      </c>
      <c r="E54" s="639"/>
      <c r="F54" s="636" t="e">
        <f t="shared" si="15"/>
        <v>#DIV/0!</v>
      </c>
      <c r="G54" s="2999"/>
      <c r="H54" s="879" t="str">
        <f>项目基本情况!B37</f>
        <v>五级</v>
      </c>
      <c r="I54" s="765">
        <f>SUMIF(修正!A57:A68,H54,修正!D57:D68)</f>
        <v>0.25</v>
      </c>
      <c r="J54" s="766"/>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37"/>
      <c r="E55" s="639"/>
      <c r="F55" s="636"/>
      <c r="G55" s="3000"/>
      <c r="H55" s="879"/>
      <c r="I55" s="765"/>
      <c r="J55" s="766"/>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0.25</v>
      </c>
      <c r="D56" s="937">
        <v>0.25</v>
      </c>
      <c r="E56" s="214">
        <f>'数据-汇总表'!E11</f>
        <v>0</v>
      </c>
      <c r="F56" s="636" t="e">
        <f t="shared" si="15"/>
        <v>#DIV/0!</v>
      </c>
      <c r="G56" s="1979" t="s">
        <v>1896</v>
      </c>
      <c r="H56" s="879" t="str">
        <f>项目基本情况!C37</f>
        <v>五级</v>
      </c>
      <c r="I56" s="765">
        <f>SUMIF(修正!A57:A68,H56,修正!E57:E68)</f>
        <v>0.25</v>
      </c>
      <c r="J56" s="766"/>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0.25</v>
      </c>
      <c r="D57" s="937">
        <v>0.25</v>
      </c>
      <c r="E57" s="214">
        <f>'数据-汇总表'!E12</f>
        <v>0</v>
      </c>
      <c r="F57" s="636" t="e">
        <f t="shared" si="15"/>
        <v>#DIV/0!</v>
      </c>
      <c r="G57" s="884" t="s">
        <v>1898</v>
      </c>
      <c r="H57" s="879" t="str">
        <f>IF(G57="商业",项目基本情况!B37,IF(G57="办公",项目基本情况!C37,IF(G57="住宅",项目基本情况!D37,项目基本情况!E37)))</f>
        <v>五级</v>
      </c>
      <c r="I57" s="765">
        <f>SUMIF(修正!A57:A68,H57,修正!F57:F68)</f>
        <v>0.25</v>
      </c>
      <c r="J57" s="766"/>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37">
        <v>0.25</v>
      </c>
      <c r="E58" s="214">
        <f>'数据-汇总表'!E13</f>
        <v>0</v>
      </c>
      <c r="F58" s="636" t="e">
        <f t="shared" si="15"/>
        <v>#DIV/0!</v>
      </c>
      <c r="G58" s="884" t="s">
        <v>1900</v>
      </c>
      <c r="H58" s="879">
        <f>IF(G58="商业",项目基本情况!B37,IF(G58="办公",项目基本情况!C37,IF(G58="住宅",项目基本情况!D37,项目基本情况!E37)))</f>
        <v>0</v>
      </c>
      <c r="I58" s="765">
        <f>SUMIF(修正!A57:A68,H58,修正!G57:G68)</f>
        <v>0</v>
      </c>
      <c r="J58" s="766"/>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0.15</v>
      </c>
      <c r="D59" s="937">
        <v>0.25</v>
      </c>
      <c r="E59" s="214">
        <f>'数据-汇总表'!E14</f>
        <v>0</v>
      </c>
      <c r="F59" s="636" t="e">
        <f t="shared" si="15"/>
        <v>#DIV/0!</v>
      </c>
      <c r="G59" s="1979" t="s">
        <v>1892</v>
      </c>
      <c r="H59" s="879" t="str">
        <f>项目基本情况!B37</f>
        <v>五级</v>
      </c>
      <c r="I59" s="765">
        <f>SUMIF(修正!A57:A68,H59,修正!G57:G68)</f>
        <v>0.15</v>
      </c>
      <c r="J59" s="766"/>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0.15</v>
      </c>
      <c r="D60" s="937">
        <v>0.25</v>
      </c>
      <c r="E60" s="214">
        <f>'数据-汇总表'!E15</f>
        <v>0</v>
      </c>
      <c r="F60" s="636" t="e">
        <f t="shared" si="15"/>
        <v>#DIV/0!</v>
      </c>
      <c r="G60" s="1980" t="s">
        <v>1896</v>
      </c>
      <c r="H60" s="889" t="str">
        <f>项目基本情况!C37</f>
        <v>五级</v>
      </c>
      <c r="I60" s="765">
        <f>SUMIF(修正!A57:A68,H60,修正!G57:G68)</f>
        <v>0.15</v>
      </c>
      <c r="J60" s="766"/>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22117.26</v>
      </c>
      <c r="F61" s="642" t="e">
        <f>IF(B41="楼面地价",SUM(F51:F60),ROUND(C43*E61/10000,0))</f>
        <v>#DIV/0!</v>
      </c>
      <c r="G61" s="931"/>
      <c r="H61" s="931"/>
      <c r="I61" s="931"/>
      <c r="J61" s="931"/>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19"/>
      <c r="B62" s="921"/>
      <c r="C62" s="923"/>
      <c r="D62" s="919"/>
      <c r="E62" s="919"/>
      <c r="F62" s="919"/>
      <c r="G62" s="919"/>
      <c r="H62" s="919"/>
      <c r="I62" s="919"/>
      <c r="J62" s="919"/>
      <c r="K62" s="880"/>
      <c r="L62" s="881"/>
      <c r="M62" s="919"/>
      <c r="N62" s="919"/>
      <c r="O62" s="919"/>
      <c r="P62" s="2717"/>
      <c r="Q62" s="2717"/>
      <c r="R62" s="2717"/>
      <c r="S62" s="2717"/>
      <c r="T62" s="2717"/>
      <c r="U62" s="2717"/>
      <c r="V62" s="2717"/>
      <c r="W62" s="2717"/>
      <c r="X62" s="2717"/>
      <c r="Y62" s="2717"/>
      <c r="Z62" s="2717"/>
      <c r="AA62" s="2717"/>
      <c r="AB62" s="2717"/>
      <c r="AC62" s="2717"/>
      <c r="AD62" s="2717"/>
      <c r="AE62" s="2717"/>
    </row>
    <row r="63" spans="1:31">
      <c r="A63" s="919"/>
      <c r="B63" s="921"/>
      <c r="C63" s="688" t="str">
        <f>YEAR(C7)&amp;"-"&amp;MONTH(C7)&amp;"-1"</f>
        <v>2024-4-1</v>
      </c>
      <c r="D63" s="688">
        <f>EDATE(C63,-3)</f>
        <v>45292</v>
      </c>
      <c r="E63" s="688">
        <f>EDATE(D63,-3)</f>
        <v>45200</v>
      </c>
      <c r="F63" s="688">
        <f t="shared" ref="F63:O63" si="18">EDATE(E63,-3)</f>
        <v>45108</v>
      </c>
      <c r="G63" s="688">
        <f t="shared" si="18"/>
        <v>45017</v>
      </c>
      <c r="H63" s="688">
        <f t="shared" si="18"/>
        <v>44927</v>
      </c>
      <c r="I63" s="688">
        <f t="shared" si="18"/>
        <v>44835</v>
      </c>
      <c r="J63" s="688">
        <f t="shared" si="18"/>
        <v>44743</v>
      </c>
      <c r="K63" s="688">
        <f t="shared" si="18"/>
        <v>44652</v>
      </c>
      <c r="L63" s="688">
        <f t="shared" si="18"/>
        <v>44562</v>
      </c>
      <c r="M63" s="688">
        <f t="shared" si="18"/>
        <v>44470</v>
      </c>
      <c r="N63" s="688">
        <f t="shared" si="18"/>
        <v>44378</v>
      </c>
      <c r="O63" s="688">
        <f t="shared" si="18"/>
        <v>44287</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2"/>
      <c r="P64" s="2761"/>
      <c r="Q64" s="2731"/>
      <c r="R64" s="2717"/>
      <c r="S64" s="2717"/>
      <c r="T64" s="2717"/>
      <c r="U64" s="2717"/>
      <c r="V64" s="2717"/>
      <c r="W64" s="2717"/>
      <c r="X64" s="2717"/>
      <c r="Y64" s="2717"/>
      <c r="Z64" s="2717"/>
      <c r="AA64" s="2717"/>
      <c r="AB64" s="2717"/>
      <c r="AC64" s="2717"/>
      <c r="AD64" s="2717"/>
      <c r="AE64" s="2717"/>
    </row>
    <row r="65" spans="1:31" s="454" customFormat="1" ht="15">
      <c r="A65" s="1981" t="s">
        <v>1904</v>
      </c>
      <c r="B65" s="1101"/>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6" t="s">
        <v>1924</v>
      </c>
      <c r="B66" s="285" t="str">
        <f>"北京市平均增长率"&amp;TEXT(基准地价修正!P28,"0.00%")</f>
        <v>北京市平均增长率0.00%</v>
      </c>
      <c r="C66" s="549">
        <v>100</v>
      </c>
      <c r="D66" s="541"/>
      <c r="E66" s="541"/>
      <c r="F66" s="541"/>
      <c r="G66" s="541"/>
      <c r="H66" s="541"/>
      <c r="I66" s="541"/>
      <c r="J66" s="541"/>
      <c r="K66" s="541"/>
      <c r="L66" s="541"/>
      <c r="M66" s="1170"/>
      <c r="N66" s="1170"/>
      <c r="O66" s="1172"/>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4"/>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5" t="s">
        <v>2083</v>
      </c>
      <c r="C1" s="3846" t="s">
        <v>2084</v>
      </c>
      <c r="D1" s="3847"/>
      <c r="E1" s="3847"/>
      <c r="F1" s="3847"/>
      <c r="G1" s="3847"/>
      <c r="H1" s="3847"/>
      <c r="I1" s="3847"/>
      <c r="J1" s="3847"/>
      <c r="K1" s="3847"/>
      <c r="L1" s="3847"/>
      <c r="M1" s="3847"/>
      <c r="N1" s="3847"/>
      <c r="O1" s="3847"/>
      <c r="P1" s="3847"/>
      <c r="Q1" s="3847"/>
      <c r="R1" s="3847"/>
      <c r="S1" s="3848"/>
      <c r="T1" s="975" t="s">
        <v>2085</v>
      </c>
    </row>
    <row r="2" spans="1:45" s="652" customFormat="1">
      <c r="A2" s="976"/>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7"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78"/>
      <c r="B3" s="653"/>
      <c r="C3" s="654"/>
      <c r="D3" s="655"/>
      <c r="E3" s="655"/>
      <c r="F3" s="1297"/>
      <c r="G3" s="1297"/>
      <c r="H3" s="1297"/>
      <c r="I3" s="1297"/>
      <c r="J3" s="1297"/>
      <c r="K3" s="1297"/>
      <c r="L3" s="1298"/>
      <c r="M3" s="1299"/>
      <c r="N3" s="1299"/>
      <c r="O3" s="1297"/>
      <c r="P3" s="1297"/>
      <c r="Q3" s="1297"/>
      <c r="R3" s="1297"/>
      <c r="S3" s="1300"/>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79"/>
      <c r="B4" s="980"/>
      <c r="C4" s="981"/>
      <c r="D4" s="982"/>
      <c r="E4" s="982"/>
      <c r="F4" s="1301"/>
      <c r="G4" s="1301"/>
      <c r="H4" s="1301"/>
      <c r="I4" s="1301"/>
      <c r="J4" s="1301"/>
      <c r="K4" s="1301"/>
      <c r="L4" s="1301"/>
      <c r="M4" s="1302"/>
      <c r="N4" s="1302"/>
      <c r="O4" s="1301"/>
      <c r="P4" s="1301"/>
      <c r="Q4" s="1301"/>
      <c r="R4" s="1301"/>
      <c r="S4" s="1303"/>
      <c r="T4" s="985"/>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86"/>
      <c r="B5" s="1328" t="s">
        <v>2087</v>
      </c>
      <c r="C5" s="987"/>
      <c r="D5" s="988"/>
      <c r="E5" s="988"/>
      <c r="F5" s="1304"/>
      <c r="G5" s="1304"/>
      <c r="H5" s="1304"/>
      <c r="I5" s="1304"/>
      <c r="J5" s="1304"/>
      <c r="K5" s="1304"/>
      <c r="L5" s="1305"/>
      <c r="M5" s="1306"/>
      <c r="N5" s="1306"/>
      <c r="O5" s="1304"/>
      <c r="P5" s="1304"/>
      <c r="Q5" s="1304"/>
      <c r="R5" s="1304"/>
      <c r="S5" s="1307"/>
      <c r="T5" s="990"/>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86"/>
      <c r="B6" s="891"/>
      <c r="C6" s="897">
        <v>100</v>
      </c>
      <c r="D6" s="894">
        <f>C6-$T5</f>
        <v>100</v>
      </c>
      <c r="E6" s="894">
        <f t="shared" ref="E6:S6" si="7">D6-$T5</f>
        <v>100</v>
      </c>
      <c r="F6" s="1308">
        <f t="shared" si="7"/>
        <v>100</v>
      </c>
      <c r="G6" s="1308">
        <f t="shared" si="7"/>
        <v>100</v>
      </c>
      <c r="H6" s="1308">
        <f t="shared" si="7"/>
        <v>100</v>
      </c>
      <c r="I6" s="1308">
        <f t="shared" si="7"/>
        <v>100</v>
      </c>
      <c r="J6" s="1308">
        <f t="shared" si="7"/>
        <v>100</v>
      </c>
      <c r="K6" s="1308">
        <f t="shared" si="7"/>
        <v>100</v>
      </c>
      <c r="L6" s="1308">
        <f t="shared" si="7"/>
        <v>100</v>
      </c>
      <c r="M6" s="1308">
        <f t="shared" si="7"/>
        <v>100</v>
      </c>
      <c r="N6" s="1308">
        <f t="shared" si="7"/>
        <v>100</v>
      </c>
      <c r="O6" s="1308">
        <f t="shared" si="7"/>
        <v>100</v>
      </c>
      <c r="P6" s="1308">
        <f t="shared" si="7"/>
        <v>100</v>
      </c>
      <c r="Q6" s="1308">
        <f t="shared" si="7"/>
        <v>100</v>
      </c>
      <c r="R6" s="1308">
        <f t="shared" si="7"/>
        <v>100</v>
      </c>
      <c r="S6" s="1308">
        <f t="shared" si="7"/>
        <v>100</v>
      </c>
      <c r="T6" s="893"/>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86"/>
      <c r="B7" s="1329" t="s">
        <v>2088</v>
      </c>
      <c r="C7" s="896"/>
      <c r="D7" s="890"/>
      <c r="E7" s="890"/>
      <c r="F7" s="1309"/>
      <c r="G7" s="1309"/>
      <c r="H7" s="1309"/>
      <c r="I7" s="1309"/>
      <c r="J7" s="1309"/>
      <c r="K7" s="1309"/>
      <c r="L7" s="1309"/>
      <c r="M7" s="1310"/>
      <c r="N7" s="1311"/>
      <c r="O7" s="1312"/>
      <c r="P7" s="1313"/>
      <c r="Q7" s="1314"/>
      <c r="R7" s="1315"/>
      <c r="S7" s="1316"/>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86"/>
      <c r="B8" s="891"/>
      <c r="C8" s="897">
        <v>100</v>
      </c>
      <c r="D8" s="894">
        <f>C8-$T7</f>
        <v>100</v>
      </c>
      <c r="E8" s="894">
        <f t="shared" ref="E8:S8" si="8">D8-$T7</f>
        <v>100</v>
      </c>
      <c r="F8" s="1308">
        <f t="shared" si="8"/>
        <v>100</v>
      </c>
      <c r="G8" s="1308">
        <f t="shared" si="8"/>
        <v>100</v>
      </c>
      <c r="H8" s="1308">
        <f t="shared" si="8"/>
        <v>100</v>
      </c>
      <c r="I8" s="1308">
        <f t="shared" si="8"/>
        <v>100</v>
      </c>
      <c r="J8" s="1308">
        <f t="shared" si="8"/>
        <v>100</v>
      </c>
      <c r="K8" s="1308">
        <f t="shared" si="8"/>
        <v>100</v>
      </c>
      <c r="L8" s="1308">
        <f t="shared" si="8"/>
        <v>100</v>
      </c>
      <c r="M8" s="1308">
        <f t="shared" si="8"/>
        <v>100</v>
      </c>
      <c r="N8" s="1308">
        <f t="shared" si="8"/>
        <v>100</v>
      </c>
      <c r="O8" s="1308">
        <f t="shared" si="8"/>
        <v>100</v>
      </c>
      <c r="P8" s="1308">
        <f t="shared" si="8"/>
        <v>100</v>
      </c>
      <c r="Q8" s="1308">
        <f t="shared" si="8"/>
        <v>100</v>
      </c>
      <c r="R8" s="1308">
        <f t="shared" si="8"/>
        <v>100</v>
      </c>
      <c r="S8" s="1308">
        <f t="shared" si="8"/>
        <v>100</v>
      </c>
      <c r="T8" s="893"/>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86"/>
      <c r="B9" s="1329" t="s">
        <v>2089</v>
      </c>
      <c r="C9" s="896"/>
      <c r="D9" s="890"/>
      <c r="E9" s="890"/>
      <c r="F9" s="1309"/>
      <c r="G9" s="1309"/>
      <c r="H9" s="1309"/>
      <c r="I9" s="1309"/>
      <c r="J9" s="1309"/>
      <c r="K9" s="1309"/>
      <c r="L9" s="1317"/>
      <c r="M9" s="1310"/>
      <c r="N9" s="1311"/>
      <c r="O9" s="1312"/>
      <c r="P9" s="1313"/>
      <c r="Q9" s="1314"/>
      <c r="R9" s="1315"/>
      <c r="S9" s="1316"/>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86"/>
      <c r="B10" s="980"/>
      <c r="C10" s="991">
        <v>100</v>
      </c>
      <c r="D10" s="992">
        <f>C10-$T9</f>
        <v>100</v>
      </c>
      <c r="E10" s="992">
        <f t="shared" ref="E10:S10" si="9">D10-$T9</f>
        <v>100</v>
      </c>
      <c r="F10" s="1318">
        <f t="shared" si="9"/>
        <v>100</v>
      </c>
      <c r="G10" s="1318">
        <f t="shared" si="9"/>
        <v>100</v>
      </c>
      <c r="H10" s="1318">
        <f t="shared" si="9"/>
        <v>100</v>
      </c>
      <c r="I10" s="1318">
        <f t="shared" si="9"/>
        <v>100</v>
      </c>
      <c r="J10" s="1318">
        <f t="shared" si="9"/>
        <v>100</v>
      </c>
      <c r="K10" s="1318">
        <f t="shared" si="9"/>
        <v>100</v>
      </c>
      <c r="L10" s="1318">
        <f t="shared" si="9"/>
        <v>100</v>
      </c>
      <c r="M10" s="1318">
        <f t="shared" si="9"/>
        <v>100</v>
      </c>
      <c r="N10" s="1318">
        <f t="shared" si="9"/>
        <v>100</v>
      </c>
      <c r="O10" s="1318">
        <f t="shared" si="9"/>
        <v>100</v>
      </c>
      <c r="P10" s="1318">
        <f t="shared" si="9"/>
        <v>100</v>
      </c>
      <c r="Q10" s="1318">
        <f t="shared" si="9"/>
        <v>100</v>
      </c>
      <c r="R10" s="1318">
        <f t="shared" si="9"/>
        <v>100</v>
      </c>
      <c r="S10" s="1318">
        <f t="shared" si="9"/>
        <v>100</v>
      </c>
      <c r="T10" s="985"/>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86"/>
      <c r="B11" s="1328" t="s">
        <v>2090</v>
      </c>
      <c r="C11" s="987"/>
      <c r="D11" s="988"/>
      <c r="E11" s="988"/>
      <c r="F11" s="988"/>
      <c r="G11" s="988"/>
      <c r="H11" s="988"/>
      <c r="I11" s="988"/>
      <c r="J11" s="988"/>
      <c r="K11" s="988"/>
      <c r="L11" s="988"/>
      <c r="M11" s="989"/>
      <c r="N11" s="993"/>
      <c r="O11" s="994"/>
      <c r="P11" s="995"/>
      <c r="Q11" s="996"/>
      <c r="R11" s="997"/>
      <c r="S11" s="998"/>
      <c r="T11" s="990"/>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86"/>
      <c r="B13" s="1328" t="s">
        <v>2091</v>
      </c>
      <c r="C13" s="987"/>
      <c r="D13" s="988"/>
      <c r="E13" s="988"/>
      <c r="F13" s="988"/>
      <c r="G13" s="988"/>
      <c r="H13" s="988"/>
      <c r="I13" s="988"/>
      <c r="J13" s="988"/>
      <c r="K13" s="988"/>
      <c r="L13" s="988"/>
      <c r="M13" s="989"/>
      <c r="N13" s="993"/>
      <c r="O13" s="994"/>
      <c r="P13" s="995"/>
      <c r="Q13" s="996"/>
      <c r="R13" s="997"/>
      <c r="S13" s="998"/>
      <c r="T13" s="999"/>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86"/>
      <c r="B15" s="1328" t="s">
        <v>2092</v>
      </c>
      <c r="C15" s="987"/>
      <c r="D15" s="988"/>
      <c r="E15" s="988"/>
      <c r="F15" s="988"/>
      <c r="G15" s="988"/>
      <c r="H15" s="988"/>
      <c r="I15" s="988"/>
      <c r="J15" s="988"/>
      <c r="K15" s="988"/>
      <c r="L15" s="988"/>
      <c r="M15" s="989"/>
      <c r="N15" s="993"/>
      <c r="O15" s="994"/>
      <c r="P15" s="995"/>
      <c r="Q15" s="996"/>
      <c r="R15" s="997"/>
      <c r="S15" s="998"/>
      <c r="T15" s="999"/>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0" t="s">
        <v>2093</v>
      </c>
      <c r="B17" s="2141" t="s">
        <v>2094</v>
      </c>
      <c r="C17" s="1002"/>
      <c r="D17" s="1003"/>
      <c r="E17" s="1003"/>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2"/>
      <c r="AS17" s="722"/>
    </row>
    <row r="18" spans="1:45" s="652" customFormat="1" ht="13.5" thickBot="1">
      <c r="A18" s="1012"/>
      <c r="B18" s="1013"/>
      <c r="C18" s="1014"/>
      <c r="D18" s="1015"/>
      <c r="E18" s="1015"/>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2"/>
      <c r="AS18" s="722"/>
    </row>
    <row r="19" spans="1:45">
      <c r="A19" s="126"/>
      <c r="B19" s="156"/>
      <c r="C19" s="156"/>
      <c r="D19" s="2142" t="s">
        <v>2095</v>
      </c>
      <c r="E19" s="1332"/>
      <c r="F19" s="1332"/>
      <c r="G19" s="1332"/>
      <c r="H19" s="1051"/>
      <c r="I19" s="156"/>
      <c r="J19" s="156"/>
      <c r="K19" s="156"/>
      <c r="L19" s="156"/>
      <c r="M19" s="156"/>
      <c r="N19" s="156"/>
      <c r="O19" s="156"/>
      <c r="P19" s="156"/>
      <c r="Q19" s="156"/>
      <c r="R19" s="714"/>
      <c r="S19" s="126"/>
    </row>
    <row r="20" spans="1:45" ht="16.5" thickBot="1">
      <c r="A20" s="659" t="s">
        <v>2096</v>
      </c>
      <c r="B20" s="291" t="e">
        <f ca="1">IF(D20="——",S22,S22-F20)</f>
        <v>#REF!</v>
      </c>
      <c r="C20" s="156"/>
      <c r="D20" s="2143"/>
      <c r="E20" s="1333"/>
      <c r="F20" s="975" t="e">
        <f ca="1">SUMIF(INDIRECT("'"&amp;H20&amp;"'"&amp;"!A:A"),"承租人权益价值",INDIRECT("'"&amp;H20&amp;"'"&amp;"!c:c"))</f>
        <v>#REF!</v>
      </c>
      <c r="G20" s="975" t="s">
        <v>2097</v>
      </c>
      <c r="H20" s="2144"/>
      <c r="I20" s="156"/>
      <c r="J20" s="156"/>
      <c r="K20" s="156"/>
      <c r="L20" s="156"/>
      <c r="M20" s="156"/>
      <c r="N20" s="156"/>
      <c r="O20" s="156"/>
      <c r="P20" s="156"/>
      <c r="Q20" s="156"/>
      <c r="R20" s="714"/>
      <c r="S20" s="126"/>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2099</v>
      </c>
      <c r="B22" s="21">
        <f>SUM(B24:B10000)</f>
        <v>0</v>
      </c>
      <c r="C22" s="3843" t="s">
        <v>27</v>
      </c>
      <c r="D22" s="3844"/>
      <c r="E22" s="3844"/>
      <c r="F22" s="3844"/>
      <c r="G22" s="3844"/>
      <c r="H22" s="3844"/>
      <c r="I22" s="3844"/>
      <c r="J22" s="3844"/>
      <c r="K22" s="3844"/>
      <c r="L22" s="3844"/>
      <c r="M22" s="3844"/>
      <c r="N22" s="3844"/>
      <c r="O22" s="3844"/>
      <c r="P22" s="3844"/>
      <c r="Q22" s="3845"/>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2081</v>
      </c>
      <c r="B1" s="2139"/>
      <c r="C1" s="2139"/>
      <c r="D1" s="2139"/>
      <c r="E1" s="2139"/>
      <c r="F1" s="2785"/>
      <c r="G1" s="2785"/>
      <c r="H1" s="2785"/>
      <c r="I1" s="2785"/>
      <c r="J1" s="2785"/>
      <c r="K1" s="2785"/>
      <c r="L1" s="2785"/>
      <c r="M1" s="2785"/>
      <c r="N1" s="2785"/>
      <c r="O1" s="2785"/>
      <c r="P1" s="2785"/>
    </row>
    <row r="2" spans="1:16" ht="15.75">
      <c r="A2" s="2137" t="s">
        <v>2073</v>
      </c>
      <c r="B2" s="2594">
        <f ca="1">SUMIF(B6:B13,"&lt;&gt;#ref!",B6:B13)</f>
        <v>5905</v>
      </c>
      <c r="C2" s="2137" t="s">
        <v>2074</v>
      </c>
      <c r="D2" s="2137" t="s">
        <v>2075</v>
      </c>
      <c r="E2" s="2604">
        <f ca="1">SUMIF(E6:E13,"&lt;&gt;#ref!",E6:E13)</f>
        <v>37979.120000000003</v>
      </c>
      <c r="F2" s="2785"/>
      <c r="G2" s="2785"/>
      <c r="H2" s="2785"/>
      <c r="I2" s="2785"/>
      <c r="J2" s="2785"/>
      <c r="K2" s="2785"/>
      <c r="L2" s="2785"/>
      <c r="M2" s="2785"/>
      <c r="N2" s="2785"/>
      <c r="O2" s="2785"/>
      <c r="P2" s="2785"/>
    </row>
    <row r="3" spans="1:16" ht="15.75">
      <c r="A3" s="2137" t="s">
        <v>2076</v>
      </c>
      <c r="B3" s="2594">
        <f ca="1">ROUND(B2*10000/E2,0)</f>
        <v>1555</v>
      </c>
      <c r="C3" s="2137"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8"/>
      <c r="D5" s="2785"/>
      <c r="E5" s="2603" t="s">
        <v>2079</v>
      </c>
      <c r="F5" s="2785"/>
      <c r="G5" s="2785"/>
      <c r="H5" s="2785"/>
      <c r="I5" s="2785"/>
      <c r="J5" s="2785"/>
      <c r="K5" s="2785"/>
      <c r="L5" s="2785"/>
      <c r="M5" s="2785"/>
      <c r="N5" s="2785"/>
      <c r="O5" s="2785"/>
      <c r="P5" s="2785"/>
    </row>
    <row r="6" spans="1:16" ht="15.75">
      <c r="A6" s="2601" t="s">
        <v>2080</v>
      </c>
      <c r="B6" s="2594">
        <f ca="1">SUMIF(INDIRECT("'"&amp;A6&amp;"'"&amp;"!A:A"),"总价",INDIRECT("'"&amp;A6&amp;"'"&amp;"!B:B"))</f>
        <v>5905</v>
      </c>
      <c r="C6" s="2137" t="s">
        <v>2074</v>
      </c>
      <c r="D6" s="2785"/>
      <c r="E6" s="2604">
        <f ca="1">SUMIF(INDIRECT("'"&amp;A6&amp;"'"&amp;"!C:C"),"建筑面积",INDIRECT("'"&amp;A6&amp;"'"&amp;"!D:D"))</f>
        <v>37979.120000000003</v>
      </c>
      <c r="F6" s="2785"/>
      <c r="G6" s="2785"/>
      <c r="H6" s="2785"/>
      <c r="I6" s="2785"/>
      <c r="J6" s="2785"/>
      <c r="K6" s="2785"/>
      <c r="L6" s="2785"/>
      <c r="M6" s="2785"/>
      <c r="N6" s="2785"/>
      <c r="O6" s="2785"/>
      <c r="P6" s="2785"/>
    </row>
    <row r="7" spans="1:16" ht="15.75">
      <c r="A7" s="2601"/>
      <c r="B7" s="2594" t="e">
        <f ca="1">SUMIF(INDIRECT("'"&amp;A7&amp;"'"&amp;"!A:A"),"总价",INDIRECT("'"&amp;A7&amp;"'"&amp;"!B:B"))</f>
        <v>#REF!</v>
      </c>
      <c r="C7" s="2137"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7"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7"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7"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7"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7"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7"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G35" sqref="G35"/>
    </sheetView>
  </sheetViews>
  <sheetFormatPr defaultColWidth="12.625" defaultRowHeight="21.75" customHeight="1"/>
  <cols>
    <col min="1" max="2" width="12.625" style="1745"/>
    <col min="3" max="4" width="12.625" style="1745" customWidth="1"/>
    <col min="5" max="9" width="12.625" style="1745"/>
    <col min="10" max="11" width="12.625" style="721" customWidth="1"/>
    <col min="12" max="12" width="12.625" style="721"/>
    <col min="13" max="13" width="14.125" style="721" bestFit="1" customWidth="1"/>
    <col min="14" max="26" width="12.625" style="721"/>
    <col min="27" max="35" width="12.625" style="1744"/>
    <col min="36" max="16384" width="12.625" style="1745"/>
  </cols>
  <sheetData>
    <row r="1" spans="1:12" ht="21.75" customHeight="1" thickBot="1">
      <c r="A1" s="1629" t="s">
        <v>1262</v>
      </c>
      <c r="B1" s="1739"/>
      <c r="C1" s="1740" t="s">
        <v>3403</v>
      </c>
      <c r="D1" s="1739"/>
      <c r="E1" s="1739"/>
      <c r="F1" s="1741" t="s">
        <v>1263</v>
      </c>
      <c r="G1" s="1553" t="s">
        <v>3395</v>
      </c>
      <c r="H1" s="1742" t="str">
        <f>IF(G1="现房","——","估价对象范围")</f>
        <v>——</v>
      </c>
      <c r="I1" s="1743" t="s">
        <v>3862</v>
      </c>
    </row>
    <row r="2" spans="1:12" ht="21.75" customHeight="1" thickBot="1">
      <c r="A2" s="3684" t="str">
        <f>项目基本情况!S2</f>
        <v>北京市丰台区四合庄路6号院1-3号楼房地产</v>
      </c>
      <c r="B2" s="3685"/>
      <c r="C2" s="3685"/>
      <c r="D2" s="3685"/>
      <c r="E2" s="3685"/>
      <c r="F2" s="3685"/>
      <c r="G2" s="3685"/>
      <c r="H2" s="3685"/>
      <c r="I2" s="3686"/>
    </row>
    <row r="3" spans="1:12" ht="12.75">
      <c r="A3" s="3688" t="s">
        <v>1264</v>
      </c>
      <c r="B3" s="3689"/>
      <c r="C3" s="3689"/>
      <c r="D3" s="3689"/>
      <c r="E3" s="3689"/>
      <c r="F3" s="3689"/>
      <c r="G3" s="3689"/>
      <c r="H3" s="3689"/>
      <c r="I3" s="3689"/>
    </row>
    <row r="4" spans="1:12" ht="14.25">
      <c r="A4" s="1746" t="s">
        <v>1265</v>
      </c>
      <c r="B4" s="1747" t="s">
        <v>1266</v>
      </c>
      <c r="C4" s="1748" t="s">
        <v>3882</v>
      </c>
      <c r="D4" s="1748" t="s">
        <v>3878</v>
      </c>
      <c r="E4" s="3690" t="s">
        <v>1267</v>
      </c>
      <c r="F4" s="3691"/>
      <c r="G4" s="3691"/>
      <c r="H4" s="3691"/>
      <c r="I4" s="3692"/>
      <c r="K4" s="143" t="str">
        <f>IF(ISNUMBER(FIND("比较法",结果表下!C4)),"比较法",IF(ISNUMBER(FIND("成本法",结果表下!C4)),"成本法",IF(ISNUMBER(FIND("假设开发法",结果表下!C4)),"假设开发法",IF(ISNUMBER(FIND("收益法",结果表下!C4)),"收益法","基准地价系数修正法"))))</f>
        <v>成本法</v>
      </c>
      <c r="L4" s="143" t="str">
        <f>IF(ISNUMBER(FIND("比较法",结果表下!D4)),"比较法",IF(ISNUMBER(FIND("成本法",结果表下!D4)),"成本法",IF(ISNUMBER(FIND("假设开发法",结果表下!D4)),"假设开发法",IF(ISNUMBER(FIND("收益法",结果表下!D4)),"收益法","基准地价系数修正法"))))</f>
        <v>收益法</v>
      </c>
    </row>
    <row r="5" spans="1:12" ht="12.75">
      <c r="A5" s="3664" t="s">
        <v>1268</v>
      </c>
      <c r="B5" s="3651">
        <v>25</v>
      </c>
      <c r="C5" s="3667"/>
      <c r="D5" s="3687"/>
      <c r="E5" s="128" t="s">
        <v>1269</v>
      </c>
      <c r="F5" s="1749"/>
      <c r="G5" s="1749"/>
      <c r="H5" s="1749"/>
      <c r="I5" s="1365"/>
    </row>
    <row r="6" spans="1:12" ht="12.75">
      <c r="A6" s="3664"/>
      <c r="B6" s="3651"/>
      <c r="C6" s="3668"/>
      <c r="D6" s="3687"/>
      <c r="E6" s="128" t="s">
        <v>1270</v>
      </c>
      <c r="F6" s="1749"/>
      <c r="G6" s="1749"/>
      <c r="H6" s="1749"/>
      <c r="I6" s="1365"/>
    </row>
    <row r="7" spans="1:12" ht="12.75">
      <c r="A7" s="3664"/>
      <c r="B7" s="3651"/>
      <c r="C7" s="3669"/>
      <c r="D7" s="3687"/>
      <c r="E7" s="128" t="s">
        <v>1271</v>
      </c>
      <c r="F7" s="1749"/>
      <c r="G7" s="1749"/>
      <c r="H7" s="1749"/>
      <c r="I7" s="1365"/>
    </row>
    <row r="8" spans="1:12" ht="12.75">
      <c r="A8" s="3664" t="s">
        <v>1272</v>
      </c>
      <c r="B8" s="3651">
        <v>15</v>
      </c>
      <c r="C8" s="3667"/>
      <c r="D8" s="3687"/>
      <c r="E8" s="128" t="s">
        <v>1273</v>
      </c>
      <c r="F8" s="1749"/>
      <c r="G8" s="1749"/>
      <c r="H8" s="1749"/>
      <c r="I8" s="1365"/>
    </row>
    <row r="9" spans="1:12" ht="12.75">
      <c r="A9" s="3664"/>
      <c r="B9" s="3651"/>
      <c r="C9" s="3669"/>
      <c r="D9" s="3687"/>
      <c r="E9" s="128" t="s">
        <v>1274</v>
      </c>
      <c r="F9" s="1749"/>
      <c r="G9" s="1749"/>
      <c r="H9" s="1749"/>
      <c r="I9" s="1365"/>
    </row>
    <row r="10" spans="1:12" ht="12.75">
      <c r="A10" s="3664" t="s">
        <v>1275</v>
      </c>
      <c r="B10" s="3651">
        <v>15</v>
      </c>
      <c r="C10" s="3667"/>
      <c r="D10" s="3687"/>
      <c r="E10" s="128" t="s">
        <v>1276</v>
      </c>
      <c r="F10" s="1749"/>
      <c r="G10" s="1749"/>
      <c r="H10" s="1749"/>
      <c r="I10" s="1365"/>
    </row>
    <row r="11" spans="1:12" ht="12.75">
      <c r="A11" s="3664"/>
      <c r="B11" s="3651"/>
      <c r="C11" s="3669"/>
      <c r="D11" s="3687"/>
      <c r="E11" s="128" t="s">
        <v>1277</v>
      </c>
      <c r="F11" s="1749"/>
      <c r="G11" s="1749"/>
      <c r="H11" s="1749"/>
      <c r="I11" s="1365"/>
    </row>
    <row r="12" spans="1:12" ht="12.75">
      <c r="A12" s="3664" t="s">
        <v>1278</v>
      </c>
      <c r="B12" s="3651">
        <v>15</v>
      </c>
      <c r="C12" s="3667"/>
      <c r="D12" s="3687"/>
      <c r="E12" s="128" t="s">
        <v>1279</v>
      </c>
      <c r="F12" s="1749"/>
      <c r="G12" s="1749"/>
      <c r="H12" s="1749"/>
      <c r="I12" s="1365"/>
    </row>
    <row r="13" spans="1:12" ht="12.75">
      <c r="A13" s="3664"/>
      <c r="B13" s="3651"/>
      <c r="C13" s="3669"/>
      <c r="D13" s="3687"/>
      <c r="E13" s="128" t="s">
        <v>1280</v>
      </c>
      <c r="F13" s="1749"/>
      <c r="G13" s="1749"/>
      <c r="H13" s="1749"/>
      <c r="I13" s="1365"/>
    </row>
    <row r="14" spans="1:12" ht="12.75">
      <c r="A14" s="3664" t="s">
        <v>1281</v>
      </c>
      <c r="B14" s="3651">
        <v>30</v>
      </c>
      <c r="C14" s="3667">
        <v>6</v>
      </c>
      <c r="D14" s="3687">
        <v>4</v>
      </c>
      <c r="E14" s="128" t="s">
        <v>1282</v>
      </c>
      <c r="F14" s="1749"/>
      <c r="G14" s="1749"/>
      <c r="H14" s="1749"/>
      <c r="I14" s="1365"/>
    </row>
    <row r="15" spans="1:12" ht="12.75">
      <c r="A15" s="3664"/>
      <c r="B15" s="3651"/>
      <c r="C15" s="3668"/>
      <c r="D15" s="3687"/>
      <c r="E15" s="128" t="s">
        <v>1283</v>
      </c>
      <c r="F15" s="1749"/>
      <c r="G15" s="1749"/>
      <c r="H15" s="1749"/>
      <c r="I15" s="1365"/>
    </row>
    <row r="16" spans="1:12" ht="12.75">
      <c r="A16" s="3664"/>
      <c r="B16" s="3651"/>
      <c r="C16" s="3669"/>
      <c r="D16" s="3687"/>
      <c r="E16" s="128" t="s">
        <v>1284</v>
      </c>
      <c r="F16" s="1749"/>
      <c r="G16" s="1749"/>
      <c r="H16" s="1749"/>
      <c r="I16" s="1365"/>
    </row>
    <row r="17" spans="1:36" ht="15">
      <c r="A17" s="1750" t="s">
        <v>1285</v>
      </c>
      <c r="B17" s="56"/>
      <c r="C17" s="129">
        <f>SUM(C5:C16)</f>
        <v>6</v>
      </c>
      <c r="D17" s="129">
        <f>SUM(D5:D16)</f>
        <v>4</v>
      </c>
      <c r="E17" s="126"/>
      <c r="F17" s="126"/>
      <c r="G17" s="126"/>
      <c r="H17" s="126"/>
      <c r="I17" s="126"/>
      <c r="K17" s="299"/>
      <c r="L17" s="299" t="s">
        <v>1286</v>
      </c>
      <c r="M17" s="299" t="s">
        <v>1287</v>
      </c>
    </row>
    <row r="18" spans="1:36" ht="31.9" customHeight="1" thickBot="1">
      <c r="A18" s="1751" t="s">
        <v>1288</v>
      </c>
      <c r="B18" s="1752"/>
      <c r="C18" s="130">
        <f>ROUND(C17/SUM(C17:D17),2)</f>
        <v>0.6</v>
      </c>
      <c r="D18" s="130">
        <f>1-C18</f>
        <v>0.4</v>
      </c>
      <c r="E18" s="3674" t="s">
        <v>2131</v>
      </c>
      <c r="F18" s="3675"/>
      <c r="G18" s="3675"/>
      <c r="H18" s="3675"/>
      <c r="I18" s="3675"/>
      <c r="K18" s="299" t="s">
        <v>1289</v>
      </c>
      <c r="L18" s="299">
        <f>IF(C1="",'数据-汇总表'!E3,SUMIF(项目类型,C1,'数据-汇总表'!E17:E26)+SUMIF(项目类型,C1,'数据-汇总表'!I17:I26))</f>
        <v>51763.15</v>
      </c>
      <c r="M18" s="299">
        <f>IF(C1="",'数据-汇总表'!E3,SUMIF(项目类型,C1,'数据-汇总表'!E17:E26))</f>
        <v>51763.15</v>
      </c>
    </row>
    <row r="19" spans="1:36" ht="15">
      <c r="A19" s="1753" t="s">
        <v>1290</v>
      </c>
      <c r="B19" s="1754" t="s">
        <v>1291</v>
      </c>
      <c r="C19" s="131">
        <f ca="1">SUMIF(INDIRECT("'"&amp;C4&amp;"'"&amp;"!A:A"),结果表下!B19,INDIRECT("'"&amp;C4&amp;"'"&amp;"!B:B"))</f>
        <v>58536</v>
      </c>
      <c r="D19" s="132">
        <f ca="1">SUMIF(INDIRECT("'"&amp;D4&amp;"'"&amp;"!A:A"),结果表下!B19,INDIRECT("'"&amp;D4&amp;"'"&amp;"!B:B"))</f>
        <v>42464</v>
      </c>
      <c r="E19" s="1753" t="s">
        <v>1292</v>
      </c>
      <c r="F19" s="1754" t="s">
        <v>1291</v>
      </c>
      <c r="G19" s="133">
        <f ca="1">ROUND(C19*$C$18+D19*$D$18,0)</f>
        <v>52107</v>
      </c>
      <c r="H19" s="1755" t="s">
        <v>1293</v>
      </c>
      <c r="I19" s="126"/>
      <c r="K19" s="299" t="s">
        <v>1294</v>
      </c>
      <c r="L19" s="299">
        <f>IF(C1="",'数据-汇总表'!D3,SUMIF(项目类型,C1,'数据-汇总表'!D17:D26)+SUMIF(项目类型,C1,'数据-汇总表'!H17:H27))</f>
        <v>11043.93</v>
      </c>
      <c r="M19" s="299">
        <f>IF(C1="",'数据-汇总表'!D3,SUMIF(项目类型,C1,'数据-汇总表'!D17:D26))</f>
        <v>11043.93</v>
      </c>
    </row>
    <row r="20" spans="1:36" ht="15">
      <c r="A20" s="1756"/>
      <c r="B20" s="1018" t="s">
        <v>1295</v>
      </c>
      <c r="C20" s="134">
        <f ca="1">SUMIF(INDIRECT("'"&amp;C4&amp;"'"&amp;"!A:A"),结果表下!B20,INDIRECT("'"&amp;C4&amp;"'"&amp;"!B:B"))</f>
        <v>11308</v>
      </c>
      <c r="D20" s="135">
        <f ca="1">SUMIF(INDIRECT("'"&amp;D4&amp;"'"&amp;"!A:A"),结果表下!B20,INDIRECT("'"&amp;D4&amp;"'"&amp;"!B:B"))</f>
        <v>8204</v>
      </c>
      <c r="E20" s="1756"/>
      <c r="F20" s="1018" t="s">
        <v>1295</v>
      </c>
      <c r="G20" s="136">
        <f ca="1">ROUND(C20*$C$18+D20*$D$18,0)</f>
        <v>10066</v>
      </c>
      <c r="H20" s="800" t="s">
        <v>1296</v>
      </c>
      <c r="I20" s="126"/>
    </row>
    <row r="21" spans="1:36" ht="15" customHeight="1" thickBot="1">
      <c r="A21" s="820"/>
      <c r="B21" s="1757" t="s">
        <v>1297</v>
      </c>
      <c r="C21" s="715">
        <f ca="1">ROUND(C19*10000/L19,0)</f>
        <v>53003</v>
      </c>
      <c r="D21" s="716">
        <f ca="1">ROUND(D19*10000/L19,0)</f>
        <v>38450</v>
      </c>
      <c r="E21" s="820"/>
      <c r="F21" s="1757" t="s">
        <v>1297</v>
      </c>
      <c r="G21" s="137">
        <f ca="1">ROUND(G19*10000/L19,0)</f>
        <v>47182</v>
      </c>
      <c r="H21" s="1758" t="s">
        <v>1296</v>
      </c>
      <c r="I21" s="126"/>
    </row>
    <row r="22" spans="1:36" ht="15" thickBot="1">
      <c r="A22" s="1680" t="s">
        <v>1298</v>
      </c>
      <c r="B22" s="1759"/>
      <c r="C22" s="1760"/>
      <c r="D22" s="717">
        <f ca="1">IF(C19&lt;D19,D19/C19-1,C19/D19-1)</f>
        <v>0.37848530519969859</v>
      </c>
      <c r="E22" s="126"/>
      <c r="F22" s="126"/>
      <c r="G22" s="126"/>
      <c r="H22" s="126"/>
      <c r="I22" s="126"/>
    </row>
    <row r="23" spans="1:36" ht="13.5" thickBot="1">
      <c r="A23" s="1739"/>
      <c r="B23" s="1739"/>
      <c r="C23" s="1739"/>
      <c r="D23" s="1739"/>
      <c r="E23" s="126"/>
      <c r="F23" s="126"/>
      <c r="G23" s="126"/>
      <c r="H23" s="126"/>
      <c r="I23" s="126"/>
    </row>
    <row r="24" spans="1:36" ht="14.25">
      <c r="A24" s="3658" t="s">
        <v>1299</v>
      </c>
      <c r="B24" s="1754" t="s">
        <v>1291</v>
      </c>
      <c r="C24" s="133">
        <f>IF(B30=0,0,D30)</f>
        <v>0</v>
      </c>
      <c r="D24" s="1761"/>
      <c r="E24" s="126"/>
      <c r="F24" s="126"/>
      <c r="G24" s="126"/>
      <c r="H24" s="126"/>
      <c r="I24" s="126"/>
    </row>
    <row r="25" spans="1:36" ht="14.25">
      <c r="A25" s="3659"/>
      <c r="B25" s="1018" t="s">
        <v>1295</v>
      </c>
      <c r="C25" s="138">
        <f>IF(B30=0,0,C30)</f>
        <v>0</v>
      </c>
      <c r="D25" s="1762"/>
      <c r="E25" s="126"/>
      <c r="F25" s="126"/>
      <c r="G25" s="126"/>
      <c r="H25" s="126"/>
      <c r="I25" s="126"/>
    </row>
    <row r="26" spans="1:36" ht="13.5" customHeight="1">
      <c r="A26" s="1763" t="s">
        <v>1300</v>
      </c>
      <c r="B26" s="139" t="s">
        <v>1301</v>
      </c>
      <c r="C26" s="139" t="s">
        <v>1302</v>
      </c>
      <c r="D26" s="140" t="s">
        <v>1303</v>
      </c>
      <c r="E26" s="126"/>
      <c r="F26" s="126"/>
      <c r="G26" s="126"/>
      <c r="H26" s="126"/>
      <c r="I26" s="126"/>
    </row>
    <row r="27" spans="1:36" ht="14.25">
      <c r="A27" s="1763"/>
      <c r="B27" s="139">
        <v>0</v>
      </c>
      <c r="C27" s="139">
        <v>0</v>
      </c>
      <c r="D27" s="140">
        <f>ROUND(C27*B27/10000,0)</f>
        <v>0</v>
      </c>
      <c r="E27" s="126"/>
      <c r="F27" s="126"/>
      <c r="G27" s="126"/>
      <c r="H27" s="126"/>
      <c r="I27" s="126"/>
    </row>
    <row r="28" spans="1:36" ht="14.25">
      <c r="A28" s="1763"/>
      <c r="B28" s="139"/>
      <c r="C28" s="139"/>
      <c r="D28" s="140"/>
      <c r="E28" s="126"/>
      <c r="F28" s="126"/>
      <c r="G28" s="126"/>
      <c r="H28" s="126"/>
      <c r="I28" s="126"/>
    </row>
    <row r="29" spans="1:36" ht="14.25">
      <c r="A29" s="1763"/>
      <c r="B29" s="139"/>
      <c r="C29" s="139"/>
      <c r="D29" s="140"/>
      <c r="E29" s="126"/>
      <c r="F29" s="126"/>
      <c r="G29" s="126"/>
      <c r="H29" s="126"/>
      <c r="I29" s="126"/>
    </row>
    <row r="30" spans="1:36" ht="15" thickBot="1">
      <c r="A30" s="139" t="s">
        <v>1304</v>
      </c>
      <c r="B30" s="139"/>
      <c r="C30" s="139"/>
      <c r="D30" s="139"/>
      <c r="E30" s="2295" t="s">
        <v>2132</v>
      </c>
      <c r="F30" s="126"/>
      <c r="G30" s="126"/>
      <c r="H30" s="126"/>
      <c r="I30" s="126"/>
    </row>
    <row r="31" spans="1:36" s="2301" customFormat="1" ht="26.45" customHeight="1" thickTop="1" thickBot="1">
      <c r="A31" s="2296"/>
      <c r="B31" s="2297"/>
      <c r="C31" s="2297"/>
      <c r="D31" s="2297"/>
      <c r="E31" s="2297"/>
      <c r="F31" s="2297"/>
      <c r="G31" s="2297"/>
      <c r="H31" s="2297"/>
      <c r="I31" s="2298" t="s">
        <v>2133</v>
      </c>
      <c r="J31" s="2681"/>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1">
        <f ca="1">IF(D32="总价",G19-C24,G20-C25)</f>
        <v>52107</v>
      </c>
      <c r="D32" s="1767" t="s">
        <v>3883</v>
      </c>
      <c r="E32" s="126"/>
      <c r="F32" s="126"/>
      <c r="G32" s="126"/>
      <c r="H32" s="126"/>
      <c r="I32" s="126"/>
    </row>
    <row r="33" spans="1:15" ht="15">
      <c r="A33" s="778" t="s">
        <v>1306</v>
      </c>
      <c r="B33" s="1768"/>
      <c r="C33" s="1769" t="s">
        <v>3884</v>
      </c>
      <c r="D33" s="1770" t="s">
        <v>3425</v>
      </c>
      <c r="E33" s="1771" t="s">
        <v>1307</v>
      </c>
      <c r="F33" s="1772" t="str">
        <f>IF(D32="楼面单价","取值（单价）","取值（总价）")</f>
        <v>取值（总价）</v>
      </c>
      <c r="G33" s="126"/>
      <c r="H33" s="126"/>
      <c r="I33" s="126"/>
    </row>
    <row r="34" spans="1:15" ht="15">
      <c r="A34" s="1773"/>
      <c r="B34" s="1774" t="s">
        <v>1308</v>
      </c>
      <c r="C34" s="145">
        <f ca="1">IF(C33="自定义",F34,C32-C35)</f>
        <v>10942</v>
      </c>
      <c r="D34" s="853">
        <f ca="1">IF(C33="自定义",ROUND(C34/C32,3),IF(C33="收益比率",SUMIF(INDIRECT("'"&amp;D33&amp;"'"&amp;"!b:b"),"土地收益比率",INDIRECT("'"&amp;D33&amp;"'"&amp;"!c:c")),SUMIF(INDIRECT("'"&amp;D33&amp;"'"&amp;"!b:b"),"土地成本比率",INDIRECT("'"&amp;D33&amp;"'"&amp;"!c:c"))))</f>
        <v>0.20999999999999996</v>
      </c>
      <c r="E34" s="1775" t="s">
        <v>1309</v>
      </c>
      <c r="F34" s="1322"/>
      <c r="G34" s="126"/>
      <c r="H34" s="126"/>
      <c r="I34" s="126"/>
    </row>
    <row r="35" spans="1:15" ht="15.75" thickBot="1">
      <c r="A35" s="1776"/>
      <c r="B35" s="1777" t="s">
        <v>1310</v>
      </c>
      <c r="C35" s="1162">
        <f ca="1">IF(C33="自定义",F35,ROUND(C32*D35,0))</f>
        <v>41165</v>
      </c>
      <c r="D35" s="1163">
        <f ca="1">IF(C33="自定义",ROUND(C35/C32,3),IF(C33="收益比率",SUMIF(INDIRECT("'"&amp;D33&amp;"'"&amp;"!b:b"),"建筑物收益比率",INDIRECT("'"&amp;D33&amp;"'"&amp;"!c:c")),SUMIF(INDIRECT("'"&amp;D33&amp;"'"&amp;"!b:b"),"建筑物成本比率",INDIRECT("'"&amp;D33&amp;"'"&amp;"!c:c"))))</f>
        <v>0.79</v>
      </c>
      <c r="E35" s="1778" t="s">
        <v>1311</v>
      </c>
      <c r="F35" s="151"/>
      <c r="G35" s="126"/>
      <c r="H35" s="126"/>
      <c r="I35" s="126"/>
    </row>
    <row r="36" spans="1:15" ht="15.75" thickBot="1">
      <c r="A36" s="3678" t="s">
        <v>1312</v>
      </c>
      <c r="B36" s="1779" t="s">
        <v>1313</v>
      </c>
      <c r="C36" s="142"/>
      <c r="D36" s="1780"/>
      <c r="E36" s="1781"/>
      <c r="F36" s="1782"/>
      <c r="G36" s="126"/>
      <c r="H36" s="126"/>
      <c r="I36" s="126"/>
    </row>
    <row r="37" spans="1:15" ht="15.75" thickBot="1">
      <c r="A37" s="3679"/>
      <c r="B37" s="1666" t="s">
        <v>1314</v>
      </c>
      <c r="C37" s="144"/>
      <c r="D37" s="1131"/>
      <c r="E37" s="1131"/>
      <c r="F37" s="1782"/>
      <c r="G37" s="126"/>
      <c r="H37" s="126"/>
      <c r="I37" s="126"/>
    </row>
    <row r="38" spans="1:15" ht="15.75" thickBot="1">
      <c r="A38" s="3680"/>
      <c r="B38" s="1783" t="s">
        <v>1315</v>
      </c>
      <c r="C38" s="670"/>
      <c r="D38" s="1784" t="s">
        <v>1316</v>
      </c>
      <c r="E38" s="1131"/>
      <c r="F38" s="1782"/>
      <c r="G38" s="126"/>
      <c r="H38" s="126"/>
      <c r="I38" s="126"/>
    </row>
    <row r="39" spans="1:15" ht="15">
      <c r="A39" s="1756" t="s">
        <v>1317</v>
      </c>
      <c r="B39" s="1785" t="s">
        <v>1301</v>
      </c>
      <c r="C39" s="1786" t="s">
        <v>1319</v>
      </c>
      <c r="D39" s="1786" t="s">
        <v>1320</v>
      </c>
      <c r="E39" s="1787" t="s">
        <v>1303</v>
      </c>
      <c r="F39" s="1782"/>
      <c r="G39" s="126"/>
      <c r="H39" s="126"/>
      <c r="I39" s="126"/>
    </row>
    <row r="40" spans="1:15" ht="14.25">
      <c r="A40" s="1788" t="s">
        <v>1322</v>
      </c>
      <c r="B40" s="146"/>
      <c r="C40" s="147"/>
      <c r="D40" s="147"/>
      <c r="E40" s="148"/>
      <c r="F40" s="1782"/>
      <c r="G40" s="126"/>
      <c r="H40" s="126"/>
      <c r="I40" s="126"/>
    </row>
    <row r="41" spans="1:15" ht="14.25">
      <c r="A41" s="1788" t="s">
        <v>1323</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69"/>
      <c r="B43" s="1569"/>
      <c r="C43" s="1569"/>
      <c r="D43" s="1569"/>
      <c r="E43" s="1569"/>
      <c r="F43" s="1790"/>
      <c r="G43" s="1790"/>
      <c r="H43" s="1790"/>
      <c r="I43" s="1791"/>
    </row>
    <row r="44" spans="1:15" ht="18.75">
      <c r="A44" s="1792" t="s">
        <v>1324</v>
      </c>
      <c r="B44" s="1793"/>
      <c r="C44" s="1793"/>
      <c r="D44" s="1794"/>
      <c r="E44" s="1794"/>
      <c r="F44" s="1795"/>
      <c r="G44" s="1795"/>
      <c r="H44" s="1795"/>
      <c r="I44" s="1795"/>
      <c r="J44" s="1796" t="s">
        <v>1325</v>
      </c>
      <c r="K44" s="1797"/>
      <c r="L44" s="1797"/>
      <c r="M44" s="1797"/>
      <c r="N44" s="1797"/>
      <c r="O44" s="1797"/>
    </row>
    <row r="45" spans="1:15" ht="14.25" customHeight="1" thickBot="1">
      <c r="A45" s="3655" t="s">
        <v>1326</v>
      </c>
      <c r="B45" s="3656"/>
      <c r="C45" s="3657"/>
      <c r="D45" s="152">
        <f ca="1">ROUND(H101*F45,0)</f>
        <v>52107</v>
      </c>
      <c r="E45" s="153" t="s">
        <v>1327</v>
      </c>
      <c r="F45" s="154">
        <v>1</v>
      </c>
      <c r="G45" s="155" t="s">
        <v>1328</v>
      </c>
      <c r="H45" s="126"/>
      <c r="I45" s="126"/>
      <c r="J45" s="3733" t="s">
        <v>1329</v>
      </c>
      <c r="K45" s="3733"/>
      <c r="L45" s="3733"/>
      <c r="M45" s="3733"/>
      <c r="N45" s="3733"/>
      <c r="O45" s="3733"/>
    </row>
    <row r="46" spans="1:15" ht="14.25" customHeight="1">
      <c r="A46" s="3652" t="s">
        <v>1330</v>
      </c>
      <c r="B46" s="3653"/>
      <c r="C46" s="3653"/>
      <c r="D46" s="3653"/>
      <c r="E46" s="3653"/>
      <c r="F46" s="3653"/>
      <c r="G46" s="3654"/>
      <c r="H46" s="1798"/>
      <c r="I46" s="156"/>
      <c r="J46" s="3458">
        <v>1</v>
      </c>
      <c r="K46" s="3714" t="s">
        <v>1331</v>
      </c>
      <c r="L46" s="3714"/>
      <c r="M46" s="3734"/>
      <c r="N46" s="3734"/>
      <c r="O46" s="3734"/>
    </row>
    <row r="47" spans="1:15" ht="12" customHeight="1">
      <c r="A47" s="157" t="s">
        <v>1332</v>
      </c>
      <c r="B47" s="158"/>
      <c r="C47" s="159"/>
      <c r="D47" s="1079" t="s">
        <v>1333</v>
      </c>
      <c r="E47" s="299" t="s">
        <v>1334</v>
      </c>
      <c r="F47" s="160" t="s">
        <v>1335</v>
      </c>
      <c r="G47" s="2538" t="s">
        <v>1336</v>
      </c>
      <c r="H47" s="2539"/>
      <c r="I47" s="156"/>
      <c r="J47" s="3458">
        <v>2</v>
      </c>
      <c r="K47" s="3714" t="s">
        <v>1337</v>
      </c>
      <c r="L47" s="3714"/>
      <c r="M47" s="3735">
        <f>'数据-取费表'!B2</f>
        <v>45401</v>
      </c>
      <c r="N47" s="3735"/>
      <c r="O47" s="3735"/>
    </row>
    <row r="48" spans="1:15" ht="25.5">
      <c r="A48" s="3683" t="s">
        <v>1338</v>
      </c>
      <c r="B48" s="3666"/>
      <c r="C48" s="3666"/>
      <c r="D48" s="3460" t="b">
        <f>IF(H48="情况1",0,IF(H48="情况2",D52,IF(H48="情况3",D53,IF(H48="情况4",D54))))</f>
        <v>0</v>
      </c>
      <c r="E48" s="3449" t="str">
        <f>IF(H48="情况4","(销售额-原购置价)×税（费）率","销售额×税（费）率")</f>
        <v>销售额×税（费）率</v>
      </c>
      <c r="F48" s="2540">
        <f>IF(H48="情况1","免征",'数据-取费表'!B41)</f>
        <v>5.6000000000000001E-2</v>
      </c>
      <c r="G48" s="2541" t="s">
        <v>1339</v>
      </c>
      <c r="H48" s="2542"/>
      <c r="I48" s="1798"/>
      <c r="J48" s="3458">
        <v>3</v>
      </c>
      <c r="K48" s="3714" t="s">
        <v>1340</v>
      </c>
      <c r="L48" s="3714"/>
      <c r="M48" s="3736">
        <f ca="1">H101</f>
        <v>52107</v>
      </c>
      <c r="N48" s="3736"/>
      <c r="O48" s="3736"/>
    </row>
    <row r="49" spans="1:35" ht="25.5" customHeight="1">
      <c r="A49" s="3453" t="s">
        <v>1341</v>
      </c>
      <c r="B49" s="3650" t="s">
        <v>1342</v>
      </c>
      <c r="C49" s="3650"/>
      <c r="D49" s="1582">
        <v>0</v>
      </c>
      <c r="E49" s="321" t="s">
        <v>1343</v>
      </c>
      <c r="F49" s="3443" t="s">
        <v>28</v>
      </c>
      <c r="G49" s="3720"/>
      <c r="H49" s="2302" t="s">
        <v>2134</v>
      </c>
      <c r="I49" s="2303"/>
      <c r="J49" s="3458">
        <v>4</v>
      </c>
      <c r="K49" s="3714" t="str">
        <f>IF(项目基本情况!E8="房地产抵押价值","房地产抵押价值","抵押担保权已注销时的房地产抵押价值")</f>
        <v>房地产抵押价值</v>
      </c>
      <c r="L49" s="3714"/>
      <c r="M49" s="3736">
        <f ca="1">IF(项目基本情况!E8="房地产抵押价值",H107,H109)</f>
        <v>52107</v>
      </c>
      <c r="N49" s="3736"/>
      <c r="O49" s="3736"/>
    </row>
    <row r="50" spans="1:35" ht="25.5" customHeight="1">
      <c r="A50" s="2543"/>
      <c r="B50" s="3650" t="s">
        <v>1344</v>
      </c>
      <c r="C50" s="3650"/>
      <c r="D50" s="2544"/>
      <c r="E50" s="329"/>
      <c r="F50" s="3443"/>
      <c r="G50" s="3721"/>
      <c r="H50" s="2304" t="s">
        <v>2135</v>
      </c>
      <c r="I50" s="2303"/>
      <c r="J50" s="3733" t="s">
        <v>1345</v>
      </c>
      <c r="K50" s="3733"/>
      <c r="L50" s="3733"/>
      <c r="M50" s="3733"/>
      <c r="N50" s="3733"/>
      <c r="O50" s="3733"/>
    </row>
    <row r="51" spans="1:35" ht="20.45" customHeight="1">
      <c r="A51" s="2545"/>
      <c r="B51" s="3650" t="s">
        <v>1346</v>
      </c>
      <c r="C51" s="3650"/>
      <c r="D51" s="1079"/>
      <c r="E51" s="324"/>
      <c r="F51" s="3443"/>
      <c r="G51" s="3722"/>
      <c r="H51" s="2304" t="s">
        <v>2136</v>
      </c>
      <c r="I51" s="2303"/>
      <c r="J51" s="3457" t="s">
        <v>1347</v>
      </c>
      <c r="K51" s="3714" t="s">
        <v>1348</v>
      </c>
      <c r="L51" s="3714"/>
      <c r="M51" s="3457" t="s">
        <v>1349</v>
      </c>
      <c r="N51" s="3457" t="s">
        <v>1350</v>
      </c>
      <c r="O51" s="3457" t="s">
        <v>1351</v>
      </c>
    </row>
    <row r="52" spans="1:35" ht="24" customHeight="1">
      <c r="A52" s="3448" t="s">
        <v>1352</v>
      </c>
      <c r="B52" s="3650" t="s">
        <v>1353</v>
      </c>
      <c r="C52" s="3650"/>
      <c r="D52" s="1079">
        <f ca="1">ROUND(D45*'数据-取费表'!B41/(1+'数据-取费表'!C42),0)</f>
        <v>2779</v>
      </c>
      <c r="E52" s="3449" t="s">
        <v>1354</v>
      </c>
      <c r="F52" s="2546">
        <f>'数据-取费表'!B41</f>
        <v>5.6000000000000001E-2</v>
      </c>
      <c r="G52" s="2547"/>
      <c r="H52" s="2536"/>
      <c r="I52" s="1799"/>
      <c r="J52" s="3458">
        <v>1</v>
      </c>
      <c r="K52" s="3715" t="s">
        <v>1355</v>
      </c>
      <c r="L52" s="3715"/>
      <c r="M52" s="2517" t="b">
        <f>D48</f>
        <v>0</v>
      </c>
      <c r="N52" s="3458" t="str">
        <f>E48</f>
        <v>销售额×税（费）率</v>
      </c>
      <c r="O52" s="2518">
        <f>F48</f>
        <v>5.6000000000000001E-2</v>
      </c>
    </row>
    <row r="53" spans="1:35" ht="12" customHeight="1">
      <c r="A53" s="3448" t="s">
        <v>1356</v>
      </c>
      <c r="B53" s="3676" t="s">
        <v>2291</v>
      </c>
      <c r="C53" s="3677"/>
      <c r="D53" s="1079">
        <f ca="1">ROUND(D45*'数据-取费表'!B41/(1+'数据-取费表'!C42),0)</f>
        <v>2779</v>
      </c>
      <c r="E53" s="3449" t="s">
        <v>1354</v>
      </c>
      <c r="F53" s="2546">
        <f>'数据-取费表'!B41</f>
        <v>5.6000000000000001E-2</v>
      </c>
      <c r="G53" s="2547"/>
      <c r="H53" s="2536"/>
      <c r="I53" s="1799"/>
      <c r="J53" s="3458">
        <v>2</v>
      </c>
      <c r="K53" s="3715" t="s">
        <v>1357</v>
      </c>
      <c r="L53" s="3715"/>
      <c r="M53" s="2517">
        <f t="shared" ref="M53:O54" ca="1" si="0">D55</f>
        <v>26</v>
      </c>
      <c r="N53" s="3458" t="str">
        <f t="shared" si="0"/>
        <v>销售额×税（费）率</v>
      </c>
      <c r="O53" s="2518" t="str">
        <f t="shared" si="0"/>
        <v>免征</v>
      </c>
    </row>
    <row r="54" spans="1:35" ht="12" customHeight="1">
      <c r="A54" s="3448" t="s">
        <v>1358</v>
      </c>
      <c r="B54" s="3676" t="s">
        <v>2292</v>
      </c>
      <c r="C54" s="3677"/>
      <c r="D54" s="1079">
        <f ca="1">C68</f>
        <v>2779</v>
      </c>
      <c r="E54" s="324" t="s">
        <v>1359</v>
      </c>
      <c r="F54" s="2546">
        <f>'数据-取费表'!B41</f>
        <v>5.6000000000000001E-2</v>
      </c>
      <c r="G54" s="2547"/>
      <c r="H54" s="2548"/>
      <c r="I54" s="1799"/>
      <c r="J54" s="3458">
        <v>3</v>
      </c>
      <c r="K54" s="3715" t="s">
        <v>1360</v>
      </c>
      <c r="L54" s="3715"/>
      <c r="M54" s="2517">
        <f t="shared" ca="1" si="0"/>
        <v>29493</v>
      </c>
      <c r="N54" s="3458" t="str">
        <f t="shared" si="0"/>
        <v>增值额×税（费）率</v>
      </c>
      <c r="O54" s="2519" t="str">
        <f t="shared" si="0"/>
        <v>免征</v>
      </c>
    </row>
    <row r="55" spans="1:35" ht="24" customHeight="1">
      <c r="A55" s="3665" t="s">
        <v>1361</v>
      </c>
      <c r="B55" s="3666"/>
      <c r="C55" s="3666"/>
      <c r="D55" s="3460">
        <f ca="1">IF(H55="个人住宅",0,ROUND(D45*I55,0))</f>
        <v>26</v>
      </c>
      <c r="E55" s="3449" t="s">
        <v>1362</v>
      </c>
      <c r="F55" s="2546" t="str">
        <f>IF(H55="正常",I55,"免征")</f>
        <v>免征</v>
      </c>
      <c r="G55" s="2547"/>
      <c r="H55" s="2542"/>
      <c r="I55" s="162">
        <f>'数据-取费表'!B49</f>
        <v>5.0000000000000001E-4</v>
      </c>
      <c r="J55" s="3458">
        <f>IF(H59="非个人房产","",4)</f>
        <v>4</v>
      </c>
      <c r="K55" s="3715" t="str">
        <f>IF(H59="非个人房产","——","个人所得税")</f>
        <v>个人所得税</v>
      </c>
      <c r="L55" s="3715"/>
      <c r="M55" s="2520">
        <f ca="1">D59</f>
        <v>496</v>
      </c>
      <c r="N55" s="3459" t="str">
        <f>E59</f>
        <v>差额计税</v>
      </c>
      <c r="O55" s="2521">
        <f>F59</f>
        <v>0.01</v>
      </c>
    </row>
    <row r="56" spans="1:35" ht="24.75">
      <c r="A56" s="3665" t="s">
        <v>1363</v>
      </c>
      <c r="B56" s="3666"/>
      <c r="C56" s="3666"/>
      <c r="D56" s="3460">
        <f ca="1">IF(H56="个人住宅",D57,D58)</f>
        <v>29493</v>
      </c>
      <c r="E56" s="3449" t="s">
        <v>1364</v>
      </c>
      <c r="F56" s="2546" t="str">
        <f>IF(H56="正常",F58,"免征")</f>
        <v>免征</v>
      </c>
      <c r="G56" s="2549" t="s">
        <v>1365</v>
      </c>
      <c r="H56" s="2550"/>
      <c r="I56" s="1800"/>
      <c r="J56" s="3458" t="str">
        <f>IF(项目基本情况!K6="上海银行",IF(J55="",4,J55+1),"")</f>
        <v/>
      </c>
      <c r="K56" s="3738" t="str">
        <f>IF(项目基本情况!K6="上海银行","其他处置费用","")</f>
        <v/>
      </c>
      <c r="L56" s="3739"/>
      <c r="M56" s="2517" t="str">
        <f>IF(项目基本情况!K6="上海银行",M69,"")</f>
        <v/>
      </c>
      <c r="N56" s="3738" t="str">
        <f>IF(项目基本情况!K6="上海银行","包含处置中涉及的律师、诉讼、拍卖、评估等费用","")</f>
        <v/>
      </c>
      <c r="O56" s="3741"/>
    </row>
    <row r="57" spans="1:35" ht="12.75">
      <c r="A57" s="3448" t="s">
        <v>1341</v>
      </c>
      <c r="B57" s="3676" t="s">
        <v>1366</v>
      </c>
      <c r="C57" s="3677"/>
      <c r="D57" s="1582">
        <v>0</v>
      </c>
      <c r="E57" s="321" t="s">
        <v>1343</v>
      </c>
      <c r="F57" s="299"/>
      <c r="G57" s="2547"/>
      <c r="H57" s="2551"/>
      <c r="I57" s="1800"/>
      <c r="J57" s="3715">
        <f>IF(AND(J55="",J56=""),4,IF(项目基本情况!K6="上海银行",结果表下!J56+1,结果表下!J55+1))</f>
        <v>5</v>
      </c>
      <c r="K57" s="3715" t="s">
        <v>1367</v>
      </c>
      <c r="L57" s="2522" t="s">
        <v>1368</v>
      </c>
      <c r="M57" s="2523"/>
      <c r="N57" s="2524">
        <f ca="1">SUMIF(M52:M56,"&lt;9e307")</f>
        <v>30015</v>
      </c>
      <c r="O57" s="2525"/>
      <c r="P57" s="2682">
        <f ca="1">N57/M49</f>
        <v>0.57602625367033222</v>
      </c>
    </row>
    <row r="58" spans="1:35" ht="24.75">
      <c r="A58" s="3448" t="s">
        <v>1352</v>
      </c>
      <c r="B58" s="3676" t="s">
        <v>1369</v>
      </c>
      <c r="C58" s="3650"/>
      <c r="D58" s="3460">
        <f ca="1">IF(H58="转让取得",C81,C97)</f>
        <v>29493</v>
      </c>
      <c r="E58" s="3449" t="s">
        <v>1364</v>
      </c>
      <c r="F58" s="299" t="s">
        <v>28</v>
      </c>
      <c r="G58" s="2547"/>
      <c r="H58" s="2550"/>
      <c r="I58" s="1800"/>
      <c r="J58" s="3715"/>
      <c r="K58" s="3715"/>
      <c r="L58" s="2522" t="s">
        <v>1370</v>
      </c>
      <c r="M58" s="2526"/>
      <c r="N58" s="2527" t="str">
        <f ca="1">NUMBERSTRING(INT(N57*10000),2)&amp;"元整"</f>
        <v>叁亿零壹拾伍万元整</v>
      </c>
      <c r="O58" s="2528"/>
    </row>
    <row r="59" spans="1:35" ht="24.75" thickBot="1">
      <c r="A59" s="3718" t="s">
        <v>1371</v>
      </c>
      <c r="B59" s="3719"/>
      <c r="C59" s="3719"/>
      <c r="D59" s="2552">
        <f ca="1">IF(H59="非个人房产","——",IF(H59="个人住宅（满五唯一有凭证）",0,IF(H59="个人其他（无凭证）",ROUND(D45*F59,0),ROUND(C67*F59,0))))</f>
        <v>496</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6"/>
      <c r="I59" s="2305" t="s">
        <v>2137</v>
      </c>
      <c r="J59" s="3716">
        <f>J57+1</f>
        <v>6</v>
      </c>
      <c r="K59" s="3715" t="s">
        <v>1372</v>
      </c>
      <c r="L59" s="3458" t="s">
        <v>1368</v>
      </c>
      <c r="M59" s="2529"/>
      <c r="N59" s="2530">
        <f ca="1">M49-N57</f>
        <v>22092</v>
      </c>
      <c r="O59" s="2531"/>
    </row>
    <row r="60" spans="1:35" ht="12" customHeight="1">
      <c r="A60" s="1801"/>
      <c r="B60" s="1739"/>
      <c r="C60" s="1739"/>
      <c r="D60" s="1739"/>
      <c r="E60" s="1570"/>
      <c r="F60" s="1800"/>
      <c r="G60" s="1800"/>
      <c r="H60" s="1802"/>
      <c r="I60" s="126"/>
      <c r="J60" s="3717"/>
      <c r="K60" s="3715"/>
      <c r="L60" s="2522" t="s">
        <v>1370</v>
      </c>
      <c r="M60" s="2526"/>
      <c r="N60" s="2527" t="str">
        <f ca="1">NUMBERSTRING(INT(N59*10000),2)&amp;"元整"</f>
        <v>贰亿贰仟零玖拾贰万元整</v>
      </c>
      <c r="O60" s="2528"/>
    </row>
    <row r="61" spans="1:35" ht="13.5" thickBot="1">
      <c r="A61" s="3663" t="s">
        <v>1373</v>
      </c>
      <c r="B61" s="3663"/>
      <c r="C61" s="3663"/>
      <c r="D61" s="3663"/>
      <c r="E61" s="3663"/>
      <c r="F61" s="1800"/>
      <c r="G61" s="1800"/>
      <c r="H61" s="1802"/>
      <c r="I61" s="126"/>
      <c r="J61" s="3458">
        <f>J59+1</f>
        <v>7</v>
      </c>
      <c r="K61" s="3715" t="s">
        <v>1374</v>
      </c>
      <c r="L61" s="3715"/>
      <c r="M61" s="2532"/>
      <c r="N61" s="2533">
        <f ca="1">ROUND(N59*10000/'数据-汇总表'!E3,0)</f>
        <v>2131</v>
      </c>
      <c r="O61" s="2534"/>
    </row>
    <row r="62" spans="1:35" ht="12.75">
      <c r="A62" s="3681" t="s">
        <v>1375</v>
      </c>
      <c r="B62" s="3682"/>
      <c r="C62" s="3452"/>
      <c r="D62" s="3452" t="s">
        <v>1376</v>
      </c>
      <c r="E62" s="163" t="s">
        <v>1377</v>
      </c>
      <c r="F62" s="1800"/>
      <c r="G62" s="1800"/>
      <c r="H62" s="1802"/>
      <c r="I62" s="126"/>
    </row>
    <row r="63" spans="1:35" ht="12.75">
      <c r="A63" s="170" t="s">
        <v>330</v>
      </c>
      <c r="B63" s="164" t="s">
        <v>1378</v>
      </c>
      <c r="C63" s="2556">
        <f ca="1">ROUND((C64+C65)/(1+'数据-取费表'!C42),0)</f>
        <v>49626</v>
      </c>
      <c r="D63" s="164"/>
      <c r="E63" s="165"/>
      <c r="F63" s="1800"/>
      <c r="G63" s="1800"/>
      <c r="H63" s="1802"/>
      <c r="I63" s="126"/>
      <c r="J63" s="3740" t="s">
        <v>1379</v>
      </c>
      <c r="K63" s="3461" t="s">
        <v>1380</v>
      </c>
      <c r="L63" s="3461">
        <f ca="1">IF(M49&gt;10000,M49*0.5%,IF(AND(M49&gt;1000,M49&lt;=10000),M49*1%,IF(AND(M49&gt;100,M49&lt;=1000),M49*3%,IF(AND(M49&gt;10,M49&lt;=100),M49*5%,M49*8%))))</f>
        <v>260.53500000000003</v>
      </c>
      <c r="M63" s="299">
        <f ca="1">ROUND(L63,1)</f>
        <v>260.5</v>
      </c>
      <c r="N63" s="2535"/>
      <c r="Z63" s="1744"/>
      <c r="AI63" s="1745"/>
    </row>
    <row r="64" spans="1:35" ht="14.25" customHeight="1">
      <c r="A64" s="166" t="s">
        <v>325</v>
      </c>
      <c r="B64" s="167" t="s">
        <v>1381</v>
      </c>
      <c r="C64" s="2557">
        <f ca="1">D45</f>
        <v>52107</v>
      </c>
      <c r="D64" s="167" t="s">
        <v>26</v>
      </c>
      <c r="E64" s="169"/>
      <c r="F64" s="1800"/>
      <c r="G64" s="1800"/>
      <c r="H64" s="1802"/>
      <c r="I64" s="126"/>
      <c r="J64" s="3740"/>
      <c r="K64" s="3461" t="s">
        <v>1382</v>
      </c>
      <c r="L64" s="3461">
        <f ca="1">IF(M49&gt;2000,M49*0.5%,IF(AND(M49&gt;1000,M49&lt;=2000),M49*0.6%,IF(AND(M49&gt;500,M49&lt;=1000),M49*0.7%,IF(AND(M49&gt;200,M49&lt;=500),M49*0.8%,IF(AND(M49&gt;100,M49&lt;=200),M49*0.9%,IF(AND(M49&gt;50,M49&lt;=100),M49*1%,IF(AND(M49&gt;20,M49&lt;=50),M49*1.5%,IF(AND(M49&gt;10,M49&lt;=20),M49*2%,IF(AND(M49&gt;1,M49&lt;=10),M49*2.5%)))))))))</f>
        <v>260.53500000000003</v>
      </c>
      <c r="M64" s="299">
        <f t="shared" ref="M64:M65" ca="1" si="1">ROUND(L64,1)</f>
        <v>260.5</v>
      </c>
      <c r="N64" s="2536" t="s">
        <v>1383</v>
      </c>
      <c r="Z64" s="1744"/>
      <c r="AI64" s="1745"/>
    </row>
    <row r="65" spans="1:35" ht="14.25" customHeight="1">
      <c r="A65" s="166" t="s">
        <v>326</v>
      </c>
      <c r="B65" s="167" t="s">
        <v>1384</v>
      </c>
      <c r="C65" s="2558"/>
      <c r="D65" s="167"/>
      <c r="E65" s="169"/>
      <c r="F65" s="1800"/>
      <c r="G65" s="1800"/>
      <c r="H65" s="1802"/>
      <c r="I65" s="126"/>
      <c r="J65" s="3740"/>
      <c r="K65" s="3461" t="s">
        <v>1385</v>
      </c>
      <c r="L65" s="3461">
        <f ca="1">IF(M49&gt;1000,M49*0.1%,IF(AND(M49&gt;500,M49&lt;=1000),M49*0.5%,IF(AND(M49&gt;50,M49&lt;=500),M49*1%,IF(AND(M49&gt;1,M49&lt;=50),M49*1.5%))))</f>
        <v>52.106999999999999</v>
      </c>
      <c r="M65" s="299">
        <f t="shared" ca="1" si="1"/>
        <v>52.1</v>
      </c>
      <c r="N65" s="2536" t="s">
        <v>1383</v>
      </c>
      <c r="Z65" s="1744"/>
      <c r="AI65" s="1745"/>
    </row>
    <row r="66" spans="1:35" ht="14.25" customHeight="1">
      <c r="A66" s="170" t="s">
        <v>327</v>
      </c>
      <c r="B66" s="171" t="s">
        <v>1386</v>
      </c>
      <c r="C66" s="2559"/>
      <c r="D66" s="171" t="s">
        <v>26</v>
      </c>
      <c r="E66" s="1330" t="s">
        <v>671</v>
      </c>
      <c r="F66" s="1800"/>
      <c r="G66" s="1800"/>
      <c r="H66" s="1802"/>
      <c r="I66" s="126"/>
      <c r="J66" s="3740"/>
      <c r="K66" s="3461" t="s">
        <v>1387</v>
      </c>
      <c r="L66" s="3461">
        <f ca="1">M49*0.5%</f>
        <v>260.53500000000003</v>
      </c>
      <c r="M66" s="299">
        <f ca="1">IF(L66&gt;0.5,0.5,ROUND(L66,0))</f>
        <v>0.5</v>
      </c>
      <c r="N66" s="2536" t="s">
        <v>1388</v>
      </c>
      <c r="Z66" s="1744"/>
      <c r="AI66" s="1745"/>
    </row>
    <row r="67" spans="1:35" ht="14.25" customHeight="1">
      <c r="A67" s="170" t="s">
        <v>328</v>
      </c>
      <c r="B67" s="171" t="s">
        <v>1389</v>
      </c>
      <c r="C67" s="2560">
        <f ca="1">C63-C66</f>
        <v>49626</v>
      </c>
      <c r="D67" s="167" t="s">
        <v>26</v>
      </c>
      <c r="E67" s="169"/>
      <c r="F67" s="1800"/>
      <c r="G67" s="1800"/>
      <c r="H67" s="1802"/>
      <c r="I67" s="126"/>
      <c r="J67" s="3740"/>
      <c r="K67" s="3461" t="s">
        <v>1390</v>
      </c>
      <c r="L67" s="3461">
        <f ca="1">IF(M49&gt;=10000,(8.25+(M49-10000)*0.01%),IF(AND(M49&gt;=8000,M49&lt;10000),(7.85+(M49-8000)*0.02%),IF(AND(M49&gt;=5000,M49&lt;8000),(6.65+(M49-5000)*0.04%),IF(AND(M49&gt;=2000,M49&lt;5000),(4.25+(PM49-2000)*0.08%),IF(AND(M49&gt;=1000,M49&lt;2000),(2.75+(M49-1000)*0.15%),IF(AND(M49&gt;=100,M49&lt;1000),(0.5+(M49-100)*0.25%),IF(AND(M49&gt;0,M49&lt;100),M49*0.5%)))))))</f>
        <v>12.460699999999999</v>
      </c>
      <c r="M67" s="299">
        <f ca="1">ROUND(L67*0.9,1)</f>
        <v>11.2</v>
      </c>
      <c r="N67" s="2535"/>
      <c r="Z67" s="1744"/>
      <c r="AI67" s="1745"/>
    </row>
    <row r="68" spans="1:35" ht="14.25" customHeight="1" thickBot="1">
      <c r="A68" s="173" t="s">
        <v>329</v>
      </c>
      <c r="B68" s="174" t="s">
        <v>1391</v>
      </c>
      <c r="C68" s="2561">
        <f ca="1">IF(C67&lt;=0,0,ROUND(C67*D68,0))</f>
        <v>2779</v>
      </c>
      <c r="D68" s="2562">
        <f>'数据-取费表'!B41</f>
        <v>5.6000000000000001E-2</v>
      </c>
      <c r="E68" s="175"/>
      <c r="F68" s="1800"/>
      <c r="G68" s="1800"/>
      <c r="H68" s="1802"/>
      <c r="I68" s="126"/>
      <c r="J68" s="3740"/>
      <c r="K68" s="3461" t="s">
        <v>1392</v>
      </c>
      <c r="L68" s="3461">
        <f ca="1">IF(M49&gt;10000,M49*0.5%,IF(AND(M49&gt;5000,M49&lt;=10000),M49*1%,IF(AND(M49&gt;1000,M49&lt;=5000),M49*2%,IF(AND(M49&gt;200,M49&lt;=1000),M49*3%,M49*5%))))</f>
        <v>260.53500000000003</v>
      </c>
      <c r="M68" s="299">
        <f ca="1">ROUND(L68,1)</f>
        <v>260.5</v>
      </c>
      <c r="N68" s="2535"/>
      <c r="Z68" s="1744"/>
      <c r="AI68" s="1745"/>
    </row>
    <row r="69" spans="1:35" s="1764" customFormat="1" ht="16.5" customHeight="1">
      <c r="A69" s="1803"/>
      <c r="B69" s="1804"/>
      <c r="C69" s="1805"/>
      <c r="D69" s="1806"/>
      <c r="E69" s="1807"/>
      <c r="F69" s="1570"/>
      <c r="G69" s="1570"/>
      <c r="H69" s="1569"/>
      <c r="I69" s="1739"/>
      <c r="J69" s="3740"/>
      <c r="K69" s="3461" t="s">
        <v>1393</v>
      </c>
      <c r="L69" s="3461"/>
      <c r="M69" s="299">
        <f ca="1">ROUND(SUM(M63:M68),0)</f>
        <v>845</v>
      </c>
      <c r="N69" s="2537">
        <f ca="1">M69/M49</f>
        <v>1.6216631162799623E-2</v>
      </c>
      <c r="O69" s="721"/>
      <c r="P69" s="721"/>
      <c r="Q69" s="721"/>
      <c r="R69" s="721"/>
      <c r="S69" s="721"/>
      <c r="T69" s="721"/>
      <c r="U69" s="721"/>
      <c r="V69" s="721"/>
      <c r="W69" s="721"/>
      <c r="X69" s="721"/>
      <c r="Y69" s="721"/>
      <c r="Z69" s="1744"/>
      <c r="AA69" s="1744"/>
      <c r="AB69" s="1744"/>
      <c r="AC69" s="1744"/>
      <c r="AD69" s="1744"/>
      <c r="AE69" s="1744"/>
      <c r="AF69" s="1744"/>
      <c r="AG69" s="1744"/>
      <c r="AH69" s="1744"/>
    </row>
    <row r="70" spans="1:35" s="1809" customFormat="1" ht="15" thickBot="1">
      <c r="A70" s="3702" t="s">
        <v>1394</v>
      </c>
      <c r="B70" s="3703"/>
      <c r="C70" s="3703"/>
      <c r="D70" s="3703"/>
      <c r="E70" s="3703"/>
      <c r="F70" s="3703"/>
      <c r="G70" s="3703"/>
      <c r="H70" s="3703"/>
      <c r="I70" s="1808"/>
      <c r="J70" s="2683"/>
      <c r="K70" s="2683"/>
      <c r="L70" s="2683"/>
      <c r="M70" s="2683"/>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681" t="s">
        <v>1375</v>
      </c>
      <c r="B71" s="3682"/>
      <c r="C71" s="3452"/>
      <c r="D71" s="3452" t="s">
        <v>1376</v>
      </c>
      <c r="E71" s="176" t="s">
        <v>1377</v>
      </c>
      <c r="F71" s="177"/>
      <c r="G71" s="177"/>
      <c r="H71" s="178"/>
      <c r="I71" s="1812"/>
      <c r="J71" s="2683"/>
      <c r="K71" s="2683"/>
      <c r="L71" s="2683"/>
      <c r="M71" s="2683"/>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0" t="s">
        <v>330</v>
      </c>
      <c r="B72" s="171" t="s">
        <v>1395</v>
      </c>
      <c r="C72" s="2560">
        <f ca="1">ROUND(D45/(1+'数据-取费表'!C42),0)</f>
        <v>49626</v>
      </c>
      <c r="D72" s="167" t="s">
        <v>26</v>
      </c>
      <c r="E72" s="3451"/>
      <c r="F72" s="3444"/>
      <c r="G72" s="3444"/>
      <c r="H72" s="179"/>
      <c r="I72" s="1812"/>
      <c r="J72" s="2683"/>
      <c r="K72" s="2683"/>
      <c r="L72" s="2683"/>
      <c r="M72" s="2683"/>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0" t="s">
        <v>327</v>
      </c>
      <c r="B73" s="160" t="s">
        <v>1396</v>
      </c>
      <c r="C73" s="2560">
        <f ca="1">C74+C78</f>
        <v>298</v>
      </c>
      <c r="D73" s="167" t="s">
        <v>26</v>
      </c>
      <c r="E73" s="3451"/>
      <c r="F73" s="3444"/>
      <c r="G73" s="3444"/>
      <c r="H73" s="179"/>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6" t="s">
        <v>325</v>
      </c>
      <c r="B74" s="167" t="s">
        <v>1397</v>
      </c>
      <c r="C74" s="167">
        <f>ROUND(IF(G77="2016年5月1日后购买",C75/(1+'数据-取费表'!C42)+C76+C77,C75+C76+C77),0)</f>
        <v>0</v>
      </c>
      <c r="D74" s="167" t="s">
        <v>26</v>
      </c>
      <c r="E74" s="3451"/>
      <c r="F74" s="3444"/>
      <c r="G74" s="3444"/>
      <c r="H74" s="179"/>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6" t="s">
        <v>331</v>
      </c>
      <c r="B75" s="167" t="s">
        <v>1398</v>
      </c>
      <c r="C75" s="2563"/>
      <c r="D75" s="167" t="s">
        <v>26</v>
      </c>
      <c r="E75" s="181" t="s">
        <v>1399</v>
      </c>
      <c r="F75" s="2564"/>
      <c r="G75" s="181" t="s">
        <v>1400</v>
      </c>
      <c r="H75" s="2565"/>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6" t="s">
        <v>332</v>
      </c>
      <c r="B76" s="182" t="s">
        <v>1401</v>
      </c>
      <c r="C76" s="167">
        <f>IF(F75="购房发票",ROUND(C75*H75*D76,0),0)</f>
        <v>0</v>
      </c>
      <c r="D76" s="2566">
        <v>0.05</v>
      </c>
      <c r="E76" s="3676" t="s">
        <v>1402</v>
      </c>
      <c r="F76" s="3650"/>
      <c r="G76" s="3650"/>
      <c r="H76" s="3701"/>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6" t="s">
        <v>333</v>
      </c>
      <c r="B77" s="167" t="s">
        <v>1403</v>
      </c>
      <c r="C77" s="167">
        <f>ROUND(IF(G77="个人住宅",0,IF(G77="2016年5月1日前购买",C75*D77,C75*D77/(1+'数据-取费表'!C42))),0)</f>
        <v>0</v>
      </c>
      <c r="D77" s="2567">
        <f>'数据-取费表'!B48+'数据-取费表'!B49</f>
        <v>3.0499999999999999E-2</v>
      </c>
      <c r="E77" s="3460" t="s">
        <v>1404</v>
      </c>
      <c r="F77" s="183"/>
      <c r="G77" s="1814"/>
      <c r="H77" s="3455"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6" t="s">
        <v>326</v>
      </c>
      <c r="B78" s="167" t="s">
        <v>1405</v>
      </c>
      <c r="C78" s="2568">
        <f ca="1">ROUND(D45*D78/(1+'数据-取费表'!C42),0)</f>
        <v>298</v>
      </c>
      <c r="D78" s="2569">
        <f>'数据-取费表'!B43</f>
        <v>6.000000000000001E-3</v>
      </c>
      <c r="E78" s="3660" t="s">
        <v>1406</v>
      </c>
      <c r="F78" s="3661"/>
      <c r="G78" s="3661"/>
      <c r="H78" s="3670"/>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0" t="s">
        <v>328</v>
      </c>
      <c r="B79" s="171" t="s">
        <v>1407</v>
      </c>
      <c r="C79" s="2560">
        <f ca="1">C72-C73</f>
        <v>49328</v>
      </c>
      <c r="D79" s="167" t="s">
        <v>26</v>
      </c>
      <c r="E79" s="3451"/>
      <c r="F79" s="3444"/>
      <c r="G79" s="3444"/>
      <c r="H79" s="179"/>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0" t="s">
        <v>335</v>
      </c>
      <c r="B80" s="171" t="s">
        <v>1408</v>
      </c>
      <c r="C80" s="2570">
        <f ca="1">IF(C79&lt;=0,0,C79/C73)</f>
        <v>165.53020134228188</v>
      </c>
      <c r="D80" s="167"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44"/>
      <c r="G80" s="3444"/>
      <c r="H80" s="179"/>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3" t="s">
        <v>336</v>
      </c>
      <c r="B81" s="174" t="s">
        <v>1409</v>
      </c>
      <c r="C81" s="2571">
        <f ca="1">ROUND(IF(C79&lt;=0,0,IF(C80&gt;=200%,C79*60%-C73*35%,IF(C80&gt;=100%,C79*50%-C73*15%,IF(C80&gt;=50%,C79*40%-C73*5%,IF(C80&lt;50%,C79*30%,0))))),0)</f>
        <v>29493</v>
      </c>
      <c r="D81" s="2572"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6"/>
      <c r="B82" s="677"/>
      <c r="C82" s="4"/>
      <c r="D82" s="4"/>
      <c r="E82" s="677"/>
      <c r="F82" s="677"/>
      <c r="G82" s="677"/>
      <c r="H82" s="678"/>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02" t="s">
        <v>1410</v>
      </c>
      <c r="B83" s="3703"/>
      <c r="C83" s="3703"/>
      <c r="D83" s="3703"/>
      <c r="E83" s="3703"/>
      <c r="F83" s="3703"/>
      <c r="G83" s="3703"/>
      <c r="H83" s="3703"/>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681" t="s">
        <v>1375</v>
      </c>
      <c r="B84" s="3682"/>
      <c r="C84" s="3452"/>
      <c r="D84" s="3452" t="s">
        <v>1376</v>
      </c>
      <c r="E84" s="176" t="s">
        <v>1377</v>
      </c>
      <c r="F84" s="177"/>
      <c r="G84" s="177"/>
      <c r="H84" s="188"/>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0" t="s">
        <v>330</v>
      </c>
      <c r="B85" s="171" t="s">
        <v>1395</v>
      </c>
      <c r="C85" s="2560">
        <f ca="1">ROUND(D45/(1+'数据-取费表'!C42),0)</f>
        <v>49626</v>
      </c>
      <c r="D85" s="167" t="s">
        <v>26</v>
      </c>
      <c r="E85" s="3451"/>
      <c r="F85" s="3444"/>
      <c r="G85" s="3444"/>
      <c r="H85" s="189"/>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0" t="s">
        <v>327</v>
      </c>
      <c r="B86" s="160" t="s">
        <v>1396</v>
      </c>
      <c r="C86" s="2560">
        <f ca="1">IF(H88="仅含出让金",C87+C90+C91+C92+C93+C94,C87+C91+C92+C93+C94)</f>
        <v>298</v>
      </c>
      <c r="D86" s="2573"/>
      <c r="E86" s="3451"/>
      <c r="F86" s="3444"/>
      <c r="G86" s="3444"/>
      <c r="H86" s="189"/>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6" t="s">
        <v>325</v>
      </c>
      <c r="B87" s="167" t="s">
        <v>1411</v>
      </c>
      <c r="C87" s="2568">
        <f>C88+C89</f>
        <v>0</v>
      </c>
      <c r="D87" s="2569"/>
      <c r="E87" s="3445"/>
      <c r="F87" s="3446"/>
      <c r="G87" s="3446"/>
      <c r="H87" s="345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6" t="s">
        <v>331</v>
      </c>
      <c r="B88" s="167" t="s">
        <v>1412</v>
      </c>
      <c r="C88" s="2574"/>
      <c r="D88" s="2569"/>
      <c r="E88" s="190" t="s">
        <v>1413</v>
      </c>
      <c r="F88" s="3446"/>
      <c r="G88" s="191" t="s">
        <v>1414</v>
      </c>
      <c r="H88" s="1816"/>
      <c r="I88" s="1813"/>
      <c r="J88" s="2513" t="s">
        <v>2288</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6" t="s">
        <v>332</v>
      </c>
      <c r="B89" s="167" t="s">
        <v>1403</v>
      </c>
      <c r="C89" s="2568">
        <f>ROUND(C88*D89,0)</f>
        <v>0</v>
      </c>
      <c r="D89" s="2569">
        <f>'数据-取费表'!B48+'数据-取费表'!B49</f>
        <v>3.0499999999999999E-2</v>
      </c>
      <c r="E89" s="190" t="s">
        <v>1415</v>
      </c>
      <c r="F89" s="3446"/>
      <c r="G89" s="3446"/>
      <c r="H89" s="345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6" t="s">
        <v>326</v>
      </c>
      <c r="B90" s="167" t="s">
        <v>1416</v>
      </c>
      <c r="C90" s="2574"/>
      <c r="D90" s="2569"/>
      <c r="E90" s="190" t="str">
        <f>IF(H88="-","土地取得成本中已包含该笔费用"," ")</f>
        <v xml:space="preserve"> </v>
      </c>
      <c r="F90" s="3446"/>
      <c r="G90" s="3742" t="s">
        <v>2129</v>
      </c>
      <c r="H90" s="3743"/>
      <c r="I90" s="1813"/>
      <c r="J90" s="2513" t="s">
        <v>2289</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6" t="s">
        <v>1417</v>
      </c>
      <c r="B91" s="167" t="s">
        <v>1418</v>
      </c>
      <c r="C91" s="2568">
        <f>IF(H91="——",成本法!C33,I91)</f>
        <v>0</v>
      </c>
      <c r="D91" s="2569"/>
      <c r="E91" s="3660" t="s">
        <v>1419</v>
      </c>
      <c r="F91" s="3661"/>
      <c r="G91" s="3661"/>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6" t="s">
        <v>1420</v>
      </c>
      <c r="B92" s="167" t="s">
        <v>1421</v>
      </c>
      <c r="C92" s="2568">
        <f>ROUND((C87+C90+C91)*D92,0)</f>
        <v>0</v>
      </c>
      <c r="D92" s="2575"/>
      <c r="E92" s="3660" t="s">
        <v>1422</v>
      </c>
      <c r="F92" s="3661"/>
      <c r="G92" s="3661"/>
      <c r="H92" s="3670"/>
      <c r="I92" s="1813"/>
      <c r="J92" s="2514" t="s">
        <v>2290</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6" t="s">
        <v>1423</v>
      </c>
      <c r="B93" s="167" t="s">
        <v>1405</v>
      </c>
      <c r="C93" s="2568">
        <f ca="1">ROUND(D45*D93/(1+'数据-取费表'!C42),0)</f>
        <v>298</v>
      </c>
      <c r="D93" s="2569">
        <f>'数据-取费表'!B43</f>
        <v>6.000000000000001E-3</v>
      </c>
      <c r="E93" s="3660" t="s">
        <v>1406</v>
      </c>
      <c r="F93" s="3661"/>
      <c r="G93" s="3661"/>
      <c r="H93" s="3670"/>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6" t="s">
        <v>1424</v>
      </c>
      <c r="B94" s="167" t="s">
        <v>1425</v>
      </c>
      <c r="C94" s="2574">
        <f>ROUND((C87+C90+C91)*D94,0)</f>
        <v>0</v>
      </c>
      <c r="D94" s="2569">
        <v>0.2</v>
      </c>
      <c r="E94" s="3671" t="s">
        <v>1426</v>
      </c>
      <c r="F94" s="3672"/>
      <c r="G94" s="3672"/>
      <c r="H94" s="3673"/>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0" t="s">
        <v>328</v>
      </c>
      <c r="B95" s="171" t="s">
        <v>1407</v>
      </c>
      <c r="C95" s="2560">
        <f ca="1">ROUND(C85-C86,0)</f>
        <v>49328</v>
      </c>
      <c r="D95" s="167" t="s">
        <v>26</v>
      </c>
      <c r="E95" s="3451"/>
      <c r="F95" s="3444"/>
      <c r="G95" s="3444"/>
      <c r="H95" s="189"/>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0" t="s">
        <v>335</v>
      </c>
      <c r="B96" s="171" t="s">
        <v>1408</v>
      </c>
      <c r="C96" s="2570">
        <f ca="1">IF(C95&lt;=0,0,C95/C86)</f>
        <v>165.53020134228188</v>
      </c>
      <c r="D96" s="167"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44"/>
      <c r="G96" s="3444"/>
      <c r="H96" s="189"/>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3" t="s">
        <v>336</v>
      </c>
      <c r="B97" s="174" t="s">
        <v>1409</v>
      </c>
      <c r="C97" s="2571">
        <f ca="1">ROUND(IF(C95&lt;=0,0,IF(C96&gt;=200%,C95*60%-C86*35%,IF(C96&gt;=100%,C95*50%-C86*15%,IF(C96&gt;=50%,C95*40%-C86*5%,IF(C96&lt;50%,C95*30%,0))))),0)</f>
        <v>29493</v>
      </c>
      <c r="D97" s="2572"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6"/>
    </row>
    <row r="99" spans="1:35" ht="21.75" customHeight="1" thickBot="1">
      <c r="A99" s="1792" t="s">
        <v>1427</v>
      </c>
      <c r="B99" s="1739"/>
      <c r="C99" s="1739"/>
      <c r="D99" s="1739"/>
      <c r="E99" s="1570"/>
      <c r="F99" s="1570"/>
      <c r="G99" s="1570"/>
      <c r="H99" s="1569"/>
      <c r="I99" s="126"/>
    </row>
    <row r="100" spans="1:35" ht="18.75" customHeight="1">
      <c r="A100" s="3642" t="s">
        <v>1428</v>
      </c>
      <c r="B100" s="3643"/>
      <c r="C100" s="3643"/>
      <c r="D100" s="3662"/>
      <c r="E100" s="3643" t="s">
        <v>1429</v>
      </c>
      <c r="F100" s="3643"/>
      <c r="G100" s="3643"/>
      <c r="H100" s="3662"/>
      <c r="I100" s="126"/>
    </row>
    <row r="101" spans="1:35" ht="18.75" customHeight="1">
      <c r="A101" s="3723" t="s">
        <v>1430</v>
      </c>
      <c r="B101" s="3724"/>
      <c r="C101" s="2577" t="str">
        <f>C4</f>
        <v>成本法</v>
      </c>
      <c r="D101" s="2578" t="str">
        <f>D4</f>
        <v>收益法下</v>
      </c>
      <c r="E101" s="3737" t="s">
        <v>1431</v>
      </c>
      <c r="F101" s="3694"/>
      <c r="G101" s="1819" t="s">
        <v>1432</v>
      </c>
      <c r="H101" s="2587">
        <f ca="1">H118</f>
        <v>52107</v>
      </c>
      <c r="I101" s="126"/>
    </row>
    <row r="102" spans="1:35" ht="18.75" customHeight="1">
      <c r="A102" s="3696" t="s">
        <v>1433</v>
      </c>
      <c r="B102" s="2576" t="s">
        <v>1432</v>
      </c>
      <c r="C102" s="2577">
        <f ca="1">IF(D32="楼面单价",ROUND(C19,0),C19)</f>
        <v>58536</v>
      </c>
      <c r="D102" s="2578">
        <f ca="1">IF(D32="楼面单价",ROUND(D19,0),D19)</f>
        <v>42464</v>
      </c>
      <c r="E102" s="3737"/>
      <c r="F102" s="3694"/>
      <c r="G102" s="1819" t="s">
        <v>1434</v>
      </c>
      <c r="H102" s="2547">
        <f ca="1">I118</f>
        <v>10066</v>
      </c>
      <c r="I102" s="126"/>
    </row>
    <row r="103" spans="1:35" ht="42.75" customHeight="1">
      <c r="A103" s="3696"/>
      <c r="B103" s="2576" t="s">
        <v>1434</v>
      </c>
      <c r="C103" s="2579">
        <f ca="1">C20</f>
        <v>11308</v>
      </c>
      <c r="D103" s="2580">
        <f ca="1">D20</f>
        <v>8204</v>
      </c>
      <c r="E103" s="3731" t="s">
        <v>1435</v>
      </c>
      <c r="F103" s="3732"/>
      <c r="G103" s="1820" t="s">
        <v>1436</v>
      </c>
      <c r="H103" s="2587">
        <f>IF(D36="正常操作",H104+H105+H106,H105+H106)</f>
        <v>0</v>
      </c>
      <c r="I103" s="126"/>
    </row>
    <row r="104" spans="1:35" ht="18.75" customHeight="1">
      <c r="A104" s="3696" t="s">
        <v>1437</v>
      </c>
      <c r="B104" s="2581" t="s">
        <v>1432</v>
      </c>
      <c r="C104" s="2582">
        <f ca="1">H118</f>
        <v>52107</v>
      </c>
      <c r="D104" s="2583"/>
      <c r="E104" s="1666" t="s">
        <v>1438</v>
      </c>
      <c r="F104" s="1658"/>
      <c r="G104" s="1820" t="s">
        <v>1436</v>
      </c>
      <c r="H104" s="2588">
        <f>IF(D36="同一抵押权人同一抵押物续贷",C36&amp;"（续贷，未扣减，详见特别提示）",C36)</f>
        <v>0</v>
      </c>
      <c r="I104" s="126"/>
    </row>
    <row r="105" spans="1:35" ht="18.75" customHeight="1" thickBot="1">
      <c r="A105" s="3697"/>
      <c r="B105" s="2584" t="s">
        <v>1434</v>
      </c>
      <c r="C105" s="2585">
        <f ca="1">I118</f>
        <v>10066</v>
      </c>
      <c r="D105" s="2586"/>
      <c r="E105" s="1666" t="s">
        <v>1439</v>
      </c>
      <c r="F105" s="1658"/>
      <c r="G105" s="1820" t="s">
        <v>1436</v>
      </c>
      <c r="H105" s="2589">
        <f>C37</f>
        <v>0</v>
      </c>
      <c r="I105" s="126"/>
    </row>
    <row r="106" spans="1:35" ht="18.75" customHeight="1">
      <c r="A106" s="1739" t="s">
        <v>1440</v>
      </c>
      <c r="B106" s="1739"/>
      <c r="C106" s="1739"/>
      <c r="D106" s="1739"/>
      <c r="E106" s="1821" t="s">
        <v>1441</v>
      </c>
      <c r="F106" s="1658"/>
      <c r="G106" s="1820" t="s">
        <v>1436</v>
      </c>
      <c r="H106" s="2589">
        <f>C38</f>
        <v>0</v>
      </c>
      <c r="I106" s="126"/>
    </row>
    <row r="107" spans="1:35" ht="18.75" customHeight="1">
      <c r="A107" s="126"/>
      <c r="B107" s="126"/>
      <c r="C107" s="126"/>
      <c r="D107" s="126"/>
      <c r="E107" s="3693" t="str">
        <f>IF(项目基本情况!E8="已注销","——","3.房地产抵押价值")</f>
        <v>3.房地产抵押价值</v>
      </c>
      <c r="F107" s="3694"/>
      <c r="G107" s="1819" t="s">
        <v>1432</v>
      </c>
      <c r="H107" s="2587">
        <f ca="1">IF(E107="——","——",H101-H103)</f>
        <v>52107</v>
      </c>
      <c r="I107" s="126"/>
    </row>
    <row r="108" spans="1:35" ht="18.75" customHeight="1">
      <c r="A108" s="126"/>
      <c r="B108" s="126"/>
      <c r="C108" s="126"/>
      <c r="D108" s="126"/>
      <c r="E108" s="3693"/>
      <c r="F108" s="3694"/>
      <c r="G108" s="1819" t="s">
        <v>1434</v>
      </c>
      <c r="H108" s="2547">
        <f ca="1">IF(H107=H101,H102,ROUND(H107*10000/'数据-汇总表'!E3,0))</f>
        <v>10066</v>
      </c>
      <c r="I108" s="126"/>
    </row>
    <row r="109" spans="1:35" ht="18.75" customHeight="1">
      <c r="A109" s="126"/>
      <c r="B109" s="126"/>
      <c r="C109" s="126"/>
      <c r="D109" s="126"/>
      <c r="E109" s="3693" t="str">
        <f>IF(项目基本情况!E8="已注销及未注销","4.抵押担保权已注销时的房地产抵押价值",IF(项目基本情况!E8="已注销","3.抵押担保权已注销时的房地产抵押价值","——"))</f>
        <v>——</v>
      </c>
      <c r="F109" s="3694"/>
      <c r="G109" s="1819" t="s">
        <v>1432</v>
      </c>
      <c r="H109" s="2590" t="str">
        <f>IF(E109="——","——",H101-H105-H106)</f>
        <v>——</v>
      </c>
      <c r="I109" s="126"/>
    </row>
    <row r="110" spans="1:35" ht="18.75" customHeight="1">
      <c r="A110" s="126"/>
      <c r="B110" s="126"/>
      <c r="C110" s="126"/>
      <c r="D110" s="126"/>
      <c r="E110" s="3693"/>
      <c r="F110" s="3694"/>
      <c r="G110" s="1819" t="s">
        <v>1434</v>
      </c>
      <c r="H110" s="2547" t="str">
        <f>IF(H109="——","——",ROUND(H109*10000/'数据-汇总表'!E3,0))</f>
        <v>——</v>
      </c>
      <c r="I110" s="126"/>
    </row>
    <row r="111" spans="1:35" ht="18.75" customHeight="1">
      <c r="A111" s="126"/>
      <c r="B111" s="126"/>
      <c r="C111" s="126"/>
      <c r="D111" s="126"/>
      <c r="E111" s="3725" t="str">
        <f>IF(项目基本情况!E9="抵押净值",IF(OR(项目基本情况!E8="已注销",项目基本情况!E8="房地产抵押价值"),"4.抵押净值","5.抵押净值"),"——")</f>
        <v>——</v>
      </c>
      <c r="F111" s="3695"/>
      <c r="G111" s="1819" t="s">
        <v>1432</v>
      </c>
      <c r="H111" s="2587" t="str">
        <f>IF(E111="——","——",N59)</f>
        <v>——</v>
      </c>
      <c r="I111" s="126"/>
    </row>
    <row r="112" spans="1:35" ht="18.75" customHeight="1" thickBot="1">
      <c r="A112" s="126"/>
      <c r="B112" s="126"/>
      <c r="C112" s="126"/>
      <c r="D112" s="126"/>
      <c r="E112" s="3726"/>
      <c r="F112" s="3727"/>
      <c r="G112" s="1822" t="s">
        <v>1434</v>
      </c>
      <c r="H112" s="2591" t="str">
        <f>IF(E111="——","——",N61)</f>
        <v>——</v>
      </c>
      <c r="I112" s="126"/>
    </row>
    <row r="113" spans="1:27" ht="18.75" customHeight="1">
      <c r="A113" s="126"/>
      <c r="B113" s="126"/>
      <c r="C113" s="126"/>
      <c r="D113" s="126"/>
      <c r="E113" s="3698" t="s">
        <v>1440</v>
      </c>
      <c r="F113" s="3698"/>
      <c r="G113" s="3698"/>
      <c r="H113" s="3698"/>
      <c r="I113" s="126"/>
    </row>
    <row r="114" spans="1:27" ht="3.75" customHeight="1">
      <c r="A114" s="1739"/>
      <c r="B114" s="1739"/>
      <c r="C114" s="1739"/>
      <c r="D114" s="1739"/>
      <c r="E114" s="1801"/>
      <c r="F114" s="1801"/>
      <c r="G114" s="1801"/>
      <c r="H114" s="1801"/>
      <c r="I114" s="1739"/>
    </row>
    <row r="115" spans="1:27" ht="18.75" customHeight="1">
      <c r="A115" s="3708" t="s">
        <v>1442</v>
      </c>
      <c r="B115" s="3709"/>
      <c r="C115" s="3709"/>
      <c r="D115" s="3709"/>
      <c r="E115" s="3709"/>
      <c r="F115" s="3709"/>
      <c r="G115" s="3709"/>
      <c r="H115" s="3709"/>
      <c r="I115" s="3710"/>
    </row>
    <row r="116" spans="1:27" ht="27" customHeight="1">
      <c r="A116" s="3664" t="s">
        <v>1443</v>
      </c>
      <c r="B116" s="3699" t="s">
        <v>1444</v>
      </c>
      <c r="C116" s="3699" t="s">
        <v>1445</v>
      </c>
      <c r="D116" s="3712" t="s">
        <v>1446</v>
      </c>
      <c r="E116" s="3713"/>
      <c r="F116" s="3707" t="s">
        <v>1447</v>
      </c>
      <c r="G116" s="3707"/>
      <c r="H116" s="3664" t="s">
        <v>1448</v>
      </c>
      <c r="I116" s="3664"/>
    </row>
    <row r="117" spans="1:27" ht="18.75" customHeight="1">
      <c r="A117" s="3664"/>
      <c r="B117" s="3700"/>
      <c r="C117" s="3700"/>
      <c r="D117" s="3447" t="s">
        <v>1449</v>
      </c>
      <c r="E117" s="3447" t="s">
        <v>1450</v>
      </c>
      <c r="F117" s="3447" t="s">
        <v>1449</v>
      </c>
      <c r="G117" s="3447" t="s">
        <v>1451</v>
      </c>
      <c r="H117" s="3447" t="s">
        <v>1449</v>
      </c>
      <c r="I117" s="3447" t="s">
        <v>1451</v>
      </c>
    </row>
    <row r="118" spans="1:27" ht="24.75" customHeight="1">
      <c r="A118" s="2592" t="str">
        <f>项目基本情况!S2</f>
        <v>北京市丰台区四合庄路6号院1-3号楼房地产</v>
      </c>
      <c r="B118" s="3447">
        <f>M18</f>
        <v>51763.15</v>
      </c>
      <c r="C118" s="3447">
        <f>M19</f>
        <v>11043.93</v>
      </c>
      <c r="D118" s="3447">
        <f ca="1">ROUND(IF(D32="总价",C34,E118*B118/10000),0)</f>
        <v>10942</v>
      </c>
      <c r="E118" s="3447">
        <f ca="1">ROUND(IF(C33="自定义",IF(D32="楼面单价",C34,D118*10000/B118),I118-G118),0)</f>
        <v>2113</v>
      </c>
      <c r="F118" s="3447">
        <f ca="1">ROUND(IF(D32="总价",C35,G118*B118/10000),0)</f>
        <v>41165</v>
      </c>
      <c r="G118" s="3447">
        <f ca="1">ROUND(IF(D32="楼面单价",C35,F118*10000/B118),0)</f>
        <v>7953</v>
      </c>
      <c r="H118" s="3447">
        <f ca="1">ROUND(IF(D32="总价",C32,I118*B118/10000),0)</f>
        <v>52107</v>
      </c>
      <c r="I118" s="3447">
        <f ca="1">ROUND(IF(D32="楼面单价",C32,H118*10000/B118),0)</f>
        <v>10066</v>
      </c>
    </row>
    <row r="119" spans="1:27" ht="18.75" customHeight="1">
      <c r="A119" s="3664" t="s">
        <v>1452</v>
      </c>
      <c r="B119" s="3664"/>
      <c r="C119" s="3664"/>
      <c r="D119" s="3704" t="str">
        <f ca="1">NUMBERSTRING(INT(D118*10000),2)&amp;"元整"</f>
        <v>壹亿零玖佰肆拾贰万元整</v>
      </c>
      <c r="E119" s="3706"/>
      <c r="F119" s="3704" t="str">
        <f ca="1">NUMBERSTRING(INT(F118*10000),2)&amp;"元整"</f>
        <v>肆亿壹仟壹佰陆拾伍万元整</v>
      </c>
      <c r="G119" s="3706"/>
      <c r="H119" s="3704" t="str">
        <f ca="1">NUMBERSTRING(INT(H118*10000),2)&amp;"元整"</f>
        <v>伍亿贰仟壹佰零柒万元整</v>
      </c>
      <c r="I119" s="3706"/>
    </row>
    <row r="120" spans="1:27" ht="18.75" customHeight="1">
      <c r="A120" s="3728" t="str">
        <f>IF(项目基本情况!B9="房地产市场价值","",MID(E103,3,LEN(E103)-2))</f>
        <v>估价师知悉的法定优先受偿款</v>
      </c>
      <c r="B120" s="3729"/>
      <c r="C120" s="3730"/>
      <c r="D120" s="3728">
        <f>H103</f>
        <v>0</v>
      </c>
      <c r="E120" s="3729"/>
      <c r="F120" s="3729"/>
      <c r="G120" s="3729"/>
      <c r="H120" s="3729"/>
      <c r="I120" s="3730"/>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04" t="s">
        <v>1452</v>
      </c>
      <c r="B121" s="3705"/>
      <c r="C121" s="3706"/>
      <c r="D121" s="3704" t="str">
        <f>IF(D120=0,"零元整",NUMBERSTRING(INT(D120*10000),2)&amp;"元整")</f>
        <v>零元整</v>
      </c>
      <c r="E121" s="3705"/>
      <c r="F121" s="3705"/>
      <c r="G121" s="3705"/>
      <c r="H121" s="3705"/>
      <c r="I121" s="3706"/>
      <c r="AA121" s="721"/>
    </row>
    <row r="122" spans="1:27" ht="18.75" customHeight="1">
      <c r="A122" s="3695" t="str">
        <f>IF(项目基本情况!B9="房地产市场价值","",MID(E107,3,LEN(E107)-2))</f>
        <v>房地产抵押价值</v>
      </c>
      <c r="B122" s="3695"/>
      <c r="C122" s="3695"/>
      <c r="D122" s="3728">
        <f ca="1">H107</f>
        <v>52107</v>
      </c>
      <c r="E122" s="3729"/>
      <c r="F122" s="3729"/>
      <c r="G122" s="3729"/>
      <c r="H122" s="3729"/>
      <c r="I122" s="3730"/>
      <c r="AA122" s="721"/>
    </row>
    <row r="123" spans="1:27" ht="18.75" customHeight="1">
      <c r="A123" s="3664" t="s">
        <v>1452</v>
      </c>
      <c r="B123" s="3664"/>
      <c r="C123" s="3664"/>
      <c r="D123" s="3704" t="str">
        <f ca="1">NUMBERSTRING(INT(D122*10000),2)&amp;"元整"</f>
        <v>伍亿贰仟壹佰零柒万元整</v>
      </c>
      <c r="E123" s="3705"/>
      <c r="F123" s="3705"/>
      <c r="G123" s="3705"/>
      <c r="H123" s="3705"/>
      <c r="I123" s="3706"/>
      <c r="AA123" s="721"/>
    </row>
    <row r="124" spans="1:27" ht="18.75" customHeight="1">
      <c r="A124" s="3695" t="str">
        <f>IF(项目基本情况!B9="房地产市场价值","",MID(E109,3,LEN(E109)-2))</f>
        <v/>
      </c>
      <c r="B124" s="3695"/>
      <c r="C124" s="3695"/>
      <c r="D124" s="3728" t="str">
        <f>H109</f>
        <v>——</v>
      </c>
      <c r="E124" s="3729"/>
      <c r="F124" s="3729"/>
      <c r="G124" s="3729"/>
      <c r="H124" s="3729"/>
      <c r="I124" s="3730"/>
      <c r="AA124" s="721"/>
    </row>
    <row r="125" spans="1:27" ht="18.75" customHeight="1">
      <c r="A125" s="3664" t="s">
        <v>1452</v>
      </c>
      <c r="B125" s="3664"/>
      <c r="C125" s="3664"/>
      <c r="D125" s="3704" t="e">
        <f>NUMBERSTRING(INT(D124*10000),2)&amp;"元整"</f>
        <v>#VALUE!</v>
      </c>
      <c r="E125" s="3705"/>
      <c r="F125" s="3705"/>
      <c r="G125" s="3705"/>
      <c r="H125" s="3705"/>
      <c r="I125" s="3706"/>
      <c r="AA125" s="721"/>
    </row>
    <row r="126" spans="1:27" ht="18.75" customHeight="1">
      <c r="A126" s="3695" t="str">
        <f>IF(项目基本情况!B9="房地产市场价值","",MID(E111,3,LEN(E111)-2))</f>
        <v/>
      </c>
      <c r="B126" s="3695"/>
      <c r="C126" s="3695"/>
      <c r="D126" s="3728" t="str">
        <f>H111</f>
        <v>——</v>
      </c>
      <c r="E126" s="3729"/>
      <c r="F126" s="3729"/>
      <c r="G126" s="3729"/>
      <c r="H126" s="3729"/>
      <c r="I126" s="3730"/>
      <c r="AA126" s="721"/>
    </row>
    <row r="127" spans="1:27" ht="18.75" customHeight="1">
      <c r="A127" s="3664" t="s">
        <v>1452</v>
      </c>
      <c r="B127" s="3664"/>
      <c r="C127" s="3664"/>
      <c r="D127" s="3704" t="e">
        <f>NUMBERSTRING(INT(D126*10000),2)&amp;"元整"</f>
        <v>#VALUE!</v>
      </c>
      <c r="E127" s="3705"/>
      <c r="F127" s="3705"/>
      <c r="G127" s="3705"/>
      <c r="H127" s="3705"/>
      <c r="I127" s="3706"/>
      <c r="AA127" s="721"/>
    </row>
    <row r="128" spans="1:27" ht="21.75" customHeight="1">
      <c r="A128" s="3711" t="s">
        <v>1453</v>
      </c>
      <c r="B128" s="3711"/>
      <c r="C128" s="3711"/>
      <c r="D128" s="3711"/>
      <c r="E128" s="3711"/>
      <c r="F128" s="3711"/>
      <c r="G128" s="3711"/>
      <c r="H128" s="3711"/>
      <c r="I128" s="3711"/>
      <c r="AA128" s="721"/>
    </row>
    <row r="129" spans="1:35" ht="21.75" customHeight="1">
      <c r="A129" s="1823" t="s">
        <v>1454</v>
      </c>
      <c r="B129" s="1824"/>
      <c r="C129" s="1825" t="s">
        <v>1455</v>
      </c>
      <c r="D129" s="1826"/>
      <c r="E129" s="1826"/>
      <c r="F129" s="1826"/>
      <c r="G129" s="1826"/>
      <c r="H129" s="1827"/>
      <c r="I129" s="1828"/>
      <c r="AA129" s="721"/>
    </row>
    <row r="130" spans="1:35" ht="21.75" customHeight="1">
      <c r="A130" s="1829">
        <v>1</v>
      </c>
      <c r="B130" s="1830"/>
      <c r="C130" s="1830"/>
      <c r="D130" s="1831"/>
      <c r="E130" s="1831"/>
      <c r="F130" s="1831"/>
      <c r="G130" s="1831"/>
      <c r="H130" s="1832"/>
      <c r="I130" s="1833"/>
      <c r="AA130" s="721"/>
    </row>
    <row r="131" spans="1:35" ht="21.75" customHeight="1">
      <c r="A131" s="1829">
        <v>2</v>
      </c>
      <c r="B131" s="1830"/>
      <c r="C131" s="1830"/>
      <c r="D131" s="1831"/>
      <c r="E131" s="1831"/>
      <c r="F131" s="1831"/>
      <c r="G131" s="1831"/>
      <c r="H131" s="1832"/>
      <c r="I131" s="1833"/>
      <c r="AA131" s="721"/>
    </row>
    <row r="132" spans="1:35" ht="21.75" customHeight="1">
      <c r="A132" s="1829">
        <v>3</v>
      </c>
      <c r="B132" s="1830"/>
      <c r="C132" s="1830"/>
      <c r="D132" s="1831"/>
      <c r="E132" s="1831"/>
      <c r="F132" s="1831"/>
      <c r="G132" s="1831"/>
      <c r="H132" s="1832"/>
      <c r="I132" s="1833"/>
      <c r="AA132" s="721"/>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1"/>
    </row>
    <row r="135" spans="1:35" ht="21.75" customHeight="1">
      <c r="A135" s="721"/>
      <c r="B135" s="721"/>
      <c r="C135" s="721"/>
      <c r="D135" s="721"/>
      <c r="E135" s="721"/>
      <c r="F135" s="1839" t="s">
        <v>1456</v>
      </c>
      <c r="G135" s="1840"/>
      <c r="H135" s="1840"/>
      <c r="I135" s="1841" t="s">
        <v>1457</v>
      </c>
    </row>
    <row r="136" spans="1:35" ht="21.75" customHeight="1">
      <c r="A136" s="721"/>
      <c r="B136" s="1842"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0"/>
      <c r="C138" s="1840"/>
      <c r="D138" s="1840"/>
      <c r="E138" s="1840"/>
      <c r="F138" s="1840"/>
      <c r="G138" s="1840"/>
      <c r="H138" s="1840"/>
      <c r="I138" s="1841" t="s">
        <v>1459</v>
      </c>
    </row>
    <row r="139" spans="1:35" ht="21.75" customHeight="1">
      <c r="A139" s="721"/>
      <c r="B139" s="1842" t="s">
        <v>1460</v>
      </c>
      <c r="C139" s="721"/>
      <c r="D139" s="721"/>
      <c r="E139" s="721"/>
      <c r="F139" s="721"/>
      <c r="G139" s="721"/>
      <c r="H139" s="721"/>
      <c r="I139" s="721"/>
    </row>
    <row r="140" spans="1:35" ht="21.75" customHeight="1">
      <c r="A140" s="721"/>
      <c r="B140" s="1842"/>
      <c r="C140" s="721"/>
      <c r="D140" s="721"/>
      <c r="E140" s="721"/>
      <c r="F140" s="721"/>
      <c r="G140" s="721"/>
      <c r="H140" s="721"/>
      <c r="I140" s="721"/>
    </row>
    <row r="141" spans="1:35" ht="21.75" customHeight="1">
      <c r="A141" s="721"/>
      <c r="B141" s="1840"/>
      <c r="C141" s="1840"/>
      <c r="D141" s="1840"/>
      <c r="E141" s="1840"/>
      <c r="F141" s="1840"/>
      <c r="G141" s="1840"/>
      <c r="H141" s="1840"/>
      <c r="I141" s="1841" t="s">
        <v>1459</v>
      </c>
    </row>
    <row r="142" spans="1:35" ht="21.75" customHeight="1">
      <c r="A142" s="721"/>
      <c r="B142" s="1842"/>
      <c r="C142" s="1843"/>
      <c r="D142" s="1844"/>
      <c r="E142" s="1844"/>
      <c r="F142" s="1733"/>
      <c r="G142" s="721"/>
      <c r="H142" s="721"/>
      <c r="I142" s="721"/>
    </row>
    <row r="143" spans="1:35" s="127" customFormat="1" ht="21.75" customHeight="1">
      <c r="A143" s="721"/>
      <c r="B143" s="1842"/>
      <c r="C143" s="1843"/>
      <c r="D143" s="1844"/>
      <c r="E143" s="1844"/>
      <c r="F143" s="1733"/>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4"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4"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4"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4"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4"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4"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4"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4"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4"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4"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4"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4"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4"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4"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4"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4"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4"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4"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4"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4"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4"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4"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4"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4"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4"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4"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4"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4"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4"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4"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4"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4"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4"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4"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4"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4"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4"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4"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4"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4"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4"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4"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4"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4"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4"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4"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4"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4"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4"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4"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4"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4"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4"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4"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4"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4"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4"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4"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4"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4"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4"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4"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4"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4"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4"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4"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4"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4"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4"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4"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4"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4"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4"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4"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4"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4"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4"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4"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4"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4"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4"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4"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4"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4"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4"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4"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4"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4"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4"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4"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4"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4"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4"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4"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4"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4"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4"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4"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4"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4"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4"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4"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4"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4"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4"/>
      <c r="C2" s="3564"/>
      <c r="D2" s="3564"/>
      <c r="E2" s="3564"/>
    </row>
    <row r="3" spans="1:5" ht="18">
      <c r="A3" s="3565" t="str">
        <f>IF(项目基本情况!B9="房地产市场价值","估价结果一览表（市场价值不需“结果表-1”）","估价结果一览表")</f>
        <v>估价结果一览表</v>
      </c>
      <c r="B3" s="3565"/>
      <c r="C3" s="3565"/>
      <c r="D3" s="3565"/>
      <c r="E3" s="3565"/>
    </row>
    <row r="4" spans="1:5" ht="19.5" thickBot="1">
      <c r="A4" s="1485"/>
      <c r="B4" s="3563" t="s">
        <v>917</v>
      </c>
      <c r="C4" s="3563"/>
      <c r="D4" s="3563"/>
      <c r="E4" s="1485"/>
    </row>
    <row r="5" spans="1:5" ht="16.5" thickTop="1">
      <c r="A5" s="1483"/>
      <c r="B5" s="3561" t="s">
        <v>909</v>
      </c>
      <c r="C5" s="1486" t="s">
        <v>910</v>
      </c>
      <c r="D5" s="842">
        <f ca="1">结果表!H101</f>
        <v>169025</v>
      </c>
      <c r="E5" s="1483"/>
    </row>
    <row r="6" spans="1:5" ht="15.75">
      <c r="A6" s="1483"/>
      <c r="B6" s="3561"/>
      <c r="C6" s="1486" t="s">
        <v>911</v>
      </c>
      <c r="D6" s="842" t="str">
        <f ca="1">NUMBERSTRING(INT(D5*10000),2)&amp;"元整"</f>
        <v>壹拾陆亿玖仟零贰拾伍万元整</v>
      </c>
      <c r="E6" s="1483"/>
    </row>
    <row r="7" spans="1:5" ht="15.75">
      <c r="A7" s="1483"/>
      <c r="B7" s="3566"/>
      <c r="C7" s="1487" t="s">
        <v>912</v>
      </c>
      <c r="D7" s="843">
        <f ca="1">结果表!H102</f>
        <v>32567</v>
      </c>
      <c r="E7" s="1483"/>
    </row>
    <row r="8" spans="1:5" ht="15.75">
      <c r="A8" s="1483"/>
      <c r="B8" s="3567" t="str">
        <f>结果表!E103</f>
        <v>2.估价师知悉的法定优先受偿款</v>
      </c>
      <c r="C8" s="1488" t="s">
        <v>913</v>
      </c>
      <c r="D8" s="843">
        <f>结果表!H103</f>
        <v>0</v>
      </c>
      <c r="E8" s="1483"/>
    </row>
    <row r="9" spans="1:5" ht="15.75">
      <c r="A9" s="1483"/>
      <c r="B9" s="3569"/>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560" t="str">
        <f>结果表!E107</f>
        <v>3.房地产抵押价值</v>
      </c>
      <c r="C13" s="1491" t="s">
        <v>910</v>
      </c>
      <c r="D13" s="845">
        <f ca="1">结果表!H107</f>
        <v>169025</v>
      </c>
      <c r="E13" s="1483"/>
    </row>
    <row r="14" spans="1:5" ht="15.75">
      <c r="A14" s="1483"/>
      <c r="B14" s="3561"/>
      <c r="C14" s="1486" t="s">
        <v>911</v>
      </c>
      <c r="D14" s="842" t="str">
        <f ca="1">NUMBERSTRING(INT(D13*10000),2)&amp;"元整"</f>
        <v>壹拾陆亿玖仟零贰拾伍万元整</v>
      </c>
      <c r="E14" s="1483"/>
    </row>
    <row r="15" spans="1:5" ht="15">
      <c r="A15" s="1483"/>
      <c r="B15" s="3566"/>
      <c r="C15" s="1487" t="s">
        <v>921</v>
      </c>
      <c r="D15" s="851">
        <f ca="1">结果表!H108</f>
        <v>32567</v>
      </c>
      <c r="E15" s="1483"/>
    </row>
    <row r="16" spans="1:5" ht="15">
      <c r="A16" s="1483"/>
      <c r="B16" s="3567" t="str">
        <f>结果表!E109</f>
        <v>——</v>
      </c>
      <c r="C16" s="1491" t="s">
        <v>922</v>
      </c>
      <c r="D16" s="1492" t="str">
        <f>结果表!H109</f>
        <v>——</v>
      </c>
      <c r="E16" s="1483"/>
    </row>
    <row r="17" spans="1:5" ht="15.75">
      <c r="A17" s="1483"/>
      <c r="B17" s="3568"/>
      <c r="C17" s="1486" t="s">
        <v>923</v>
      </c>
      <c r="D17" s="842" t="e">
        <f>NUMBERSTRING(INT(D16*10000),2)&amp;"元整"</f>
        <v>#VALUE!</v>
      </c>
      <c r="E17" s="1483"/>
    </row>
    <row r="18" spans="1:5" ht="15">
      <c r="A18" s="1483"/>
      <c r="B18" s="3569"/>
      <c r="C18" s="1487" t="s">
        <v>912</v>
      </c>
      <c r="D18" s="851" t="str">
        <f>结果表!H110</f>
        <v>——</v>
      </c>
      <c r="E18" s="1483"/>
    </row>
    <row r="19" spans="1:5" ht="15.75">
      <c r="A19" s="1483"/>
      <c r="B19" s="3560" t="str">
        <f>结果表!E111</f>
        <v>——</v>
      </c>
      <c r="C19" s="1491" t="s">
        <v>910</v>
      </c>
      <c r="D19" s="843" t="str">
        <f>结果表!H111</f>
        <v>——</v>
      </c>
      <c r="E19" s="1483"/>
    </row>
    <row r="20" spans="1:5" ht="15.75">
      <c r="A20" s="1483"/>
      <c r="B20" s="3561"/>
      <c r="C20" s="1486" t="s">
        <v>923</v>
      </c>
      <c r="D20" s="842" t="e">
        <f>NUMBERSTRING(INT(D19*10000),2)&amp;"元整"</f>
        <v>#VALUE!</v>
      </c>
      <c r="E20" s="1483"/>
    </row>
    <row r="21" spans="1:5" ht="15.75" thickBot="1">
      <c r="A21" s="1483"/>
      <c r="B21" s="3562"/>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35" sqref="L35"/>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3" customWidth="1"/>
    <col min="33" max="36" width="9.375" style="2045" customWidth="1"/>
    <col min="37" max="38" width="9.375" style="1990" customWidth="1"/>
    <col min="39" max="16384" width="12" style="1990"/>
  </cols>
  <sheetData>
    <row r="1" spans="1:36" ht="28.5">
      <c r="A1" s="193" t="s">
        <v>1926</v>
      </c>
      <c r="B1" s="194"/>
      <c r="C1" s="198" t="s">
        <v>1927</v>
      </c>
      <c r="D1" s="339">
        <f>SUM(D33:D34,D37:D42)</f>
        <v>37979.120000000003</v>
      </c>
      <c r="E1" s="1987"/>
      <c r="F1" s="1987"/>
      <c r="G1" s="1987"/>
      <c r="H1" s="1987"/>
      <c r="I1" s="1987"/>
      <c r="J1" s="1987"/>
      <c r="K1" s="1111"/>
      <c r="L1" s="1988" t="s">
        <v>1928</v>
      </c>
      <c r="M1" s="855">
        <f>SUMPRODUCT((区片价!B5:B9=I2)*(区片价!C3:G3=E2)*(区片价!C5:G9))</f>
        <v>0</v>
      </c>
      <c r="N1" s="858">
        <f>SUMPRODUCT((因素修正幅度!B5:B9=I2)*(因素修正幅度!C3:G3=E2)*(因素修正幅度!C5:G9))</f>
        <v>0</v>
      </c>
      <c r="O1" s="1989"/>
      <c r="P1" s="1989"/>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198" t="s">
        <v>1934</v>
      </c>
      <c r="B2" s="201">
        <f>C30</f>
        <v>5905</v>
      </c>
      <c r="C2" s="1991" t="s">
        <v>1935</v>
      </c>
      <c r="D2" s="1992" t="s">
        <v>1936</v>
      </c>
      <c r="E2" s="3414" t="s">
        <v>3401</v>
      </c>
      <c r="F2" s="1992" t="s">
        <v>1937</v>
      </c>
      <c r="G2" s="1993" t="str">
        <f>IF(E2="商业",项目基本情况!B37,IF(E2="办公",项目基本情况!C37,IF(E2="住宅",项目基本情况!D37,IF(E2="工业",项目基本情况!E37,项目基本情况!F37))))</f>
        <v>五级</v>
      </c>
      <c r="H2" s="1992" t="s">
        <v>1938</v>
      </c>
      <c r="I2" s="1993" t="str">
        <f>IF(E2="商业",项目基本情况!B38,IF(E2="办公",项目基本情况!C38,IF(E2="住宅",项目基本情况!D38,IF(E2="工业",项目基本情况!E38,项目基本情况!F38))))</f>
        <v>Ⅴ-17</v>
      </c>
      <c r="J2" s="1994"/>
      <c r="K2" s="1111"/>
      <c r="L2" s="1995" t="s">
        <v>1939</v>
      </c>
      <c r="M2" s="856">
        <f>SUMPRODUCT((区片价!B10:B29=I2)*(区片价!C3:G3=E2)*(区片价!C10:G29))</f>
        <v>0</v>
      </c>
      <c r="N2" s="858">
        <f>SUMPRODUCT((因素修正幅度!B10:B29=I2)*(因素修正幅度!C3:G3=E2)*(因素修正幅度!C10:G29))</f>
        <v>0</v>
      </c>
      <c r="O2" s="1111"/>
      <c r="P2" s="1111"/>
      <c r="Q2" s="1111"/>
      <c r="R2" s="1204">
        <v>1</v>
      </c>
      <c r="S2" s="3353">
        <f>ROUND(SUMPRODUCT((B106:B110=R2)*(C105:N105=G2)*(C106:N110)),4)</f>
        <v>1.5019</v>
      </c>
      <c r="T2" s="3353">
        <f t="shared" ref="T2:T16" si="0">ROUND($C$5*$C$22*$C$23*$C$24*S2*$C$28,0)</f>
        <v>11813</v>
      </c>
      <c r="U2" s="1205"/>
      <c r="V2" s="3353">
        <f>ROUND(T2*U2/10000,0)</f>
        <v>0</v>
      </c>
      <c r="W2" s="1208"/>
      <c r="X2" s="1208"/>
      <c r="Y2" s="1208"/>
      <c r="Z2" s="1208"/>
      <c r="AA2" s="1208"/>
      <c r="AB2" s="1208"/>
      <c r="AC2" s="1209"/>
      <c r="AD2" s="1210"/>
      <c r="AE2" s="1210"/>
      <c r="AF2" s="1210"/>
      <c r="AG2" s="1210"/>
      <c r="AH2" s="1210"/>
      <c r="AI2" s="1210"/>
      <c r="AJ2" s="1211"/>
    </row>
    <row r="3" spans="1:36" ht="15.75">
      <c r="A3" s="200" t="s">
        <v>1940</v>
      </c>
      <c r="B3" s="201">
        <f>ROUND(B2*10000/D1,0)</f>
        <v>1555</v>
      </c>
      <c r="C3" s="1991" t="s">
        <v>1941</v>
      </c>
      <c r="D3" s="1992" t="s">
        <v>1942</v>
      </c>
      <c r="E3" s="3412" t="s">
        <v>2462</v>
      </c>
      <c r="F3" s="1996" t="s">
        <v>3870</v>
      </c>
      <c r="G3" s="744">
        <f>IF(F3="宗地容积率",'数据-汇总表'!I4,IF(F3="估价对象容积率",'数据-汇总表'!I6,'数据-汇总表'!I7))</f>
        <v>2.35</v>
      </c>
      <c r="H3" s="167" t="s">
        <v>1943</v>
      </c>
      <c r="I3" s="767"/>
      <c r="J3" s="1994" t="s">
        <v>1944</v>
      </c>
      <c r="K3" s="1111"/>
      <c r="L3" s="1995" t="s">
        <v>1945</v>
      </c>
      <c r="M3" s="856">
        <f>SUMPRODUCT((区片价!B30:B54=I2)*(区片价!C3:G3=E2)*(区片价!C30:G54))</f>
        <v>0</v>
      </c>
      <c r="N3" s="858">
        <f>SUMPRODUCT((因素修正幅度!B30:B54=I2)*(因素修正幅度!C3:G3=E2)*(因素修正幅度!C30:G54))</f>
        <v>0</v>
      </c>
      <c r="O3" s="1111"/>
      <c r="P3" s="1111"/>
      <c r="Q3" s="1111"/>
      <c r="R3" s="1204">
        <v>2</v>
      </c>
      <c r="S3" s="3353">
        <f>ROUND(SUMPRODUCT((B106:B110=R3)*(C105:N105=G2)*(C106:N110)),4)</f>
        <v>1.1838</v>
      </c>
      <c r="T3" s="3353">
        <f t="shared" si="0"/>
        <v>9311</v>
      </c>
      <c r="U3" s="1205"/>
      <c r="V3" s="3353">
        <f t="shared" ref="V3:V16" si="1">ROUND(T3*U3/10000,0)</f>
        <v>0</v>
      </c>
      <c r="W3" s="1208"/>
      <c r="X3" s="1208"/>
      <c r="Y3" s="1208"/>
      <c r="Z3" s="1208"/>
      <c r="AA3" s="1208"/>
      <c r="AB3" s="1208"/>
      <c r="AC3" s="1209"/>
      <c r="AD3" s="1210"/>
      <c r="AE3" s="1210"/>
      <c r="AF3" s="1210"/>
      <c r="AG3" s="1210"/>
      <c r="AH3" s="1210"/>
      <c r="AI3" s="1210"/>
      <c r="AJ3" s="1211"/>
    </row>
    <row r="4" spans="1:36" ht="15.75">
      <c r="A4" s="3856"/>
      <c r="B4" s="3857"/>
      <c r="C4" s="3857"/>
      <c r="D4" s="3858"/>
      <c r="E4" s="3858"/>
      <c r="F4" s="3858"/>
      <c r="G4" s="3858"/>
      <c r="H4" s="3858"/>
      <c r="I4" s="3858"/>
      <c r="J4" s="3859"/>
      <c r="K4" s="1111"/>
      <c r="L4" s="1995" t="s">
        <v>1946</v>
      </c>
      <c r="M4" s="856">
        <f>SUMPRODUCT((区片价!B55:B86=I2)*(区片价!C3:G3=E2)*(区片价!C55:G86))</f>
        <v>0</v>
      </c>
      <c r="N4" s="858">
        <f>SUMPRODUCT((因素修正幅度!B55:B86=I2)*(因素修正幅度!C3:G3=E2)*(因素修正幅度!C55:G86))</f>
        <v>0</v>
      </c>
      <c r="O4" s="1111"/>
      <c r="P4" s="1111"/>
      <c r="Q4" s="1111"/>
      <c r="R4" s="1204">
        <v>3</v>
      </c>
      <c r="S4" s="3353">
        <f>ROUND(SUMPRODUCT((B106:B110=R4)*(C105:N105=G2)*(C106:N110)),4)</f>
        <v>1.0004999999999999</v>
      </c>
      <c r="T4" s="3353">
        <f t="shared" si="0"/>
        <v>7869</v>
      </c>
      <c r="U4" s="1205"/>
      <c r="V4" s="3353">
        <f t="shared" si="1"/>
        <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1947</v>
      </c>
      <c r="C5" s="745">
        <f>ROUND(IF(E2="商业",C6*C7*C17+C20,(IF(E2="住宅",C6*C13*C17+C20,IF(E2="办公",C6*C12*C17+C20,C6+C20)))),0)</f>
        <v>9585</v>
      </c>
      <c r="D5" s="1331">
        <f>ROUND(C6*C17+C20,0)</f>
        <v>9585</v>
      </c>
      <c r="E5" s="1331"/>
      <c r="F5" s="1999"/>
      <c r="G5" s="2000"/>
      <c r="H5" s="2000"/>
      <c r="I5" s="2000"/>
      <c r="J5" s="2001"/>
      <c r="K5" s="2002"/>
      <c r="L5" s="1995" t="s">
        <v>1948</v>
      </c>
      <c r="M5" s="856">
        <f>SUMPRODUCT((区片价!B87:B126=I2)*(区片价!C3:G3=E2)*(区片价!C87:G126))</f>
        <v>9610</v>
      </c>
      <c r="N5" s="858">
        <f>SUMPRODUCT((因素修正幅度!B87:B126=I2)*(因素修正幅度!C3:G3=E2)*(因素修正幅度!C87:G126))</f>
        <v>0.1</v>
      </c>
      <c r="O5" s="1111"/>
      <c r="P5" s="1111"/>
      <c r="Q5" s="1111"/>
      <c r="R5" s="1204">
        <v>4</v>
      </c>
      <c r="S5" s="3353">
        <f>ROUND(SUMPRODUCT((B106:B110=R5)*(C105:N105=G2)*(C106:N110)),4)</f>
        <v>0.88239999999999996</v>
      </c>
      <c r="T5" s="3353">
        <f t="shared" si="0"/>
        <v>6940</v>
      </c>
      <c r="U5" s="1205"/>
      <c r="V5" s="3353">
        <f t="shared" si="1"/>
        <v>0</v>
      </c>
      <c r="W5" s="1208"/>
      <c r="X5" s="1208"/>
      <c r="Y5" s="1208"/>
      <c r="Z5" s="1208"/>
      <c r="AA5" s="1208"/>
      <c r="AB5" s="1208"/>
      <c r="AC5" s="2003"/>
      <c r="AD5" s="2004"/>
      <c r="AE5" s="2004"/>
      <c r="AF5" s="2004"/>
      <c r="AG5" s="2004"/>
      <c r="AH5" s="2004"/>
      <c r="AI5" s="2004"/>
      <c r="AJ5" s="2005"/>
    </row>
    <row r="6" spans="1:36" ht="15.75" thickBot="1">
      <c r="A6" s="2007" t="s">
        <v>1949</v>
      </c>
      <c r="B6" s="2008" t="s">
        <v>1950</v>
      </c>
      <c r="C6" s="746">
        <f>SUMIF(L1:L12,G2,M1:M12)</f>
        <v>9610</v>
      </c>
      <c r="D6" s="2009"/>
      <c r="E6" s="2010"/>
      <c r="F6" s="2010"/>
      <c r="G6" s="2011"/>
      <c r="H6" s="2011"/>
      <c r="I6" s="2011"/>
      <c r="J6" s="2012"/>
      <c r="K6" s="1376"/>
      <c r="L6" s="1995" t="s">
        <v>1951</v>
      </c>
      <c r="M6" s="856">
        <f>SUMPRODUCT((区片价!B127:B189=I2)*(区片价!C3:G3=E2)*(区片价!C127:G189))</f>
        <v>0</v>
      </c>
      <c r="N6" s="858">
        <f>SUMPRODUCT((因素修正幅度!B127:B189=I2)*(因素修正幅度!C3:G3=E2)*(因素修正幅度!C127:G189))</f>
        <v>0</v>
      </c>
      <c r="O6" s="1111"/>
      <c r="P6" s="1111"/>
      <c r="Q6" s="1111"/>
      <c r="R6" s="1204">
        <v>5</v>
      </c>
      <c r="S6" s="3353">
        <f>ROUND(SUMPRODUCT((B106:B110=R6)*(C105:N105=G2)*(C106:N110)),4)</f>
        <v>0.84799999999999998</v>
      </c>
      <c r="T6" s="3353">
        <f t="shared" si="0"/>
        <v>6670</v>
      </c>
      <c r="U6" s="1205"/>
      <c r="V6" s="3353">
        <f t="shared" si="1"/>
        <v>0</v>
      </c>
      <c r="W6" s="1208"/>
      <c r="X6" s="1208"/>
      <c r="Y6" s="1208"/>
      <c r="Z6" s="1208"/>
      <c r="AA6" s="1208"/>
      <c r="AB6" s="1208"/>
      <c r="AC6" s="2003"/>
      <c r="AD6" s="2004"/>
      <c r="AE6" s="2004"/>
      <c r="AF6" s="2004"/>
      <c r="AG6" s="2004"/>
      <c r="AH6" s="2004"/>
      <c r="AI6" s="2004"/>
      <c r="AJ6" s="2005"/>
    </row>
    <row r="7" spans="1:36" ht="24.75" thickBot="1">
      <c r="A7" s="3296" t="s">
        <v>3241</v>
      </c>
      <c r="B7" s="2013" t="s">
        <v>1952</v>
      </c>
      <c r="C7" s="747" t="e">
        <f>IF(C8="不临65条商业街",1,ROUND(1+(1.6*E8+1.2*E9+0.8*E10+0.4*E11)*C9,4))</f>
        <v>#DIV/0!</v>
      </c>
      <c r="D7" s="2014" t="s">
        <v>1953</v>
      </c>
      <c r="E7" s="768"/>
      <c r="F7" s="2015"/>
      <c r="G7" s="2016"/>
      <c r="H7" s="2016"/>
      <c r="I7" s="2016"/>
      <c r="J7" s="2017"/>
      <c r="K7" s="1376"/>
      <c r="L7" s="1995" t="s">
        <v>1954</v>
      </c>
      <c r="M7" s="856">
        <f>SUMPRODUCT((区片价!B190:B233=I2)*(区片价!C3:G3=E2)*(区片价!C190:G233))</f>
        <v>0</v>
      </c>
      <c r="N7" s="858">
        <f>SUMPRODUCT((因素修正幅度!B190:B233=I2)*(因素修正幅度!C3:G3=E2)*(因素修正幅度!C190:G233))</f>
        <v>0</v>
      </c>
      <c r="O7" s="1111"/>
      <c r="P7" s="1111"/>
      <c r="Q7" s="1111"/>
      <c r="R7" s="1204">
        <v>6</v>
      </c>
      <c r="S7" s="3411"/>
      <c r="T7" s="3353">
        <f t="shared" si="0"/>
        <v>0</v>
      </c>
      <c r="U7" s="1205"/>
      <c r="V7" s="3353">
        <f t="shared" si="1"/>
        <v>0</v>
      </c>
      <c r="W7" s="1350" t="s">
        <v>1955</v>
      </c>
      <c r="X7" s="1206" t="str">
        <f>G2</f>
        <v>五级</v>
      </c>
      <c r="Y7" s="1206" t="s">
        <v>1956</v>
      </c>
      <c r="Z7" s="1207">
        <f>G3</f>
        <v>2.35</v>
      </c>
      <c r="AA7" s="1208"/>
      <c r="AB7" s="1208"/>
      <c r="AC7" s="1209"/>
      <c r="AD7" s="1210"/>
      <c r="AE7" s="1210"/>
      <c r="AF7" s="1210"/>
      <c r="AG7" s="1210"/>
      <c r="AH7" s="1210"/>
      <c r="AI7" s="1210"/>
      <c r="AJ7" s="1211"/>
    </row>
    <row r="8" spans="1:36" ht="15">
      <c r="A8" s="3291"/>
      <c r="B8" s="167" t="s">
        <v>1957</v>
      </c>
      <c r="C8" s="2018"/>
      <c r="D8" s="748" t="s">
        <v>112</v>
      </c>
      <c r="E8" s="749" t="e">
        <f>ROUND(C11/E7,4)</f>
        <v>#DIV/0!</v>
      </c>
      <c r="F8" s="2019" t="s">
        <v>1958</v>
      </c>
      <c r="G8" s="2020"/>
      <c r="H8" s="2020"/>
      <c r="I8" s="2020"/>
      <c r="J8" s="2021"/>
      <c r="K8" s="1111"/>
      <c r="L8" s="1995" t="s">
        <v>1959</v>
      </c>
      <c r="M8" s="856">
        <f>SUMPRODUCT((区片价!B234:B276=I2)*(区片价!C3:G3=E2)*(区片价!C234:G276))</f>
        <v>0</v>
      </c>
      <c r="N8" s="858">
        <f>SUMPRODUCT((因素修正幅度!B234:B276=I2)*(因素修正幅度!C3:G3=E2)*(因素修正幅度!C234:G276))</f>
        <v>0</v>
      </c>
      <c r="O8" s="1111"/>
      <c r="P8" s="1111"/>
      <c r="Q8" s="1111"/>
      <c r="R8" s="1204">
        <v>7</v>
      </c>
      <c r="S8" s="1205"/>
      <c r="T8" s="3353">
        <f t="shared" si="0"/>
        <v>0</v>
      </c>
      <c r="U8" s="1205"/>
      <c r="V8" s="3353">
        <f t="shared" si="1"/>
        <v>0</v>
      </c>
      <c r="W8" s="3853" t="s">
        <v>1960</v>
      </c>
      <c r="X8" s="3854"/>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91"/>
      <c r="B9" s="167" t="s">
        <v>1973</v>
      </c>
      <c r="C9" s="750">
        <f>SUMIF(修正!C71:C138,C8,修正!E71:E138)</f>
        <v>0</v>
      </c>
      <c r="D9" s="168" t="s">
        <v>113</v>
      </c>
      <c r="E9" s="168" t="e">
        <f>ROUND(C11/E7,4)</f>
        <v>#DIV/0!</v>
      </c>
      <c r="F9" s="2019" t="s">
        <v>1974</v>
      </c>
      <c r="G9" s="2020"/>
      <c r="H9" s="2020"/>
      <c r="I9" s="2020"/>
      <c r="J9" s="2021"/>
      <c r="K9" s="1111"/>
      <c r="L9" s="1995" t="s">
        <v>1975</v>
      </c>
      <c r="M9" s="856">
        <f>SUMPRODUCT((区片价!B277:B326=I2)*(区片价!C3:G3=E2)*(区片价!C277:G326))</f>
        <v>0</v>
      </c>
      <c r="N9" s="858">
        <f>SUMPRODUCT((因素修正幅度!B277:B326=I2)*(因素修正幅度!C3:G3=E2)*(因素修正幅度!C277:G326))</f>
        <v>0</v>
      </c>
      <c r="O9" s="1111"/>
      <c r="P9" s="1111"/>
      <c r="Q9" s="1111"/>
      <c r="R9" s="1204">
        <v>8</v>
      </c>
      <c r="S9" s="1205"/>
      <c r="T9" s="3353">
        <f t="shared" si="0"/>
        <v>0</v>
      </c>
      <c r="U9" s="1205"/>
      <c r="V9" s="3353">
        <f t="shared" si="1"/>
        <v>0</v>
      </c>
      <c r="W9" s="3855"/>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19" t="s">
        <v>1977</v>
      </c>
      <c r="G10" s="2020"/>
      <c r="H10" s="2020"/>
      <c r="I10" s="2020"/>
      <c r="J10" s="2021"/>
      <c r="K10" s="1111"/>
      <c r="L10" s="1995"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53">
        <f t="shared" si="0"/>
        <v>0</v>
      </c>
      <c r="U10" s="1205"/>
      <c r="V10" s="3353">
        <f t="shared" si="1"/>
        <v>0</v>
      </c>
      <c r="W10" s="3855"/>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2" t="s">
        <v>1979</v>
      </c>
      <c r="C11" s="751">
        <f>C10/4</f>
        <v>0</v>
      </c>
      <c r="D11" s="751" t="s">
        <v>115</v>
      </c>
      <c r="E11" s="751" t="e">
        <f>ROUND(C11/E7,4)</f>
        <v>#DIV/0!</v>
      </c>
      <c r="F11" s="2023" t="s">
        <v>1980</v>
      </c>
      <c r="G11" s="2024"/>
      <c r="H11" s="2024"/>
      <c r="I11" s="2024"/>
      <c r="J11" s="2025"/>
      <c r="K11" s="1111"/>
      <c r="L11" s="1995"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53">
        <f t="shared" si="0"/>
        <v>0</v>
      </c>
      <c r="U11" s="1205"/>
      <c r="V11" s="3353">
        <f t="shared" si="1"/>
        <v>0</v>
      </c>
      <c r="W11" s="1208"/>
      <c r="X11" s="1208"/>
      <c r="Y11" s="1208"/>
      <c r="Z11" s="1208"/>
      <c r="AA11" s="1208"/>
      <c r="AB11" s="1208"/>
      <c r="AC11" s="1209"/>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1"/>
      <c r="L12" s="2031"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53">
        <f t="shared" si="0"/>
        <v>0</v>
      </c>
      <c r="U12" s="1205"/>
      <c r="V12" s="3353">
        <f t="shared" si="1"/>
        <v>0</v>
      </c>
      <c r="W12" s="1208"/>
      <c r="X12" s="1208"/>
      <c r="Y12" s="1208"/>
      <c r="Z12" s="1208"/>
      <c r="AA12" s="1208"/>
      <c r="AB12" s="1208"/>
      <c r="AC12" s="1209"/>
      <c r="AD12" s="2781"/>
      <c r="AE12" s="2781"/>
      <c r="AF12" s="2781"/>
      <c r="AG12" s="2781"/>
      <c r="AH12" s="2781"/>
      <c r="AI12" s="2781"/>
      <c r="AJ12" s="2782"/>
    </row>
    <row r="13" spans="1:36" ht="15.75" thickBot="1">
      <c r="A13" s="3296" t="s">
        <v>3246</v>
      </c>
      <c r="B13" s="2026" t="s">
        <v>1982</v>
      </c>
      <c r="C13" s="747">
        <f>ROUND(C16*D16*E16*F16*G16*H16*I16*J16,4)</f>
        <v>0</v>
      </c>
      <c r="D13" s="2027" t="s">
        <v>1983</v>
      </c>
      <c r="E13" s="2028"/>
      <c r="F13" s="2028"/>
      <c r="G13" s="2029"/>
      <c r="H13" s="2029"/>
      <c r="I13" s="2029"/>
      <c r="J13" s="2030"/>
      <c r="K13" s="1111"/>
      <c r="L13" s="3292"/>
      <c r="M13" s="3293"/>
      <c r="N13" s="3294"/>
      <c r="O13" s="1111"/>
      <c r="P13" s="1111"/>
      <c r="Q13" s="1111"/>
      <c r="R13" s="1204">
        <v>12</v>
      </c>
      <c r="S13" s="1205"/>
      <c r="T13" s="3353">
        <f t="shared" si="0"/>
        <v>0</v>
      </c>
      <c r="U13" s="1205"/>
      <c r="V13" s="3353">
        <f t="shared" si="1"/>
        <v>0</v>
      </c>
      <c r="W13" s="1208"/>
      <c r="X13" s="1208"/>
      <c r="Y13" s="1208"/>
      <c r="Z13" s="1208"/>
      <c r="AA13" s="1208"/>
      <c r="AB13" s="1208"/>
      <c r="AC13" s="1209"/>
      <c r="AD13" s="2781"/>
      <c r="AE13" s="2781"/>
      <c r="AF13" s="2781"/>
      <c r="AG13" s="2781"/>
      <c r="AH13" s="2781"/>
      <c r="AI13" s="2781"/>
      <c r="AJ13" s="2782"/>
    </row>
    <row r="14" spans="1:36" ht="15">
      <c r="A14" s="3290"/>
      <c r="B14" s="2032" t="s">
        <v>1985</v>
      </c>
      <c r="C14" s="2033" t="s">
        <v>1986</v>
      </c>
      <c r="D14" s="1342" t="s">
        <v>1987</v>
      </c>
      <c r="E14" s="27" t="s">
        <v>1988</v>
      </c>
      <c r="F14" s="3304" t="s">
        <v>3247</v>
      </c>
      <c r="G14" s="3304" t="s">
        <v>3247</v>
      </c>
      <c r="H14" s="3304" t="s">
        <v>3247</v>
      </c>
      <c r="I14" s="3304" t="s">
        <v>3247</v>
      </c>
      <c r="J14" s="3304" t="s">
        <v>3247</v>
      </c>
      <c r="K14" s="1111"/>
      <c r="L14" s="1111"/>
      <c r="M14" s="1111"/>
      <c r="N14" s="1111"/>
      <c r="O14" s="1111"/>
      <c r="P14" s="1111"/>
      <c r="Q14" s="1111"/>
      <c r="R14" s="1204">
        <v>13</v>
      </c>
      <c r="S14" s="1205"/>
      <c r="T14" s="3353">
        <f t="shared" si="0"/>
        <v>0</v>
      </c>
      <c r="U14" s="1205"/>
      <c r="V14" s="3353">
        <f t="shared" si="1"/>
        <v>0</v>
      </c>
      <c r="W14" s="1208"/>
      <c r="X14" s="1208"/>
      <c r="Y14" s="1208"/>
      <c r="Z14" s="1208"/>
      <c r="AA14" s="1208"/>
      <c r="AB14" s="1208"/>
      <c r="AC14" s="1209"/>
      <c r="AD14" s="2781"/>
      <c r="AE14" s="2781"/>
      <c r="AF14" s="2781"/>
      <c r="AG14" s="2781"/>
      <c r="AH14" s="2781"/>
      <c r="AI14" s="2781"/>
      <c r="AJ14" s="2782"/>
    </row>
    <row r="15" spans="1:36" ht="15">
      <c r="A15" s="3290"/>
      <c r="B15" s="2034"/>
      <c r="C15" s="2035"/>
      <c r="D15" s="2036"/>
      <c r="E15" s="2037"/>
      <c r="F15" s="3305" t="s">
        <v>3248</v>
      </c>
      <c r="G15" s="3306"/>
      <c r="H15" s="3307"/>
      <c r="I15" s="3308"/>
      <c r="J15" s="3309"/>
      <c r="K15" s="1111"/>
      <c r="L15" s="1111"/>
      <c r="M15" s="1111"/>
      <c r="N15" s="1111"/>
      <c r="O15" s="1111"/>
      <c r="P15" s="1111"/>
      <c r="Q15" s="1111"/>
      <c r="R15" s="1204">
        <v>14</v>
      </c>
      <c r="S15" s="1205"/>
      <c r="T15" s="3353">
        <f t="shared" si="0"/>
        <v>0</v>
      </c>
      <c r="U15" s="1205"/>
      <c r="V15" s="3353">
        <f t="shared" si="1"/>
        <v>0</v>
      </c>
      <c r="W15" s="1208"/>
      <c r="X15" s="1208"/>
      <c r="Y15" s="1208"/>
      <c r="Z15" s="1208"/>
      <c r="AA15" s="1208"/>
      <c r="AB15" s="1208"/>
      <c r="AC15" s="1209"/>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1"/>
      <c r="L16" s="1989"/>
      <c r="M16" s="1989"/>
      <c r="N16" s="1989"/>
      <c r="O16" s="1989"/>
      <c r="P16" s="1989"/>
      <c r="Q16" s="1111"/>
      <c r="R16" s="1204">
        <v>15</v>
      </c>
      <c r="S16" s="1205"/>
      <c r="T16" s="3353">
        <f t="shared" si="0"/>
        <v>0</v>
      </c>
      <c r="U16" s="1205"/>
      <c r="V16" s="3353">
        <f t="shared" si="1"/>
        <v>0</v>
      </c>
      <c r="W16" s="1208"/>
      <c r="X16" s="1208"/>
      <c r="Y16" s="1208"/>
      <c r="Z16" s="1208"/>
      <c r="AA16" s="1208"/>
      <c r="AB16" s="1208"/>
      <c r="AC16" s="1209"/>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f>ROUND(G18/I18,2)</f>
        <v>0</v>
      </c>
      <c r="F17" s="3314" t="s">
        <v>3254</v>
      </c>
      <c r="G17" s="3323" t="e">
        <f>ROUND(E19/G19,2)</f>
        <v>#DIV/0!</v>
      </c>
      <c r="H17" s="3323"/>
      <c r="I17" s="3323"/>
      <c r="J17" s="3324"/>
      <c r="K17" s="1111"/>
      <c r="L17" s="1989"/>
      <c r="M17" s="1989"/>
      <c r="N17" s="1989"/>
      <c r="O17" s="1989"/>
      <c r="P17" s="1989"/>
      <c r="Q17" s="1111"/>
      <c r="R17" s="1111"/>
      <c r="S17" s="1111"/>
      <c r="T17" s="1111"/>
      <c r="U17" s="1111"/>
      <c r="V17" s="1111"/>
      <c r="W17" s="1111"/>
      <c r="X17" s="1111"/>
      <c r="Y17" s="1111"/>
      <c r="Z17" s="1112"/>
      <c r="AA17" s="1112"/>
      <c r="AB17" s="1112"/>
      <c r="AC17" s="1112"/>
      <c r="AD17" s="1112"/>
      <c r="AE17" s="1111"/>
      <c r="AF17" s="1111"/>
      <c r="AG17" s="1989"/>
      <c r="AH17" s="1989"/>
      <c r="AI17" s="1989"/>
      <c r="AJ17" s="1989"/>
    </row>
    <row r="18" spans="1:37" s="2006" customFormat="1" ht="14.25">
      <c r="A18" s="3325"/>
      <c r="B18" s="3002"/>
      <c r="C18" s="3320"/>
      <c r="D18" s="3315" t="s">
        <v>3252</v>
      </c>
      <c r="E18" s="3321"/>
      <c r="F18" s="3316" t="s">
        <v>3255</v>
      </c>
      <c r="G18" s="3320">
        <f>ROUND(1-(1/(POWER(1+G24,E18))),4)</f>
        <v>0</v>
      </c>
      <c r="H18" s="3316" t="s">
        <v>3257</v>
      </c>
      <c r="I18" s="3320">
        <f>ROUND(1-(1/(POWER(1+G24,J24))),4)</f>
        <v>0.91279999999999994</v>
      </c>
      <c r="J18" s="3326"/>
      <c r="K18" s="1111"/>
      <c r="L18" s="1989"/>
      <c r="M18" s="1989"/>
      <c r="N18" s="1989"/>
      <c r="O18" s="1989"/>
      <c r="P18" s="1989"/>
      <c r="Q18" s="1111"/>
      <c r="R18" s="1116"/>
      <c r="S18" s="1116"/>
      <c r="T18" s="1112"/>
      <c r="U18" s="1112"/>
      <c r="V18" s="1112"/>
      <c r="W18" s="1111"/>
      <c r="X18" s="1111"/>
      <c r="Y18" s="1111"/>
      <c r="Z18" s="1117"/>
      <c r="AA18" s="1117"/>
      <c r="AB18" s="1117"/>
      <c r="AC18" s="1117"/>
      <c r="AD18" s="1117"/>
      <c r="AE18" s="1112"/>
      <c r="AF18" s="1112"/>
      <c r="AG18" s="2133"/>
      <c r="AH18" s="2133"/>
      <c r="AI18" s="2133"/>
      <c r="AJ18" s="2780"/>
    </row>
    <row r="19" spans="1:37" s="2006" customFormat="1" ht="15" thickBot="1">
      <c r="A19" s="3327"/>
      <c r="B19" s="3328"/>
      <c r="C19" s="3329"/>
      <c r="D19" s="3329" t="s">
        <v>3253</v>
      </c>
      <c r="E19" s="3330"/>
      <c r="F19" s="3331" t="s">
        <v>3256</v>
      </c>
      <c r="G19" s="3330"/>
      <c r="H19" s="3329"/>
      <c r="I19" s="3329"/>
      <c r="J19" s="3332"/>
      <c r="K19" s="1111"/>
      <c r="L19" s="1989"/>
      <c r="M19" s="1989"/>
      <c r="N19" s="1989"/>
      <c r="O19" s="1989"/>
      <c r="P19" s="1989"/>
      <c r="Q19" s="1116"/>
      <c r="R19" s="1116"/>
      <c r="S19" s="1116"/>
      <c r="T19" s="1112"/>
      <c r="U19" s="1112"/>
      <c r="V19" s="1112"/>
      <c r="W19" s="1111"/>
      <c r="X19" s="1111"/>
      <c r="Y19" s="1111"/>
      <c r="Z19" s="1117"/>
      <c r="AA19" s="1117"/>
      <c r="AB19" s="1117"/>
      <c r="AC19" s="1117"/>
      <c r="AD19" s="1117"/>
      <c r="AE19" s="1117"/>
      <c r="AF19" s="1116"/>
      <c r="AG19" s="2783"/>
      <c r="AH19" s="2133"/>
      <c r="AI19" s="2784"/>
      <c r="AJ19" s="2784"/>
      <c r="AK19" s="2049"/>
    </row>
    <row r="20" spans="1:37" s="2006" customFormat="1" ht="14.25">
      <c r="A20" s="3860" t="s">
        <v>3258</v>
      </c>
      <c r="B20" s="164" t="s">
        <v>1994</v>
      </c>
      <c r="C20" s="3317">
        <f>ROUND(IF(F21="与级别开发程度一致",0,(G21-E21)/C21),0)</f>
        <v>-25</v>
      </c>
      <c r="D20" s="3333" t="s">
        <v>1998</v>
      </c>
      <c r="E20" s="3334"/>
      <c r="F20" s="3866" t="s">
        <v>1995</v>
      </c>
      <c r="G20" s="3867"/>
      <c r="H20" s="3318" t="s">
        <v>3389</v>
      </c>
      <c r="I20" s="3318" t="s">
        <v>3390</v>
      </c>
      <c r="J20" s="3319" t="s">
        <v>3391</v>
      </c>
      <c r="K20" s="2039" t="s">
        <v>3392</v>
      </c>
      <c r="L20" s="2039" t="s">
        <v>3393</v>
      </c>
      <c r="M20" s="2039" t="s">
        <v>3394</v>
      </c>
      <c r="N20" s="2039" t="s">
        <v>3871</v>
      </c>
      <c r="O20" s="2040"/>
      <c r="P20" s="1989"/>
      <c r="Q20" s="1116"/>
      <c r="R20" s="1116"/>
      <c r="S20" s="1116"/>
      <c r="T20" s="1112"/>
      <c r="U20" s="1112"/>
      <c r="V20" s="1112"/>
      <c r="W20" s="1111"/>
      <c r="X20" s="1111"/>
      <c r="Y20" s="1111"/>
      <c r="Z20" s="1117"/>
      <c r="AA20" s="1117"/>
      <c r="AB20" s="1117"/>
      <c r="AC20" s="1117"/>
      <c r="AD20" s="1117"/>
      <c r="AE20" s="1117"/>
      <c r="AF20" s="1117"/>
      <c r="AG20" s="2780"/>
      <c r="AH20" s="2780"/>
      <c r="AI20" s="2780"/>
      <c r="AJ20" s="2780"/>
    </row>
    <row r="21" spans="1:37" s="2006" customFormat="1" ht="26.25" thickBot="1">
      <c r="A21" s="3861"/>
      <c r="B21" s="2156" t="s">
        <v>1997</v>
      </c>
      <c r="C21" s="2157">
        <f>IF(E3="M4科研用地",SUMPRODUCT((修正!A2:A7=E3)*(修正!B1:M1=G2)*(修正!B2:M7)),SUMPRODUCT((修正!A2:A7=E2)*(修正!B1:M1=G2)*(修正!B2:M7)))</f>
        <v>2</v>
      </c>
      <c r="D21" s="184" t="str">
        <f>IF(OR(G2="八级",G2="九级",G2="十级",G2="十一级",G2="十二级"),"五通一平","七通一平")</f>
        <v>七通一平</v>
      </c>
      <c r="E21" s="2147">
        <f>SUMPRODUCT((修正!B1:M1=G2)*(修正!B17:M17))</f>
        <v>315</v>
      </c>
      <c r="F21" s="2148" t="s">
        <v>3872</v>
      </c>
      <c r="G21" s="2149">
        <f>SUM(H21:O21)</f>
        <v>265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40</v>
      </c>
      <c r="N21" s="2157">
        <f>SUMPRODUCT((七通一平=N20)*(修正!B1:M1=G2)*(修正!B8:M16))</f>
        <v>15</v>
      </c>
      <c r="O21" s="2159">
        <f>SUMPRODUCT((七通一平=O20)*(修正!B1:M1=G2)*(修正!B8:M16))</f>
        <v>0</v>
      </c>
      <c r="P21" s="1989"/>
      <c r="Q21" s="2780"/>
      <c r="R21" s="1116"/>
      <c r="S21" s="1116"/>
      <c r="T21" s="1112"/>
      <c r="U21" s="1112"/>
      <c r="V21" s="1112"/>
      <c r="W21" s="1111"/>
      <c r="X21" s="1111"/>
      <c r="Y21" s="1111"/>
      <c r="Z21" s="1117"/>
      <c r="AA21" s="1117"/>
      <c r="AB21" s="1117"/>
      <c r="AC21" s="1117"/>
      <c r="AD21" s="1117"/>
      <c r="AE21" s="1117"/>
      <c r="AF21" s="1117"/>
      <c r="AG21" s="2780"/>
      <c r="AH21" s="2780"/>
      <c r="AI21" s="2780"/>
      <c r="AJ21" s="2780"/>
    </row>
    <row r="22" spans="1:37" s="2006" customFormat="1" ht="15.75" thickBot="1">
      <c r="A22" s="2150" t="s">
        <v>363</v>
      </c>
      <c r="B22" s="2151" t="s">
        <v>2000</v>
      </c>
      <c r="C22" s="2152">
        <f>SUMIF(修正!C20:C51,E3,修正!E20:E51)</f>
        <v>0.8</v>
      </c>
      <c r="D22" s="2153"/>
      <c r="E22" s="2154"/>
      <c r="F22" s="2154"/>
      <c r="G22" s="2154"/>
      <c r="H22" s="2154"/>
      <c r="I22" s="2154"/>
      <c r="J22" s="2155"/>
      <c r="K22" s="1117"/>
      <c r="L22" s="2780"/>
      <c r="M22" s="2780"/>
      <c r="N22" s="2780"/>
      <c r="O22" s="1115"/>
      <c r="P22" s="1115"/>
      <c r="Q22" s="2780"/>
      <c r="R22" s="1116"/>
      <c r="S22" s="1116"/>
      <c r="T22" s="1112"/>
      <c r="U22" s="1112"/>
      <c r="V22" s="1112"/>
      <c r="W22" s="1111"/>
      <c r="X22" s="1111"/>
      <c r="Y22" s="1111"/>
      <c r="Z22" s="1117"/>
      <c r="AA22" s="1117"/>
      <c r="AB22" s="1117"/>
      <c r="AC22" s="1117"/>
      <c r="AD22" s="1117"/>
      <c r="AE22" s="1117"/>
      <c r="AF22" s="1117"/>
      <c r="AG22" s="2780"/>
      <c r="AH22" s="2780"/>
      <c r="AI22" s="2780"/>
      <c r="AJ22" s="2780"/>
    </row>
    <row r="23" spans="1:37" ht="26.25" thickBot="1">
      <c r="A23" s="2042" t="s">
        <v>364</v>
      </c>
      <c r="B23" s="2043" t="s">
        <v>2001</v>
      </c>
      <c r="C23" s="7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6" t="s">
        <v>2002</v>
      </c>
      <c r="E23" s="753">
        <v>44197</v>
      </c>
      <c r="F23" s="2046" t="s">
        <v>2003</v>
      </c>
      <c r="G23" s="754">
        <f>'数据-取费表'!B2</f>
        <v>45401</v>
      </c>
      <c r="H23" s="3335" t="s">
        <v>3260</v>
      </c>
      <c r="I23" s="3336" t="str">
        <f>IF(H23="季度增幅（自定义）",SUMIF(N25:N28,E2,O25:O28),"")</f>
        <v/>
      </c>
      <c r="J23" s="3438" t="s">
        <v>3259</v>
      </c>
      <c r="K23" s="1117"/>
      <c r="L23" s="2047" t="s">
        <v>2004</v>
      </c>
      <c r="M23" s="1320">
        <f>ROUND(SUMIF(地价!B2:G2,E2,地价!B16:G16),0)</f>
        <v>0</v>
      </c>
      <c r="N23" s="2048" t="s">
        <v>2005</v>
      </c>
      <c r="O23" s="755">
        <f>ROUNDDOWN(DATEDIF(E23,G23,"M")/3,0)</f>
        <v>13</v>
      </c>
      <c r="P23" s="1114"/>
      <c r="Q23" s="2780"/>
      <c r="R23" s="1116"/>
      <c r="S23" s="1116"/>
      <c r="T23" s="1112"/>
      <c r="U23" s="1112"/>
      <c r="V23" s="1112"/>
      <c r="W23" s="1111"/>
      <c r="X23" s="1111"/>
      <c r="Y23" s="1111"/>
      <c r="Z23" s="1117"/>
      <c r="AA23" s="1117"/>
      <c r="AB23" s="1117"/>
      <c r="AC23" s="1117"/>
      <c r="AD23" s="1117"/>
      <c r="AE23" s="1112"/>
      <c r="AF23" s="1112"/>
      <c r="AG23" s="2133"/>
      <c r="AH23" s="2133"/>
      <c r="AI23" s="2133"/>
      <c r="AJ23" s="2133"/>
      <c r="AK23" s="2045"/>
    </row>
    <row r="24" spans="1:37" s="2006" customFormat="1" ht="24.75" thickBot="1">
      <c r="A24" s="2050" t="s">
        <v>365</v>
      </c>
      <c r="B24" s="2051" t="s">
        <v>2006</v>
      </c>
      <c r="C24" s="756">
        <f>ROUND(POWER(1+G24,J24-I24)*(POWER(1+G24,I24)-1)/(POWER(1+G24,J24)-1),4)</f>
        <v>0.95750000000000002</v>
      </c>
      <c r="D24" s="2052" t="s">
        <v>2007</v>
      </c>
      <c r="E24" s="1327">
        <f>存贷款利率!E24/100</f>
        <v>4.3499999999999997E-2</v>
      </c>
      <c r="F24" s="2052" t="s">
        <v>1999</v>
      </c>
      <c r="G24" s="760">
        <f>SUMIF(M30:Q30,E2,M33:Q33)</f>
        <v>0.05</v>
      </c>
      <c r="H24" s="2052" t="s">
        <v>2008</v>
      </c>
      <c r="I24" s="761">
        <f>SUMIF('数据-取费表'!C6:C15,E2,'数据-取费表'!F6:F15)/COUNTIF('数据-取费表'!C6:C15,E2)</f>
        <v>42.46</v>
      </c>
      <c r="J24" s="762">
        <f>IF(E2="住宅",70,IF(E2="商业",40,50))</f>
        <v>50</v>
      </c>
      <c r="K24" s="1117"/>
      <c r="L24" s="2053" t="s">
        <v>2009</v>
      </c>
      <c r="M24" s="1321">
        <f>ROUND(SUMPRODUCT((地价!A4:A16=YEAR(G23)&amp;"-"&amp;ROUNDUP(MONTH(G23)/3,0))*(地价!B2:G2=E2)*(地价!B4:G16)),0)</f>
        <v>0</v>
      </c>
      <c r="N24" s="2054" t="s">
        <v>2010</v>
      </c>
      <c r="O24" s="2055" t="s">
        <v>2011</v>
      </c>
      <c r="P24" s="2056" t="s">
        <v>2012</v>
      </c>
      <c r="Q24" s="1989"/>
      <c r="R24" s="1116"/>
      <c r="S24" s="1116"/>
      <c r="T24" s="1112"/>
      <c r="U24" s="1112"/>
      <c r="V24" s="1112"/>
      <c r="W24" s="1111"/>
      <c r="X24" s="1111"/>
      <c r="Y24" s="1111"/>
      <c r="Z24" s="1117"/>
      <c r="AA24" s="1117"/>
      <c r="AB24" s="1117"/>
      <c r="AC24" s="1117"/>
      <c r="AD24" s="1117"/>
      <c r="AE24" s="1117"/>
      <c r="AF24" s="1117"/>
      <c r="AG24" s="2780"/>
      <c r="AH24" s="2780"/>
      <c r="AI24" s="2780"/>
      <c r="AJ24" s="2780"/>
    </row>
    <row r="25" spans="1:37" ht="15">
      <c r="A25" s="2057" t="s">
        <v>366</v>
      </c>
      <c r="B25" s="2058" t="s">
        <v>3339</v>
      </c>
      <c r="C25" s="763">
        <f>IF(B25="容积率修正",IF(G3&lt;10,D26,J26),C27)</f>
        <v>0.96440000000000003</v>
      </c>
      <c r="D25" s="2059"/>
      <c r="E25" s="2059"/>
      <c r="F25" s="2059"/>
      <c r="G25" s="2059"/>
      <c r="H25" s="2059"/>
      <c r="I25" s="2059"/>
      <c r="J25" s="2060"/>
      <c r="K25" s="1117"/>
      <c r="L25" s="2780"/>
      <c r="M25" s="2780"/>
      <c r="N25" s="2061" t="s">
        <v>2013</v>
      </c>
      <c r="O25" s="1165"/>
      <c r="P25" s="1166">
        <f>SUMPRODUCT((地价!A3:A40=YEAR(G23)&amp;"-"&amp;ROUNDUP(MONTH(G23)/3,0))*(地价!AD2:AH2=N25)*(地价!AD3:AH40))</f>
        <v>0</v>
      </c>
      <c r="Q25" s="2780"/>
      <c r="R25" s="1116"/>
      <c r="S25" s="1116"/>
      <c r="T25" s="1112"/>
      <c r="U25" s="1112"/>
      <c r="V25" s="1112"/>
      <c r="W25" s="1111"/>
      <c r="X25" s="1111"/>
      <c r="Y25" s="1111"/>
      <c r="Z25" s="1117"/>
      <c r="AA25" s="1117"/>
      <c r="AB25" s="1117"/>
      <c r="AC25" s="1117"/>
      <c r="AD25" s="1117"/>
      <c r="AE25" s="1112"/>
      <c r="AF25" s="1112"/>
      <c r="AG25" s="2133"/>
      <c r="AH25" s="2133"/>
      <c r="AI25" s="2133"/>
      <c r="AJ25" s="2133"/>
    </row>
    <row r="26" spans="1:37" ht="14.25">
      <c r="A26" s="1947" t="s">
        <v>2014</v>
      </c>
      <c r="B26" s="2062" t="s">
        <v>2015</v>
      </c>
      <c r="C26" s="3337" t="s">
        <v>3261</v>
      </c>
      <c r="D26" s="1344">
        <f>IF(E26=G26,F26,IF(G3&lt;10,ROUND(F26+(H26-F26)*(G3-E26)/(G26-E26),4),"——"))</f>
        <v>0.96440000000000003</v>
      </c>
      <c r="E26" s="744">
        <f>ROUNDDOWN(G3,1)</f>
        <v>2.2999999999999998</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44">
        <f>ROUNDUP(G3,1)</f>
        <v>2.4</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37" t="s">
        <v>3262</v>
      </c>
      <c r="J26" s="764" t="str">
        <f>IF(G3&gt;=10,D115,"——")</f>
        <v>——</v>
      </c>
      <c r="K26" s="1117"/>
      <c r="L26" s="2780"/>
      <c r="M26" s="2780"/>
      <c r="N26" s="2061" t="s">
        <v>2016</v>
      </c>
      <c r="O26" s="1165"/>
      <c r="P26" s="1166">
        <f>SUMPRODUCT((地价!A3:A40=YEAR(G23)&amp;"-"&amp;ROUNDUP(MONTH(G23)/3,0))*(地价!AD2:AH2=N26)*(地价!AD3:AH40))</f>
        <v>0</v>
      </c>
      <c r="Q26" s="1989"/>
      <c r="R26" s="1116"/>
      <c r="S26" s="1116"/>
      <c r="T26" s="1112"/>
      <c r="U26" s="1112"/>
      <c r="V26" s="1112"/>
      <c r="W26" s="1111"/>
      <c r="X26" s="1111"/>
      <c r="Y26" s="1111"/>
      <c r="Z26" s="1117"/>
      <c r="AA26" s="1117"/>
      <c r="AB26" s="1117"/>
      <c r="AC26" s="1117"/>
      <c r="AD26" s="1117"/>
      <c r="AE26" s="1112"/>
      <c r="AF26" s="1112"/>
      <c r="AG26" s="2133"/>
      <c r="AH26" s="2133"/>
      <c r="AI26" s="2133"/>
      <c r="AJ26" s="2133"/>
    </row>
    <row r="27" spans="1:37" ht="15.75" thickBot="1">
      <c r="A27" s="1947" t="s">
        <v>2017</v>
      </c>
      <c r="B27" s="2063" t="s">
        <v>2018</v>
      </c>
      <c r="C27" s="833">
        <f>ROUND(IF(I3&lt;6,SUMPRODUCT((B106:B110=I3)*(C105:N105=G2)*(C106:N110)),SUMIF(C105:N105,G2,C112:N112)),4)</f>
        <v>0</v>
      </c>
      <c r="D27" s="2038"/>
      <c r="E27" s="2038"/>
      <c r="F27" s="2064"/>
      <c r="G27" s="2065"/>
      <c r="H27" s="2066"/>
      <c r="I27" s="2067"/>
      <c r="J27" s="2068"/>
      <c r="K27" s="1111"/>
      <c r="L27" s="1989"/>
      <c r="M27" s="1989"/>
      <c r="N27" s="2061" t="s">
        <v>2019</v>
      </c>
      <c r="O27" s="1165"/>
      <c r="P27" s="1166">
        <f>SUMPRODUCT((地价!A3:A40=YEAR(G23)&amp;"-"&amp;ROUNDUP(MONTH(G23)/3,0))*(地价!AD2:AH2=N27)*(地价!AD3:AH40))</f>
        <v>0</v>
      </c>
      <c r="Q27" s="1989"/>
      <c r="R27" s="1116"/>
      <c r="S27" s="1116"/>
      <c r="T27" s="1112"/>
      <c r="U27" s="1112"/>
      <c r="V27" s="1112"/>
      <c r="W27" s="1111"/>
      <c r="X27" s="1111"/>
      <c r="Y27" s="1111"/>
      <c r="Z27" s="1117"/>
      <c r="AA27" s="1117"/>
      <c r="AB27" s="1117"/>
      <c r="AC27" s="1117"/>
      <c r="AD27" s="1117"/>
      <c r="AE27" s="1112"/>
      <c r="AF27" s="1112"/>
      <c r="AG27" s="2133"/>
      <c r="AH27" s="2133"/>
      <c r="AI27" s="2133"/>
      <c r="AJ27" s="2133"/>
    </row>
    <row r="28" spans="1:37" ht="15.75" thickBot="1">
      <c r="A28" s="2050" t="s">
        <v>367</v>
      </c>
      <c r="B28" s="2043" t="s">
        <v>2020</v>
      </c>
      <c r="C28" s="752">
        <f>SUMIF(A47:A101,E2,B47:B101)</f>
        <v>1.0435000000000001</v>
      </c>
      <c r="D28" s="2044"/>
      <c r="E28" s="2069"/>
      <c r="F28" s="2069"/>
      <c r="G28" s="2069"/>
      <c r="H28" s="2069"/>
      <c r="I28" s="2069"/>
      <c r="J28" s="2070"/>
      <c r="K28" s="1117"/>
      <c r="L28" s="2780"/>
      <c r="M28" s="2780"/>
      <c r="N28" s="2071"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3"/>
      <c r="AH28" s="2133"/>
      <c r="AI28" s="2133"/>
      <c r="AJ28" s="2133"/>
    </row>
    <row r="29" spans="1:37" ht="15.75" thickBot="1">
      <c r="A29" s="2050" t="s">
        <v>368</v>
      </c>
      <c r="B29" s="2072" t="s">
        <v>2022</v>
      </c>
      <c r="C29" s="757"/>
      <c r="D29" s="2016"/>
      <c r="E29" s="2016"/>
      <c r="F29" s="2073"/>
      <c r="G29" s="2016"/>
      <c r="H29" s="2016"/>
      <c r="I29" s="2016"/>
      <c r="J29" s="2017"/>
      <c r="K29" s="1111"/>
      <c r="L29" s="1989"/>
      <c r="M29" s="1989"/>
      <c r="N29" s="2777" t="s">
        <v>2023</v>
      </c>
      <c r="O29" s="2778"/>
      <c r="P29" s="2779">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9"/>
      <c r="AH29" s="1989"/>
      <c r="AI29" s="1989"/>
      <c r="AJ29" s="1989"/>
    </row>
    <row r="30" spans="1:37" ht="15">
      <c r="A30" s="2074"/>
      <c r="B30" s="2062" t="s">
        <v>2024</v>
      </c>
      <c r="C30" s="2313">
        <f>IF(B25="容积率修正",E33+SUM(E37:E42),SUM(V2:V16)+SUM(E37:E42))</f>
        <v>5905</v>
      </c>
      <c r="D30" s="2075"/>
      <c r="E30" s="2038"/>
      <c r="F30" s="2076"/>
      <c r="G30" s="2038"/>
      <c r="H30" s="2038"/>
      <c r="I30" s="2038"/>
      <c r="J30" s="2077"/>
      <c r="K30" s="1111"/>
      <c r="L30" s="3343" t="s">
        <v>1936</v>
      </c>
      <c r="M30" s="3344" t="s">
        <v>1990</v>
      </c>
      <c r="N30" s="3344" t="s">
        <v>1991</v>
      </c>
      <c r="O30" s="3344" t="s">
        <v>1992</v>
      </c>
      <c r="P30" s="3344" t="s">
        <v>1993</v>
      </c>
      <c r="Q30" s="3347" t="s">
        <v>3266</v>
      </c>
      <c r="R30" s="1116"/>
      <c r="S30" s="1116"/>
      <c r="T30" s="1112"/>
      <c r="U30" s="1112"/>
      <c r="V30" s="1112"/>
      <c r="W30" s="1111"/>
      <c r="X30" s="1111"/>
      <c r="Y30" s="1111"/>
      <c r="Z30" s="1117"/>
      <c r="AA30" s="1117"/>
      <c r="AB30" s="1117"/>
      <c r="AC30" s="1117"/>
      <c r="AD30" s="1117"/>
      <c r="AE30" s="1111"/>
      <c r="AF30" s="1111"/>
      <c r="AG30" s="1989"/>
      <c r="AH30" s="1989"/>
      <c r="AI30" s="1989"/>
      <c r="AJ30" s="1989"/>
    </row>
    <row r="31" spans="1:37" ht="15.75" thickBot="1">
      <c r="A31" s="2074"/>
      <c r="B31" s="2078" t="s">
        <v>2025</v>
      </c>
      <c r="C31" s="758">
        <f>E34+SUM(I37:I42)</f>
        <v>1477</v>
      </c>
      <c r="D31" s="2079"/>
      <c r="E31" s="2080"/>
      <c r="F31" s="2081"/>
      <c r="G31" s="2080"/>
      <c r="H31" s="2080"/>
      <c r="I31" s="2080"/>
      <c r="J31" s="2082"/>
      <c r="K31" s="1111"/>
      <c r="L31" s="3345" t="s">
        <v>1996</v>
      </c>
      <c r="M31" s="1992">
        <v>0.25</v>
      </c>
      <c r="N31" s="1992">
        <v>0.2</v>
      </c>
      <c r="O31" s="1992">
        <v>0.15</v>
      </c>
      <c r="P31" s="1992">
        <v>0.1</v>
      </c>
      <c r="Q31" s="3340">
        <v>0.15</v>
      </c>
      <c r="R31" s="1116"/>
      <c r="S31" s="1116"/>
      <c r="T31" s="1112"/>
      <c r="U31" s="1112"/>
      <c r="V31" s="1112"/>
      <c r="W31" s="1111"/>
      <c r="X31" s="1111"/>
      <c r="Y31" s="1111"/>
      <c r="Z31" s="1117"/>
      <c r="AA31" s="1117"/>
      <c r="AB31" s="1117"/>
      <c r="AC31" s="1117"/>
      <c r="AD31" s="1117"/>
      <c r="AE31" s="1111"/>
      <c r="AF31" s="1111"/>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1"/>
      <c r="L32" s="3346" t="s">
        <v>1999</v>
      </c>
      <c r="M32" s="2562">
        <f>ROUND($E$24*(1+M31),3)</f>
        <v>5.3999999999999999E-2</v>
      </c>
      <c r="N32" s="2562">
        <f>ROUND($E$24*(1+N31),3)</f>
        <v>5.1999999999999998E-2</v>
      </c>
      <c r="O32" s="2562">
        <f>ROUND($E$24*(1+O31),3)</f>
        <v>0.05</v>
      </c>
      <c r="P32" s="2562">
        <f>ROUND($E$24*(1+P31),3)</f>
        <v>4.8000000000000001E-2</v>
      </c>
      <c r="Q32" s="3348">
        <f>ROUND($E$24*(1+Q31),3)</f>
        <v>0.05</v>
      </c>
      <c r="R32" s="1116"/>
      <c r="S32" s="1116"/>
      <c r="T32" s="1112"/>
      <c r="U32" s="1112"/>
      <c r="V32" s="1112"/>
      <c r="W32" s="1111"/>
      <c r="X32" s="1111"/>
      <c r="Y32" s="1111"/>
      <c r="Z32" s="1117"/>
      <c r="AA32" s="1117"/>
      <c r="AB32" s="1117"/>
      <c r="AC32" s="1117"/>
      <c r="AD32" s="1117"/>
      <c r="AE32" s="1111"/>
      <c r="AF32" s="1111"/>
      <c r="AG32" s="1989"/>
      <c r="AH32" s="1989"/>
      <c r="AI32" s="1989"/>
      <c r="AJ32" s="1989"/>
    </row>
    <row r="33" spans="1:37" ht="14.25">
      <c r="A33" s="2088"/>
      <c r="B33" s="2089" t="s">
        <v>2030</v>
      </c>
      <c r="C33" s="172">
        <f>ROUND(C5*C22*C23*C24*C25*C28,0)</f>
        <v>7585</v>
      </c>
      <c r="D33" s="2090"/>
      <c r="E33" s="765">
        <f>ROUND(C33*D33/10000,0)</f>
        <v>0</v>
      </c>
      <c r="F33" s="3338" t="s">
        <v>3264</v>
      </c>
      <c r="G33" s="2091"/>
      <c r="H33" s="2091"/>
      <c r="I33" s="2091"/>
      <c r="J33" s="2092"/>
      <c r="K33" s="1111"/>
      <c r="L33" s="3341" t="s">
        <v>3267</v>
      </c>
      <c r="M33" s="3342">
        <v>5.5E-2</v>
      </c>
      <c r="N33" s="3342">
        <v>5.5E-2</v>
      </c>
      <c r="O33" s="3342">
        <v>0.05</v>
      </c>
      <c r="P33" s="3342">
        <v>0.05</v>
      </c>
      <c r="Q33" s="3342">
        <v>0.05</v>
      </c>
      <c r="R33" s="1116"/>
      <c r="S33" s="1116"/>
      <c r="T33" s="1112"/>
      <c r="U33" s="1112"/>
      <c r="V33" s="1112"/>
      <c r="W33" s="1111"/>
      <c r="X33" s="1111"/>
      <c r="Y33" s="1111"/>
      <c r="Z33" s="1117"/>
      <c r="AA33" s="1117"/>
      <c r="AB33" s="1117"/>
      <c r="AC33" s="1117"/>
      <c r="AD33" s="1117"/>
      <c r="AE33" s="1112"/>
      <c r="AF33" s="1112"/>
      <c r="AG33" s="2133"/>
      <c r="AH33" s="2133"/>
      <c r="AI33" s="2133"/>
      <c r="AJ33" s="2133"/>
    </row>
    <row r="34" spans="1:37" ht="25.5" thickBot="1">
      <c r="A34" s="2093"/>
      <c r="B34" s="2094" t="s">
        <v>2031</v>
      </c>
      <c r="C34" s="184">
        <f>ROUND(IF(E2="工业",C33*M42,IF(B25="楼层修正",SUM(V2:V16)*M41*10000/D34,C33*M41)),0)</f>
        <v>1896</v>
      </c>
      <c r="D34" s="2095"/>
      <c r="E34" s="765">
        <f>ROUND(IF(B25="楼层修正",SUM(V2:V16)*M40,C34*D34/10000),0)</f>
        <v>0</v>
      </c>
      <c r="F34" s="2096" t="s">
        <v>2032</v>
      </c>
      <c r="G34" s="2097"/>
      <c r="H34" s="2097"/>
      <c r="I34" s="2097"/>
      <c r="J34" s="2098"/>
      <c r="K34" s="1111"/>
      <c r="L34" s="3341" t="s">
        <v>3268</v>
      </c>
      <c r="M34" s="3342">
        <v>6.5000000000000002E-2</v>
      </c>
      <c r="N34" s="3342">
        <v>6.5000000000000002E-2</v>
      </c>
      <c r="O34" s="3342">
        <v>0.06</v>
      </c>
      <c r="P34" s="3342">
        <v>0.06</v>
      </c>
      <c r="Q34" s="3342">
        <v>0.06</v>
      </c>
      <c r="R34" s="1116"/>
      <c r="S34" s="1116"/>
      <c r="T34" s="1112"/>
      <c r="U34" s="1112"/>
      <c r="V34" s="1112"/>
      <c r="W34" s="1111"/>
      <c r="X34" s="1111"/>
      <c r="Y34" s="1111"/>
      <c r="Z34" s="1117"/>
      <c r="AA34" s="1117"/>
      <c r="AB34" s="1117"/>
      <c r="AC34" s="1117"/>
      <c r="AD34" s="1117"/>
      <c r="AE34" s="1112"/>
      <c r="AF34" s="1112"/>
      <c r="AG34" s="2133"/>
      <c r="AH34" s="2133"/>
      <c r="AI34" s="2133"/>
      <c r="AJ34" s="2133"/>
    </row>
    <row r="35" spans="1:37">
      <c r="A35" s="2099"/>
      <c r="B35" s="2100" t="s">
        <v>2033</v>
      </c>
      <c r="C35" s="3339" t="s">
        <v>3265</v>
      </c>
      <c r="D35" s="2029"/>
      <c r="E35" s="2101"/>
      <c r="F35" s="2101"/>
      <c r="G35" s="2027" t="s">
        <v>2034</v>
      </c>
      <c r="H35" s="2029"/>
      <c r="I35" s="2102"/>
      <c r="J35" s="2030"/>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3"/>
      <c r="AH35" s="2133"/>
      <c r="AI35" s="2133"/>
      <c r="AJ35" s="2133"/>
    </row>
    <row r="36" spans="1:37" ht="24.75" thickBot="1">
      <c r="A36" s="2088"/>
      <c r="B36" s="2103"/>
      <c r="C36" s="447" t="s">
        <v>2027</v>
      </c>
      <c r="D36" s="444" t="s">
        <v>2028</v>
      </c>
      <c r="E36" s="444" t="s">
        <v>2029</v>
      </c>
      <c r="F36" s="339" t="s">
        <v>2035</v>
      </c>
      <c r="G36" s="2104" t="s">
        <v>2027</v>
      </c>
      <c r="H36" s="2104" t="s">
        <v>2028</v>
      </c>
      <c r="I36" s="2104" t="s">
        <v>2029</v>
      </c>
      <c r="J36" s="240"/>
      <c r="K36" s="3349" t="s">
        <v>3269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1"/>
      <c r="S36" s="1111"/>
      <c r="T36" s="1111"/>
      <c r="U36" s="1111"/>
      <c r="V36" s="1111"/>
      <c r="W36" s="1111"/>
      <c r="X36" s="1111"/>
      <c r="Y36" s="1111"/>
      <c r="Z36" s="1112"/>
      <c r="AA36" s="1112"/>
      <c r="AB36" s="1112"/>
      <c r="AC36" s="1112"/>
      <c r="AD36" s="1112"/>
      <c r="AE36" s="1112"/>
      <c r="AF36" s="1112"/>
      <c r="AG36" s="2133"/>
      <c r="AH36" s="2133"/>
      <c r="AI36" s="2133"/>
      <c r="AJ36" s="2133"/>
    </row>
    <row r="37" spans="1:37" ht="24.75" thickBot="1">
      <c r="A37" s="3864"/>
      <c r="B37" s="2105" t="s">
        <v>2036</v>
      </c>
      <c r="C37" s="172">
        <f>ROUND(D5*C22*C23*C24*C28*F37,0)</f>
        <v>4719</v>
      </c>
      <c r="D37" s="2090"/>
      <c r="E37" s="168">
        <f>ROUND(C37*D37/10000,0)</f>
        <v>0</v>
      </c>
      <c r="F37" s="168">
        <f>SUMIF(修正!A57:A68,G2,修正!B57:B68)</f>
        <v>0.6</v>
      </c>
      <c r="G37" s="168">
        <f>ROUND(IF(E2="工业",C37*$M$42,C37*$M$41),0)</f>
        <v>1180</v>
      </c>
      <c r="H37" s="168">
        <f>D37</f>
        <v>0</v>
      </c>
      <c r="I37" s="168">
        <f>ROUND(G37*H37/10000,0)</f>
        <v>0</v>
      </c>
      <c r="J37" s="3004"/>
      <c r="K37" s="3351" t="s">
        <v>3270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1"/>
      <c r="S37" s="1111"/>
      <c r="T37" s="1111"/>
      <c r="U37" s="1111"/>
      <c r="V37" s="1111"/>
      <c r="W37" s="1111"/>
      <c r="X37" s="1111"/>
      <c r="Y37" s="1111"/>
      <c r="Z37" s="1112"/>
      <c r="AA37" s="1112"/>
      <c r="AB37" s="1112"/>
      <c r="AC37" s="1112"/>
      <c r="AD37" s="1112"/>
      <c r="AE37" s="1112"/>
      <c r="AF37" s="1112"/>
      <c r="AG37" s="2133"/>
      <c r="AH37" s="2133"/>
      <c r="AI37" s="2133"/>
      <c r="AJ37" s="2133"/>
    </row>
    <row r="38" spans="1:37">
      <c r="A38" s="3865"/>
      <c r="B38" s="2033" t="s">
        <v>2037</v>
      </c>
      <c r="C38" s="172">
        <f>ROUND(D5*C22*C23*C24*C28*F38,0)</f>
        <v>2360</v>
      </c>
      <c r="D38" s="2090"/>
      <c r="E38" s="168">
        <f t="shared" ref="E38:E42" si="4">ROUND(C38*D38/10000,0)</f>
        <v>0</v>
      </c>
      <c r="F38" s="168">
        <f>SUMIF(修正!A57:A68,G2,修正!C57:C68)</f>
        <v>0.3</v>
      </c>
      <c r="G38" s="168">
        <f>ROUND(IF(E2="工业",C38*$M$42,C38*$M$41),0)</f>
        <v>590</v>
      </c>
      <c r="H38" s="168">
        <f t="shared" ref="H38:H42" si="5">D38</f>
        <v>0</v>
      </c>
      <c r="I38" s="168">
        <f t="shared" ref="I38:I42" si="6">ROUND(G38*H38/10000,0)</f>
        <v>0</v>
      </c>
      <c r="J38" s="3003"/>
      <c r="K38" s="3349">
        <v>5.0000000000000001E-3</v>
      </c>
      <c r="L38" s="3349"/>
      <c r="M38" s="3349"/>
      <c r="N38" s="3349"/>
      <c r="O38" s="3349"/>
      <c r="P38" s="3349"/>
      <c r="Q38" s="3349"/>
      <c r="R38" s="1111"/>
      <c r="S38" s="1111"/>
      <c r="T38" s="1111"/>
      <c r="U38" s="1111"/>
      <c r="V38" s="1111"/>
      <c r="W38" s="1111"/>
      <c r="X38" s="1111"/>
      <c r="Y38" s="1111"/>
      <c r="Z38" s="1112"/>
      <c r="AA38" s="1112"/>
      <c r="AB38" s="1112"/>
      <c r="AC38" s="1112"/>
      <c r="AD38" s="1112"/>
    </row>
    <row r="39" spans="1:37" ht="13.5" thickBot="1">
      <c r="A39" s="3865"/>
      <c r="B39" s="2033" t="s">
        <v>3263</v>
      </c>
      <c r="C39" s="172">
        <f>ROUND(D5*C22*C23*C24*C28*F39,0)</f>
        <v>1966</v>
      </c>
      <c r="D39" s="2090"/>
      <c r="E39" s="168">
        <f t="shared" si="4"/>
        <v>0</v>
      </c>
      <c r="F39" s="168">
        <f>SUMIF(修正!A57:A68,G2,修正!D57:D68)</f>
        <v>0.25</v>
      </c>
      <c r="G39" s="168">
        <f>ROUND(IF(E2="工业",C39*$M$42,C39*$M$41),0)</f>
        <v>492</v>
      </c>
      <c r="H39" s="168">
        <f t="shared" si="5"/>
        <v>0</v>
      </c>
      <c r="I39" s="168">
        <f t="shared" si="6"/>
        <v>0</v>
      </c>
      <c r="J39" s="3003"/>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7"/>
      <c r="B40" s="2033" t="s">
        <v>2038</v>
      </c>
      <c r="C40" s="168">
        <f>ROUND(D5*C22*C23*C24*C28*F40,0)</f>
        <v>1966</v>
      </c>
      <c r="D40" s="2090">
        <f>取值过程!D26</f>
        <v>17122.310000000001</v>
      </c>
      <c r="E40" s="168">
        <f t="shared" si="4"/>
        <v>3366</v>
      </c>
      <c r="F40" s="172">
        <f>SUMIF(修正!A57:A68,G2,修正!E57:E68)</f>
        <v>0.25</v>
      </c>
      <c r="G40" s="168">
        <f>ROUND(IF(E2="工业",C40*$M$42,C40*$M$41),0)</f>
        <v>492</v>
      </c>
      <c r="H40" s="168">
        <f t="shared" si="5"/>
        <v>17122.310000000001</v>
      </c>
      <c r="I40" s="168">
        <f t="shared" si="6"/>
        <v>842</v>
      </c>
      <c r="J40" s="2106"/>
      <c r="L40" s="2108" t="s">
        <v>2039</v>
      </c>
      <c r="M40" s="2109"/>
      <c r="Z40" s="1112"/>
      <c r="AA40" s="1112"/>
      <c r="AB40" s="1112"/>
      <c r="AC40" s="1112"/>
      <c r="AD40" s="1112"/>
      <c r="AE40" s="1112"/>
      <c r="AF40" s="1112"/>
      <c r="AG40" s="1112"/>
      <c r="AH40" s="1112"/>
      <c r="AI40" s="1112"/>
      <c r="AJ40" s="1112"/>
    </row>
    <row r="41" spans="1:37" s="1111" customFormat="1">
      <c r="A41" s="2107"/>
      <c r="B41" s="2033" t="s">
        <v>2040</v>
      </c>
      <c r="C41" s="168">
        <f>ROUND(D5*C22*C23*C44*C28*F41,0)</f>
        <v>1966</v>
      </c>
      <c r="D41" s="2090">
        <f>取值过程!D27</f>
        <v>997.7</v>
      </c>
      <c r="E41" s="168">
        <f t="shared" si="4"/>
        <v>196</v>
      </c>
      <c r="F41" s="172">
        <f>SUMIF(修正!A57:A68,G2,修正!F57:F68)</f>
        <v>0.25</v>
      </c>
      <c r="G41" s="168">
        <f>ROUND(IF(E2="工业",C41*$M$42,C41*$M$41),0)</f>
        <v>492</v>
      </c>
      <c r="H41" s="168">
        <f t="shared" si="5"/>
        <v>997.7</v>
      </c>
      <c r="I41" s="168">
        <f t="shared" si="6"/>
        <v>49</v>
      </c>
      <c r="J41" s="2106"/>
      <c r="L41" s="3352" t="s">
        <v>3271</v>
      </c>
      <c r="M41" s="2110">
        <v>0.25</v>
      </c>
      <c r="Z41" s="1112"/>
      <c r="AA41" s="1112"/>
      <c r="AB41" s="1112"/>
      <c r="AC41" s="1112"/>
      <c r="AD41" s="1112"/>
      <c r="AE41" s="1112"/>
      <c r="AF41" s="1112"/>
      <c r="AG41" s="1112"/>
      <c r="AH41" s="1112"/>
      <c r="AI41" s="1112"/>
      <c r="AJ41" s="1112"/>
    </row>
    <row r="42" spans="1:37" s="1111" customFormat="1" ht="13.5" thickBot="1">
      <c r="A42" s="2093"/>
      <c r="B42" s="2111" t="s">
        <v>2041</v>
      </c>
      <c r="C42" s="184">
        <f>ROUND(D5*C22*C23*C44*C28*F42,0)</f>
        <v>1180</v>
      </c>
      <c r="D42" s="2095">
        <f>取值过程!D28</f>
        <v>19859.11</v>
      </c>
      <c r="E42" s="184">
        <f t="shared" si="4"/>
        <v>2343</v>
      </c>
      <c r="F42" s="759">
        <f>SUMIF(修正!A57:A68,G2,修正!G57:G68)</f>
        <v>0.15</v>
      </c>
      <c r="G42" s="184">
        <f>ROUND(IF(E2="工业",C42*$M$42,C42*$M$41),0)</f>
        <v>295</v>
      </c>
      <c r="H42" s="184">
        <f t="shared" si="5"/>
        <v>19859.11</v>
      </c>
      <c r="I42" s="184">
        <f t="shared" si="6"/>
        <v>586</v>
      </c>
      <c r="J42" s="2112"/>
      <c r="L42" s="2113" t="s">
        <v>1993</v>
      </c>
      <c r="M42" s="2114">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6" t="s">
        <v>2122</v>
      </c>
      <c r="C44" s="339">
        <f>ROUND(POWER(1+E44,H44-G44)*(POWER(1+E44,G44)-1)/(POWER(1+E44,H44)-1),4)</f>
        <v>0.95750000000000002</v>
      </c>
      <c r="D44" s="168" t="s">
        <v>1999</v>
      </c>
      <c r="E44" s="2145">
        <f>G24</f>
        <v>0.05</v>
      </c>
      <c r="F44" s="168" t="s">
        <v>2008</v>
      </c>
      <c r="G44" s="180">
        <f>项目基本情况!I15</f>
        <v>42.46</v>
      </c>
      <c r="H44" s="168">
        <v>50</v>
      </c>
      <c r="Z44" s="1112"/>
      <c r="AA44" s="1112"/>
      <c r="AB44" s="1112"/>
      <c r="AC44" s="1112"/>
      <c r="AD44" s="1112"/>
      <c r="AE44" s="1112"/>
      <c r="AF44" s="1112"/>
      <c r="AG44" s="1112"/>
      <c r="AH44" s="1112"/>
      <c r="AI44" s="1112"/>
      <c r="AJ44" s="1112"/>
    </row>
    <row r="45" spans="1:37" s="1111" customFormat="1">
      <c r="A45" s="1112"/>
      <c r="B45" s="2115"/>
      <c r="Z45" s="1112"/>
      <c r="AA45" s="1112"/>
      <c r="AB45" s="1112"/>
      <c r="AC45" s="1112"/>
      <c r="AD45" s="1112"/>
      <c r="AE45" s="1112"/>
      <c r="AF45" s="1112"/>
      <c r="AG45" s="1112"/>
      <c r="AH45" s="1112"/>
      <c r="AI45" s="1112"/>
      <c r="AJ45" s="1112"/>
    </row>
    <row r="46" spans="1:37" s="1111" customFormat="1">
      <c r="A46" s="1112"/>
      <c r="B46" s="2115"/>
      <c r="AA46" s="1112"/>
      <c r="AB46" s="1112"/>
      <c r="AC46" s="1112"/>
      <c r="AD46" s="1112"/>
      <c r="AE46" s="1112"/>
      <c r="AF46" s="1112"/>
      <c r="AG46" s="1112"/>
      <c r="AH46" s="1112"/>
      <c r="AI46" s="1112"/>
      <c r="AJ46" s="1112"/>
      <c r="AK46" s="1112"/>
    </row>
    <row r="47" spans="1:37" s="1111" customFormat="1" ht="15.75" thickBot="1">
      <c r="A47" s="2116" t="s">
        <v>2042</v>
      </c>
      <c r="B47" s="2117"/>
      <c r="C47" s="4"/>
      <c r="D47" s="4"/>
      <c r="E47" s="4"/>
      <c r="F47" s="3"/>
      <c r="G47" s="3"/>
      <c r="H47" s="3"/>
      <c r="I47" s="1813"/>
      <c r="J47" s="1813"/>
      <c r="K47" s="1813"/>
      <c r="L47" s="1813"/>
      <c r="M47" s="1813"/>
      <c r="AA47" s="1112"/>
      <c r="AB47" s="1112"/>
      <c r="AC47" s="1112"/>
      <c r="AD47" s="1112"/>
      <c r="AE47" s="1112"/>
      <c r="AF47" s="1112"/>
      <c r="AG47" s="1112"/>
      <c r="AH47" s="1112"/>
      <c r="AI47" s="1112"/>
      <c r="AJ47" s="1112"/>
      <c r="AK47" s="1112"/>
    </row>
    <row r="48" spans="1:37" s="1111" customFormat="1" ht="15">
      <c r="A48" s="2118" t="s">
        <v>2043</v>
      </c>
      <c r="B48" s="2119">
        <f>1+E50</f>
        <v>1</v>
      </c>
      <c r="C48" s="2120"/>
      <c r="D48" s="733"/>
      <c r="E48" s="734"/>
      <c r="F48" s="2121"/>
      <c r="G48" s="3"/>
      <c r="H48" s="4"/>
      <c r="I48" s="1813"/>
      <c r="J48" s="1813"/>
      <c r="K48" s="1813"/>
      <c r="L48" s="1813"/>
      <c r="M48" s="1813"/>
      <c r="AA48" s="1112"/>
      <c r="AB48" s="1112"/>
      <c r="AC48" s="1112"/>
      <c r="AD48" s="1112"/>
      <c r="AE48" s="1112"/>
      <c r="AF48" s="1112"/>
      <c r="AG48" s="1112"/>
      <c r="AH48" s="1112"/>
      <c r="AI48" s="1112"/>
      <c r="AJ48" s="1112"/>
      <c r="AK48" s="1112"/>
    </row>
    <row r="49" spans="1:37" s="1111" customFormat="1" ht="24.75">
      <c r="A49" s="2122" t="s">
        <v>2044</v>
      </c>
      <c r="B49" s="1343" t="s">
        <v>2045</v>
      </c>
      <c r="C49" s="1343" t="s">
        <v>2046</v>
      </c>
      <c r="D49" s="1343" t="s">
        <v>2047</v>
      </c>
      <c r="E49" s="735" t="s">
        <v>2048</v>
      </c>
      <c r="F49" s="2123" t="s">
        <v>2049</v>
      </c>
      <c r="G49" s="1343" t="s">
        <v>310</v>
      </c>
      <c r="H49" s="2124"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22" t="s">
        <v>2052</v>
      </c>
      <c r="B50" s="2125" t="str">
        <f>估价对象房地状况!C4</f>
        <v>估价对象位于XX商圈，周边商业氛围成熟，人流量大，商业繁华度好</v>
      </c>
      <c r="C50" s="2036"/>
      <c r="D50" s="1057">
        <f t="shared" ref="D50:D58" si="7">SUMIF($J$49:$N$49,C50,J50:N50)</f>
        <v>0</v>
      </c>
      <c r="E50" s="736">
        <f>ROUND(SUM(D50:D58),4)</f>
        <v>0</v>
      </c>
      <c r="F50" s="1806" t="str">
        <f>IF(E2="商业",SUMIF(L1:L12,G2,N1:N12),"——")</f>
        <v>——</v>
      </c>
      <c r="G50" s="1055"/>
      <c r="H50" s="1058" t="str">
        <f t="shared" ref="H50:H58" si="8">IFERROR(ROUNDDOWN($F$50*I50/2,4),"——")</f>
        <v>——</v>
      </c>
      <c r="I50" s="3359">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22" t="s">
        <v>2053</v>
      </c>
      <c r="B51" s="2126" t="str">
        <f>估价对象房地状况!C18</f>
        <v>估价对象周边道路状况、公共交通通达情况、停车便捷程度，综合评价交通便捷度较好</v>
      </c>
      <c r="C51" s="2036"/>
      <c r="D51" s="1057">
        <f t="shared" si="7"/>
        <v>0</v>
      </c>
      <c r="E51" s="737"/>
      <c r="F51" s="1806"/>
      <c r="G51" s="1055"/>
      <c r="H51" s="1058" t="str">
        <f t="shared" si="8"/>
        <v>——</v>
      </c>
      <c r="I51" s="3359">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61" t="s">
        <v>3273</v>
      </c>
      <c r="B52" s="2126">
        <f>估价对象房地状况!C19</f>
        <v>0</v>
      </c>
      <c r="C52" s="2036"/>
      <c r="D52" s="1057">
        <f t="shared" si="7"/>
        <v>0</v>
      </c>
      <c r="E52" s="737"/>
      <c r="F52" s="1806"/>
      <c r="G52" s="1055"/>
      <c r="H52" s="1058" t="str">
        <f t="shared" si="8"/>
        <v>——</v>
      </c>
      <c r="I52" s="3359">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22" t="s">
        <v>2054</v>
      </c>
      <c r="B53" s="2127" t="s">
        <v>2055</v>
      </c>
      <c r="C53" s="2036"/>
      <c r="D53" s="1057">
        <f t="shared" si="7"/>
        <v>0</v>
      </c>
      <c r="E53" s="737"/>
      <c r="F53" s="1806"/>
      <c r="G53" s="1055"/>
      <c r="H53" s="1058" t="str">
        <f t="shared" si="8"/>
        <v>——</v>
      </c>
      <c r="I53" s="3359">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22" t="s">
        <v>2056</v>
      </c>
      <c r="B54" s="2126">
        <f>估价对象房地状况!C24</f>
        <v>0</v>
      </c>
      <c r="C54" s="2036"/>
      <c r="D54" s="1057">
        <f t="shared" si="7"/>
        <v>0</v>
      </c>
      <c r="E54" s="737"/>
      <c r="F54" s="1806"/>
      <c r="G54" s="1055"/>
      <c r="H54" s="1058" t="str">
        <f t="shared" si="8"/>
        <v>——</v>
      </c>
      <c r="I54" s="3359">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22" t="s">
        <v>2057</v>
      </c>
      <c r="B55" s="2128" t="s">
        <v>2058</v>
      </c>
      <c r="C55" s="2036"/>
      <c r="D55" s="1057">
        <f t="shared" si="7"/>
        <v>0</v>
      </c>
      <c r="E55" s="737"/>
      <c r="F55" s="1806"/>
      <c r="G55" s="1055"/>
      <c r="H55" s="1058" t="str">
        <f t="shared" si="8"/>
        <v>——</v>
      </c>
      <c r="I55" s="3359">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9" t="s">
        <v>2059</v>
      </c>
      <c r="B56" s="1318" t="str">
        <f>估价对象房地状况!C21</f>
        <v>估价对象所在区域公共配套设施齐备情况</v>
      </c>
      <c r="C56" s="2036"/>
      <c r="D56" s="1057">
        <f t="shared" si="7"/>
        <v>0</v>
      </c>
      <c r="E56" s="737"/>
      <c r="F56" s="1806"/>
      <c r="G56" s="1055"/>
      <c r="H56" s="1058" t="str">
        <f t="shared" si="8"/>
        <v>——</v>
      </c>
      <c r="I56" s="3359">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9" t="s">
        <v>2060</v>
      </c>
      <c r="B57" s="2126" t="str">
        <f>估价对象房地状况!C22</f>
        <v>估价对象所在区域基础设施水平</v>
      </c>
      <c r="C57" s="2036"/>
      <c r="D57" s="1057">
        <f t="shared" si="7"/>
        <v>0</v>
      </c>
      <c r="E57" s="737"/>
      <c r="F57" s="1806"/>
      <c r="G57" s="1055"/>
      <c r="H57" s="1058" t="str">
        <f t="shared" si="8"/>
        <v>——</v>
      </c>
      <c r="I57" s="3359">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30" t="s">
        <v>2061</v>
      </c>
      <c r="B58" s="2131" t="str">
        <f>估价对象房地状况!C20</f>
        <v>区域自然环境：；人文环境；综合评价环境状况一般</v>
      </c>
      <c r="C58" s="2036"/>
      <c r="D58" s="1057">
        <f t="shared" si="7"/>
        <v>0</v>
      </c>
      <c r="E58" s="738"/>
      <c r="F58" s="1806"/>
      <c r="G58" s="1055"/>
      <c r="H58" s="1058" t="str">
        <f t="shared" si="8"/>
        <v>——</v>
      </c>
      <c r="I58" s="3360">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8" t="s">
        <v>2062</v>
      </c>
      <c r="B59" s="2119">
        <f>1+E61</f>
        <v>1</v>
      </c>
      <c r="C59" s="733"/>
      <c r="D59" s="733"/>
      <c r="E59" s="734"/>
      <c r="F59" s="2121"/>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22" t="s">
        <v>2044</v>
      </c>
      <c r="B60" s="1343"/>
      <c r="C60" s="1343" t="s">
        <v>2046</v>
      </c>
      <c r="D60" s="1343" t="s">
        <v>2047</v>
      </c>
      <c r="E60" s="735" t="s">
        <v>2048</v>
      </c>
      <c r="F60" s="2123" t="s">
        <v>2063</v>
      </c>
      <c r="G60" s="1343" t="s">
        <v>310</v>
      </c>
      <c r="H60" s="2124"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22" t="s">
        <v>2064</v>
      </c>
      <c r="B61" s="2125" t="str">
        <f>估价对象房地状况!C17</f>
        <v>估价对象位于XX商圈，周边办公楼项目较多，入驻率高，办公集聚程度较好</v>
      </c>
      <c r="C61" s="2036"/>
      <c r="D61" s="1057">
        <f t="shared" ref="D61:D69" si="12">SUMIF($J$60:$N$60,C61,J61:N61)</f>
        <v>0</v>
      </c>
      <c r="E61" s="736">
        <f>ROUND(SUM(D61:D69),4)</f>
        <v>0</v>
      </c>
      <c r="F61" s="1806" t="str">
        <f>IF(E2="办公",SUMIF(L1:L12,G2,N1:N12),"——")</f>
        <v>——</v>
      </c>
      <c r="G61" s="1055"/>
      <c r="H61" s="1058" t="str">
        <f t="shared" ref="H61:H69" si="13">IFERROR(ROUNDDOWN($F$61*I61/2,4),"——")</f>
        <v>——</v>
      </c>
      <c r="I61" s="3359">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22" t="s">
        <v>2053</v>
      </c>
      <c r="B62" s="2126" t="str">
        <f>估价对象房地状况!C18</f>
        <v>估价对象周边道路状况、公共交通通达情况、停车便捷程度，综合评价交通便捷度较好</v>
      </c>
      <c r="C62" s="2036"/>
      <c r="D62" s="1057">
        <f t="shared" si="12"/>
        <v>0</v>
      </c>
      <c r="E62" s="737"/>
      <c r="F62" s="1806"/>
      <c r="G62" s="1055"/>
      <c r="H62" s="1058" t="str">
        <f t="shared" si="13"/>
        <v>——</v>
      </c>
      <c r="I62" s="3359">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61" t="s">
        <v>3273</v>
      </c>
      <c r="B63" s="2126">
        <f>估价对象房地状况!C19</f>
        <v>0</v>
      </c>
      <c r="C63" s="2036"/>
      <c r="D63" s="1057">
        <f t="shared" si="12"/>
        <v>0</v>
      </c>
      <c r="E63" s="737"/>
      <c r="F63" s="1806"/>
      <c r="G63" s="1055"/>
      <c r="H63" s="1058" t="str">
        <f t="shared" si="13"/>
        <v>——</v>
      </c>
      <c r="I63" s="3359">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22" t="s">
        <v>2054</v>
      </c>
      <c r="B64" s="2127" t="s">
        <v>2055</v>
      </c>
      <c r="C64" s="2036"/>
      <c r="D64" s="1057">
        <f t="shared" si="12"/>
        <v>0</v>
      </c>
      <c r="E64" s="737"/>
      <c r="F64" s="1806"/>
      <c r="G64" s="1055"/>
      <c r="H64" s="1058" t="str">
        <f t="shared" si="13"/>
        <v>——</v>
      </c>
      <c r="I64" s="3359">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22" t="s">
        <v>2056</v>
      </c>
      <c r="B65" s="2126">
        <f>估价对象房地状况!C24</f>
        <v>0</v>
      </c>
      <c r="C65" s="2036"/>
      <c r="D65" s="1057">
        <f t="shared" si="12"/>
        <v>0</v>
      </c>
      <c r="E65" s="737"/>
      <c r="F65" s="1806"/>
      <c r="G65" s="1055"/>
      <c r="H65" s="1058" t="str">
        <f t="shared" si="13"/>
        <v>——</v>
      </c>
      <c r="I65" s="3359">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22" t="s">
        <v>2057</v>
      </c>
      <c r="B66" s="2128" t="s">
        <v>2058</v>
      </c>
      <c r="C66" s="2036"/>
      <c r="D66" s="1057">
        <f t="shared" si="12"/>
        <v>0</v>
      </c>
      <c r="E66" s="737"/>
      <c r="F66" s="1806"/>
      <c r="G66" s="1055"/>
      <c r="H66" s="1058" t="str">
        <f t="shared" si="13"/>
        <v>——</v>
      </c>
      <c r="I66" s="3359">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22" t="s">
        <v>2059</v>
      </c>
      <c r="B67" s="1318" t="str">
        <f>估价对象房地状况!C21</f>
        <v>估价对象所在区域公共配套设施齐备情况</v>
      </c>
      <c r="C67" s="2036"/>
      <c r="D67" s="1057">
        <f t="shared" si="12"/>
        <v>0</v>
      </c>
      <c r="E67" s="737"/>
      <c r="F67" s="1806"/>
      <c r="G67" s="1055"/>
      <c r="H67" s="1058" t="str">
        <f t="shared" si="13"/>
        <v>——</v>
      </c>
      <c r="I67" s="3359">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22" t="s">
        <v>2060</v>
      </c>
      <c r="B68" s="1318" t="str">
        <f>估价对象房地状况!C22</f>
        <v>估价对象所在区域基础设施水平</v>
      </c>
      <c r="C68" s="2036"/>
      <c r="D68" s="1057">
        <f t="shared" si="12"/>
        <v>0</v>
      </c>
      <c r="E68" s="737"/>
      <c r="F68" s="1806"/>
      <c r="G68" s="1055"/>
      <c r="H68" s="1058" t="str">
        <f t="shared" si="13"/>
        <v>——</v>
      </c>
      <c r="I68" s="3359">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30" t="s">
        <v>2061</v>
      </c>
      <c r="B69" s="2132" t="str">
        <f>估价对象房地状况!C20</f>
        <v>区域自然环境：；人文环境；综合评价环境状况一般</v>
      </c>
      <c r="C69" s="2036"/>
      <c r="D69" s="1057">
        <f t="shared" si="12"/>
        <v>0</v>
      </c>
      <c r="E69" s="738"/>
      <c r="F69" s="1806"/>
      <c r="G69" s="1055"/>
      <c r="H69" s="1058" t="str">
        <f t="shared" si="13"/>
        <v>——</v>
      </c>
      <c r="I69" s="3360">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8" t="s">
        <v>2065</v>
      </c>
      <c r="B70" s="2119">
        <f>1+E72</f>
        <v>1</v>
      </c>
      <c r="C70" s="733"/>
      <c r="D70" s="733"/>
      <c r="E70" s="734"/>
      <c r="F70" s="2121"/>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22" t="s">
        <v>2044</v>
      </c>
      <c r="B71" s="1343"/>
      <c r="C71" s="1343" t="s">
        <v>2046</v>
      </c>
      <c r="D71" s="1343" t="s">
        <v>2047</v>
      </c>
      <c r="E71" s="735" t="s">
        <v>2048</v>
      </c>
      <c r="F71" s="2123" t="s">
        <v>2063</v>
      </c>
      <c r="G71" s="1343" t="s">
        <v>310</v>
      </c>
      <c r="H71" s="2124"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22" t="s">
        <v>2066</v>
      </c>
      <c r="B72" s="2125" t="str">
        <f>估价对象房地状况!C15</f>
        <v>估价对象周边居住用地比例、居住小区规模和社区发展完善程度，综合评价居住社区成熟度一般</v>
      </c>
      <c r="C72" s="2036"/>
      <c r="D72" s="1057">
        <f t="shared" ref="D72:D80" si="17">SUMIF($J$71:$N$71,C72,J72:N72)</f>
        <v>0</v>
      </c>
      <c r="E72" s="736">
        <f>ROUND(SUM(D72:D80),4)</f>
        <v>0</v>
      </c>
      <c r="F72" s="1806" t="str">
        <f>IF(E2="住宅",SUMIF(L1:L12,G2,N1:N12),"——")</f>
        <v>——</v>
      </c>
      <c r="G72" s="1055"/>
      <c r="H72" s="1058" t="str">
        <f t="shared" ref="H72:H80" si="18">IFERROR(ROUNDDOWN($F$72*I72/2,4),"——")</f>
        <v>——</v>
      </c>
      <c r="I72" s="3359">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22" t="s">
        <v>2053</v>
      </c>
      <c r="B73" s="2126" t="str">
        <f>估价对象房地状况!C18</f>
        <v>估价对象周边道路状况、公共交通通达情况、停车便捷程度，综合评价交通便捷度较好</v>
      </c>
      <c r="C73" s="2036"/>
      <c r="D73" s="1057">
        <f t="shared" si="17"/>
        <v>0</v>
      </c>
      <c r="E73" s="739"/>
      <c r="F73" s="1806"/>
      <c r="G73" s="1055"/>
      <c r="H73" s="1058" t="str">
        <f t="shared" si="18"/>
        <v>——</v>
      </c>
      <c r="I73" s="3359">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9" customFormat="1" ht="36">
      <c r="A74" s="3361" t="s">
        <v>3273</v>
      </c>
      <c r="B74" s="2126">
        <f>估价对象房地状况!C19</f>
        <v>0</v>
      </c>
      <c r="C74" s="2036"/>
      <c r="D74" s="1057">
        <f t="shared" si="17"/>
        <v>0</v>
      </c>
      <c r="E74" s="739"/>
      <c r="F74" s="1806"/>
      <c r="G74" s="1055"/>
      <c r="H74" s="1058" t="str">
        <f t="shared" si="18"/>
        <v>——</v>
      </c>
      <c r="I74" s="3359">
        <v>0.1</v>
      </c>
      <c r="J74" s="1056">
        <f t="shared" si="19"/>
        <v>0</v>
      </c>
      <c r="K74" s="1056">
        <f t="shared" si="20"/>
        <v>0</v>
      </c>
      <c r="L74" s="1056">
        <v>0</v>
      </c>
      <c r="M74" s="1056">
        <f t="shared" si="21"/>
        <v>0</v>
      </c>
      <c r="N74" s="1056">
        <f t="shared" si="21"/>
        <v>0</v>
      </c>
      <c r="O74" s="1111"/>
      <c r="P74" s="1111"/>
      <c r="Q74" s="1111"/>
      <c r="AA74" s="2133"/>
      <c r="AB74" s="1112"/>
      <c r="AC74" s="1112"/>
      <c r="AD74" s="1112"/>
      <c r="AE74" s="1112"/>
      <c r="AF74" s="1112"/>
      <c r="AG74" s="1112"/>
      <c r="AH74" s="2133"/>
      <c r="AI74" s="2133"/>
      <c r="AJ74" s="2133"/>
      <c r="AK74" s="2133"/>
    </row>
    <row r="75" spans="1:37" ht="14.25">
      <c r="A75" s="2122" t="s">
        <v>2067</v>
      </c>
      <c r="B75" s="2126">
        <f>估价对象房地状况!C24</f>
        <v>0</v>
      </c>
      <c r="C75" s="2036"/>
      <c r="D75" s="1057">
        <f t="shared" si="17"/>
        <v>0</v>
      </c>
      <c r="E75" s="739"/>
      <c r="F75" s="1806"/>
      <c r="G75" s="1055"/>
      <c r="H75" s="1058" t="str">
        <f t="shared" si="18"/>
        <v>——</v>
      </c>
      <c r="I75" s="3359">
        <v>0.05</v>
      </c>
      <c r="J75" s="1056">
        <f t="shared" si="19"/>
        <v>0</v>
      </c>
      <c r="K75" s="1056">
        <f t="shared" si="20"/>
        <v>0</v>
      </c>
      <c r="L75" s="1056">
        <v>0</v>
      </c>
      <c r="M75" s="1056">
        <f t="shared" si="21"/>
        <v>0</v>
      </c>
      <c r="N75" s="1056">
        <f t="shared" si="21"/>
        <v>0</v>
      </c>
      <c r="O75" s="1111"/>
      <c r="P75" s="1111"/>
      <c r="Q75" s="1989"/>
      <c r="Z75" s="1990"/>
      <c r="AA75" s="2045"/>
      <c r="AG75" s="1113"/>
      <c r="AK75" s="2045"/>
    </row>
    <row r="76" spans="1:37" ht="25.5">
      <c r="A76" s="2122" t="s">
        <v>2059</v>
      </c>
      <c r="B76" s="1318" t="str">
        <f>估价对象房地状况!C21</f>
        <v>估价对象所在区域公共配套设施齐备情况</v>
      </c>
      <c r="C76" s="2036"/>
      <c r="D76" s="1057">
        <f t="shared" si="17"/>
        <v>0</v>
      </c>
      <c r="E76" s="739"/>
      <c r="F76" s="1806"/>
      <c r="G76" s="1055"/>
      <c r="H76" s="1058" t="str">
        <f t="shared" si="18"/>
        <v>——</v>
      </c>
      <c r="I76" s="3359">
        <v>0.08</v>
      </c>
      <c r="J76" s="1056">
        <f t="shared" si="19"/>
        <v>0</v>
      </c>
      <c r="K76" s="1056">
        <f t="shared" si="20"/>
        <v>0</v>
      </c>
      <c r="L76" s="1056">
        <v>0</v>
      </c>
      <c r="M76" s="1056">
        <f t="shared" si="21"/>
        <v>0</v>
      </c>
      <c r="N76" s="1056">
        <f t="shared" si="21"/>
        <v>0</v>
      </c>
      <c r="O76" s="1111"/>
      <c r="P76" s="1111"/>
      <c r="Z76" s="1990"/>
      <c r="AA76" s="2045"/>
      <c r="AG76" s="1113"/>
      <c r="AK76" s="2045"/>
    </row>
    <row r="77" spans="1:37" ht="25.5">
      <c r="A77" s="2122" t="s">
        <v>2060</v>
      </c>
      <c r="B77" s="1318" t="str">
        <f>估价对象房地状况!C22</f>
        <v>估价对象所在区域基础设施水平</v>
      </c>
      <c r="C77" s="2036"/>
      <c r="D77" s="1057">
        <f t="shared" si="17"/>
        <v>0</v>
      </c>
      <c r="E77" s="739"/>
      <c r="F77" s="1806"/>
      <c r="G77" s="1055"/>
      <c r="H77" s="1058" t="str">
        <f t="shared" si="18"/>
        <v>——</v>
      </c>
      <c r="I77" s="3359">
        <v>0.09</v>
      </c>
      <c r="J77" s="1056">
        <f t="shared" si="19"/>
        <v>0</v>
      </c>
      <c r="K77" s="1056">
        <f t="shared" si="20"/>
        <v>0</v>
      </c>
      <c r="L77" s="1056">
        <v>0</v>
      </c>
      <c r="M77" s="1056">
        <f t="shared" si="21"/>
        <v>0</v>
      </c>
      <c r="N77" s="1056">
        <f t="shared" si="21"/>
        <v>0</v>
      </c>
      <c r="O77" s="1111"/>
      <c r="P77" s="1111"/>
      <c r="Z77" s="1990"/>
      <c r="AA77" s="2045"/>
      <c r="AG77" s="1113"/>
      <c r="AK77" s="2045"/>
    </row>
    <row r="78" spans="1:37" ht="24">
      <c r="A78" s="2122" t="s">
        <v>2057</v>
      </c>
      <c r="B78" s="2128" t="s">
        <v>2058</v>
      </c>
      <c r="C78" s="2036"/>
      <c r="D78" s="1057">
        <f t="shared" si="17"/>
        <v>0</v>
      </c>
      <c r="E78" s="739"/>
      <c r="F78" s="1806"/>
      <c r="G78" s="1055"/>
      <c r="H78" s="1058" t="str">
        <f t="shared" si="18"/>
        <v>——</v>
      </c>
      <c r="I78" s="3359">
        <v>0.05</v>
      </c>
      <c r="J78" s="1056">
        <f t="shared" si="19"/>
        <v>0</v>
      </c>
      <c r="K78" s="1056">
        <f t="shared" si="20"/>
        <v>0</v>
      </c>
      <c r="L78" s="1056">
        <v>0</v>
      </c>
      <c r="M78" s="1056">
        <f t="shared" si="21"/>
        <v>0</v>
      </c>
      <c r="N78" s="1056">
        <f t="shared" si="21"/>
        <v>0</v>
      </c>
      <c r="O78" s="1989"/>
      <c r="P78" s="1989"/>
      <c r="Z78" s="1990"/>
      <c r="AA78" s="2045"/>
      <c r="AG78" s="1113"/>
      <c r="AK78" s="2045"/>
    </row>
    <row r="79" spans="1:37" ht="25.5">
      <c r="A79" s="2122" t="s">
        <v>2061</v>
      </c>
      <c r="B79" s="2125" t="str">
        <f>估价对象房地状况!C20</f>
        <v>区域自然环境：；人文环境；综合评价环境状况一般</v>
      </c>
      <c r="C79" s="2036"/>
      <c r="D79" s="1057">
        <f t="shared" si="17"/>
        <v>0</v>
      </c>
      <c r="E79" s="739"/>
      <c r="F79" s="1806"/>
      <c r="G79" s="1055"/>
      <c r="H79" s="1058" t="str">
        <f t="shared" si="18"/>
        <v>——</v>
      </c>
      <c r="I79" s="3359">
        <v>0.12</v>
      </c>
      <c r="J79" s="1056">
        <f t="shared" si="19"/>
        <v>0</v>
      </c>
      <c r="K79" s="1056">
        <f t="shared" si="20"/>
        <v>0</v>
      </c>
      <c r="L79" s="1056">
        <v>0</v>
      </c>
      <c r="M79" s="1056">
        <f t="shared" si="21"/>
        <v>0</v>
      </c>
      <c r="N79" s="1056">
        <f t="shared" si="21"/>
        <v>0</v>
      </c>
      <c r="Z79" s="1990"/>
      <c r="AA79" s="2045"/>
      <c r="AG79" s="1113"/>
      <c r="AK79" s="2045"/>
    </row>
    <row r="80" spans="1:37" ht="24.75" thickBot="1">
      <c r="A80" s="2130" t="s">
        <v>2068</v>
      </c>
      <c r="B80" s="2134"/>
      <c r="C80" s="2036"/>
      <c r="D80" s="1057">
        <f t="shared" si="17"/>
        <v>0</v>
      </c>
      <c r="E80" s="740"/>
      <c r="F80" s="1806"/>
      <c r="G80" s="1055"/>
      <c r="H80" s="1058" t="str">
        <f t="shared" si="18"/>
        <v>——</v>
      </c>
      <c r="I80" s="3360">
        <v>0.05</v>
      </c>
      <c r="J80" s="1056">
        <f t="shared" si="19"/>
        <v>0</v>
      </c>
      <c r="K80" s="1056">
        <f t="shared" si="20"/>
        <v>0</v>
      </c>
      <c r="L80" s="1056">
        <v>0</v>
      </c>
      <c r="M80" s="1056">
        <f t="shared" si="21"/>
        <v>0</v>
      </c>
      <c r="N80" s="1056">
        <f t="shared" si="21"/>
        <v>0</v>
      </c>
      <c r="Z80" s="1990"/>
      <c r="AA80" s="2045"/>
      <c r="AG80" s="1113"/>
      <c r="AK80" s="2045"/>
    </row>
    <row r="81" spans="1:37" ht="15">
      <c r="A81" s="2118" t="s">
        <v>2069</v>
      </c>
      <c r="B81" s="2119">
        <f>1+E83</f>
        <v>1</v>
      </c>
      <c r="C81" s="733"/>
      <c r="D81" s="733"/>
      <c r="E81" s="734"/>
      <c r="F81" s="2121"/>
      <c r="G81" s="3"/>
      <c r="H81" s="3"/>
      <c r="I81" s="3"/>
      <c r="J81" s="4"/>
      <c r="K81" s="4"/>
      <c r="L81" s="4"/>
      <c r="M81" s="4"/>
      <c r="N81" s="4"/>
      <c r="Z81" s="1990"/>
      <c r="AA81" s="2045"/>
      <c r="AG81" s="1113"/>
      <c r="AK81" s="2045"/>
    </row>
    <row r="82" spans="1:37" ht="24.75">
      <c r="A82" s="2122" t="s">
        <v>2044</v>
      </c>
      <c r="B82" s="1343"/>
      <c r="C82" s="1343" t="s">
        <v>2046</v>
      </c>
      <c r="D82" s="1343" t="s">
        <v>2047</v>
      </c>
      <c r="E82" s="735" t="s">
        <v>2048</v>
      </c>
      <c r="F82" s="2123" t="s">
        <v>2063</v>
      </c>
      <c r="G82" s="1343" t="s">
        <v>310</v>
      </c>
      <c r="H82" s="2124" t="s">
        <v>2050</v>
      </c>
      <c r="I82" s="1343" t="s">
        <v>2051</v>
      </c>
      <c r="J82" s="549" t="s">
        <v>1721</v>
      </c>
      <c r="K82" s="549" t="s">
        <v>1722</v>
      </c>
      <c r="L82" s="549" t="s">
        <v>1723</v>
      </c>
      <c r="M82" s="549" t="s">
        <v>1724</v>
      </c>
      <c r="N82" s="549" t="s">
        <v>1725</v>
      </c>
      <c r="Z82" s="1990"/>
      <c r="AA82" s="2045"/>
      <c r="AG82" s="1113"/>
      <c r="AK82" s="2045"/>
    </row>
    <row r="83" spans="1:37" ht="38.25">
      <c r="A83" s="2122" t="s">
        <v>2070</v>
      </c>
      <c r="B83" s="2126" t="str">
        <f>估价对象房地状况!G15</f>
        <v>估价对象位于XX开发区，园区建设成熟度XX，产业集聚程度XX</v>
      </c>
      <c r="C83" s="2036"/>
      <c r="D83" s="1057">
        <f t="shared" ref="D83:D90" si="22">SUMIF($J$82:$N$82,C83,J83:N83)</f>
        <v>0</v>
      </c>
      <c r="E83" s="736">
        <f>ROUND(SUM(D83:D90),4)</f>
        <v>0</v>
      </c>
      <c r="F83" s="1806" t="str">
        <f>IF(E2="工业",SUMIF(L1:L12,G2,N1:N12),"——")</f>
        <v>——</v>
      </c>
      <c r="G83" s="1055"/>
      <c r="H83" s="1058" t="str">
        <f t="shared" ref="H83:H90" si="23">IFERROR(ROUNDDOWN($F$83*I83/2,4),"——")</f>
        <v>——</v>
      </c>
      <c r="I83" s="3359">
        <v>0.26</v>
      </c>
      <c r="J83" s="1056">
        <f t="shared" ref="J83:J90" si="24">K83+$G83</f>
        <v>0</v>
      </c>
      <c r="K83" s="1056">
        <f t="shared" ref="K83:K90" si="25">$L83+$G83</f>
        <v>0</v>
      </c>
      <c r="L83" s="1056">
        <v>0</v>
      </c>
      <c r="M83" s="1056">
        <f t="shared" ref="M83:N90" si="26">L83-$G83</f>
        <v>0</v>
      </c>
      <c r="N83" s="1056">
        <f t="shared" si="26"/>
        <v>0</v>
      </c>
      <c r="Z83" s="1990"/>
      <c r="AA83" s="2045"/>
      <c r="AG83" s="1113"/>
      <c r="AK83" s="2045"/>
    </row>
    <row r="84" spans="1:37" ht="38.25">
      <c r="A84" s="2122" t="s">
        <v>2053</v>
      </c>
      <c r="B84" s="2126" t="str">
        <f>估价对象房地状况!G16</f>
        <v>估价对象周边道路状况、公共交通通达情况、停车便捷程度，综合评价交通便捷度较好</v>
      </c>
      <c r="C84" s="2036"/>
      <c r="D84" s="1057">
        <f t="shared" si="22"/>
        <v>0</v>
      </c>
      <c r="E84" s="739"/>
      <c r="F84" s="1806"/>
      <c r="G84" s="1055"/>
      <c r="H84" s="1058" t="str">
        <f t="shared" si="23"/>
        <v>——</v>
      </c>
      <c r="I84" s="3359">
        <v>0.3</v>
      </c>
      <c r="J84" s="1056">
        <f t="shared" si="24"/>
        <v>0</v>
      </c>
      <c r="K84" s="1056">
        <f t="shared" si="25"/>
        <v>0</v>
      </c>
      <c r="L84" s="1056">
        <v>0</v>
      </c>
      <c r="M84" s="1056">
        <f t="shared" si="26"/>
        <v>0</v>
      </c>
      <c r="N84" s="1056">
        <f t="shared" si="26"/>
        <v>0</v>
      </c>
      <c r="Z84" s="1990"/>
      <c r="AA84" s="2045"/>
      <c r="AG84" s="1113"/>
      <c r="AK84" s="2045"/>
    </row>
    <row r="85" spans="1:37" ht="36">
      <c r="A85" s="3361" t="s">
        <v>3274</v>
      </c>
      <c r="B85" s="2126">
        <f>估价对象房地状况!G17</f>
        <v>0</v>
      </c>
      <c r="C85" s="2036"/>
      <c r="D85" s="1057">
        <f t="shared" si="22"/>
        <v>0</v>
      </c>
      <c r="E85" s="739"/>
      <c r="F85" s="1806"/>
      <c r="G85" s="1055"/>
      <c r="H85" s="1058" t="str">
        <f t="shared" si="23"/>
        <v>——</v>
      </c>
      <c r="I85" s="3359">
        <v>0.1</v>
      </c>
      <c r="J85" s="1056">
        <f t="shared" si="24"/>
        <v>0</v>
      </c>
      <c r="K85" s="1056">
        <f t="shared" si="25"/>
        <v>0</v>
      </c>
      <c r="L85" s="1056">
        <v>0</v>
      </c>
      <c r="M85" s="1056">
        <f t="shared" si="26"/>
        <v>0</v>
      </c>
      <c r="N85" s="1056">
        <f t="shared" si="26"/>
        <v>0</v>
      </c>
      <c r="Z85" s="1990"/>
      <c r="AA85" s="2045"/>
      <c r="AG85" s="1113"/>
      <c r="AK85" s="2045"/>
    </row>
    <row r="86" spans="1:37" ht="14.25">
      <c r="A86" s="2122" t="s">
        <v>2067</v>
      </c>
      <c r="B86" s="2126">
        <f>估价对象房地状况!G22</f>
        <v>0</v>
      </c>
      <c r="C86" s="2036"/>
      <c r="D86" s="1057">
        <f t="shared" si="22"/>
        <v>0</v>
      </c>
      <c r="E86" s="739"/>
      <c r="F86" s="1806"/>
      <c r="G86" s="1055"/>
      <c r="H86" s="1058" t="str">
        <f t="shared" si="23"/>
        <v>——</v>
      </c>
      <c r="I86" s="3359">
        <v>0.05</v>
      </c>
      <c r="J86" s="1056">
        <f t="shared" si="24"/>
        <v>0</v>
      </c>
      <c r="K86" s="1056">
        <f t="shared" si="25"/>
        <v>0</v>
      </c>
      <c r="L86" s="1056">
        <v>0</v>
      </c>
      <c r="M86" s="1056">
        <f t="shared" si="26"/>
        <v>0</v>
      </c>
      <c r="N86" s="1056">
        <f t="shared" si="26"/>
        <v>0</v>
      </c>
      <c r="Z86" s="1990"/>
      <c r="AA86" s="2045"/>
      <c r="AG86" s="1113"/>
      <c r="AK86" s="2045"/>
    </row>
    <row r="87" spans="1:37" ht="25.5">
      <c r="A87" s="2122" t="s">
        <v>2059</v>
      </c>
      <c r="B87" s="1318" t="str">
        <f>估价对象房地状况!G19</f>
        <v>估价对象所在区域公共配套设施齐备情况</v>
      </c>
      <c r="C87" s="2036"/>
      <c r="D87" s="1057">
        <f t="shared" si="22"/>
        <v>0</v>
      </c>
      <c r="E87" s="739"/>
      <c r="F87" s="1806"/>
      <c r="G87" s="1055"/>
      <c r="H87" s="1058" t="str">
        <f t="shared" si="23"/>
        <v>——</v>
      </c>
      <c r="I87" s="3359">
        <v>0.06</v>
      </c>
      <c r="J87" s="1056">
        <f t="shared" si="24"/>
        <v>0</v>
      </c>
      <c r="K87" s="1056">
        <f t="shared" si="25"/>
        <v>0</v>
      </c>
      <c r="L87" s="1056">
        <v>0</v>
      </c>
      <c r="M87" s="1056">
        <f t="shared" si="26"/>
        <v>0</v>
      </c>
      <c r="N87" s="1056">
        <f t="shared" si="26"/>
        <v>0</v>
      </c>
    </row>
    <row r="88" spans="1:37" ht="25.5">
      <c r="A88" s="2122" t="s">
        <v>2060</v>
      </c>
      <c r="B88" s="1318" t="str">
        <f>估价对象房地状况!G20</f>
        <v>估价对象所在区域基础设施水平</v>
      </c>
      <c r="C88" s="2036"/>
      <c r="D88" s="1057">
        <f t="shared" si="22"/>
        <v>0</v>
      </c>
      <c r="E88" s="739"/>
      <c r="F88" s="1806"/>
      <c r="G88" s="1055"/>
      <c r="H88" s="1058" t="str">
        <f t="shared" si="23"/>
        <v>——</v>
      </c>
      <c r="I88" s="3359">
        <v>0.12</v>
      </c>
      <c r="J88" s="1056">
        <f t="shared" si="24"/>
        <v>0</v>
      </c>
      <c r="K88" s="1056">
        <f t="shared" si="25"/>
        <v>0</v>
      </c>
      <c r="L88" s="1056">
        <v>0</v>
      </c>
      <c r="M88" s="1056">
        <f t="shared" si="26"/>
        <v>0</v>
      </c>
      <c r="N88" s="1056">
        <f t="shared" si="26"/>
        <v>0</v>
      </c>
    </row>
    <row r="89" spans="1:37" ht="24">
      <c r="A89" s="2122" t="s">
        <v>2057</v>
      </c>
      <c r="B89" s="2128" t="s">
        <v>2071</v>
      </c>
      <c r="C89" s="2036"/>
      <c r="D89" s="1057">
        <f t="shared" si="22"/>
        <v>0</v>
      </c>
      <c r="E89" s="739"/>
      <c r="F89" s="1806"/>
      <c r="G89" s="1055"/>
      <c r="H89" s="1058" t="str">
        <f t="shared" si="23"/>
        <v>——</v>
      </c>
      <c r="I89" s="3359">
        <v>0.06</v>
      </c>
      <c r="J89" s="1056">
        <f t="shared" si="24"/>
        <v>0</v>
      </c>
      <c r="K89" s="1056">
        <f t="shared" si="25"/>
        <v>0</v>
      </c>
      <c r="L89" s="1056">
        <v>0</v>
      </c>
      <c r="M89" s="1056">
        <f t="shared" si="26"/>
        <v>0</v>
      </c>
      <c r="N89" s="1056">
        <f t="shared" si="26"/>
        <v>0</v>
      </c>
    </row>
    <row r="90" spans="1:37" ht="39" thickBot="1">
      <c r="A90" s="2130" t="s">
        <v>2072</v>
      </c>
      <c r="B90" s="2135" t="str">
        <f>估价对象房地状况!G18</f>
        <v>该园区内是否有污染型企业，绿化情况，卫生条件，整体环境状况判断</v>
      </c>
      <c r="C90" s="2036"/>
      <c r="D90" s="1057">
        <f t="shared" si="22"/>
        <v>0</v>
      </c>
      <c r="E90" s="740"/>
      <c r="F90" s="1806"/>
      <c r="G90" s="1055"/>
      <c r="H90" s="1058" t="str">
        <f t="shared" si="23"/>
        <v>——</v>
      </c>
      <c r="I90" s="3360">
        <v>0.05</v>
      </c>
      <c r="J90" s="1056">
        <f t="shared" si="24"/>
        <v>0</v>
      </c>
      <c r="K90" s="1056">
        <f t="shared" si="25"/>
        <v>0</v>
      </c>
      <c r="L90" s="1056">
        <v>0</v>
      </c>
      <c r="M90" s="1056">
        <f t="shared" si="26"/>
        <v>0</v>
      </c>
      <c r="N90" s="1056">
        <f t="shared" si="26"/>
        <v>0</v>
      </c>
    </row>
    <row r="91" spans="1:37" ht="15">
      <c r="A91" s="3369" t="s">
        <v>2616</v>
      </c>
      <c r="B91" s="3370">
        <f>1+E93</f>
        <v>1.0435000000000001</v>
      </c>
      <c r="C91" s="3363"/>
      <c r="D91" s="3364"/>
      <c r="E91" s="1806"/>
      <c r="F91" s="1806"/>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298"/>
      <c r="C93" s="2036" t="s">
        <v>3540</v>
      </c>
      <c r="D93" s="3358">
        <f>SUMIF($J$92:$N$92,C93,J93:N93)</f>
        <v>1.2500000000000001E-2</v>
      </c>
      <c r="E93" s="3374">
        <f>ROUND(SUM(D93:D101),4)</f>
        <v>4.3499999999999997E-2</v>
      </c>
      <c r="F93" s="1806">
        <f>IF(E2="公共服务",SUMIF(L1:L12,G2,N1:N12),"——")</f>
        <v>0.1</v>
      </c>
      <c r="G93" s="3365">
        <v>1.2500000000000001E-2</v>
      </c>
      <c r="H93" s="3413">
        <f>IFERROR(ROUNDDOWN($F$93*I93/2,4),"——")</f>
        <v>1.2500000000000001E-2</v>
      </c>
      <c r="I93" s="3359">
        <v>0.25</v>
      </c>
      <c r="J93" s="3337">
        <f t="shared" ref="J93:J101" si="27">K93+$G93</f>
        <v>2.5000000000000001E-2</v>
      </c>
      <c r="K93" s="3337">
        <f t="shared" ref="K93:K101" si="28">$L93+$G93</f>
        <v>1.2500000000000001E-2</v>
      </c>
      <c r="L93" s="3337">
        <v>0</v>
      </c>
      <c r="M93" s="3337">
        <f t="shared" ref="M93:N101" si="29">L93-$G93</f>
        <v>-1.2500000000000001E-2</v>
      </c>
      <c r="N93" s="3337">
        <f t="shared" si="29"/>
        <v>-2.5000000000000001E-2</v>
      </c>
    </row>
    <row r="94" spans="1:37" ht="38.25">
      <c r="A94" s="3371" t="s">
        <v>3277</v>
      </c>
      <c r="B94" s="3362" t="str">
        <f>估价对象房地状况!C18</f>
        <v>估价对象周边道路状况、公共交通通达情况、停车便捷程度，综合评价交通便捷度较好</v>
      </c>
      <c r="C94" s="2036" t="s">
        <v>3540</v>
      </c>
      <c r="D94" s="3358">
        <f t="shared" ref="D94:D101" si="30">SUMIF($J$60:$N$60,C94,J94:N94)</f>
        <v>1.2999999999999999E-2</v>
      </c>
      <c r="E94" s="3375"/>
      <c r="F94" s="1806"/>
      <c r="G94" s="3365">
        <v>1.2999999999999999E-2</v>
      </c>
      <c r="H94" s="3413">
        <f>IFERROR(ROUNDDOWN($F$93*I94/2,4),"——")</f>
        <v>1.2999999999999999E-2</v>
      </c>
      <c r="I94" s="3359">
        <v>0.26</v>
      </c>
      <c r="J94" s="3337">
        <f t="shared" si="27"/>
        <v>2.5999999999999999E-2</v>
      </c>
      <c r="K94" s="3337">
        <f t="shared" si="28"/>
        <v>1.2999999999999999E-2</v>
      </c>
      <c r="L94" s="3337">
        <v>0</v>
      </c>
      <c r="M94" s="3337">
        <f t="shared" si="29"/>
        <v>-1.2999999999999999E-2</v>
      </c>
      <c r="N94" s="3337">
        <f t="shared" si="29"/>
        <v>-2.5999999999999999E-2</v>
      </c>
    </row>
    <row r="95" spans="1:37" ht="36">
      <c r="A95" s="3361" t="s">
        <v>3273</v>
      </c>
      <c r="B95" s="3362">
        <f>估价对象房地状况!C19</f>
        <v>0</v>
      </c>
      <c r="C95" s="2036" t="s">
        <v>3540</v>
      </c>
      <c r="D95" s="3358">
        <f t="shared" si="30"/>
        <v>5.4999999999999997E-3</v>
      </c>
      <c r="E95" s="3375"/>
      <c r="F95" s="1806"/>
      <c r="G95" s="3365">
        <v>5.4999999999999997E-3</v>
      </c>
      <c r="H95" s="3413">
        <f t="shared" ref="H95:H101" si="31">IFERROR(ROUNDDOWN($F$93*I95/2,4),"——")</f>
        <v>5.4999999999999997E-3</v>
      </c>
      <c r="I95" s="3359">
        <v>0.11</v>
      </c>
      <c r="J95" s="3337">
        <f t="shared" si="27"/>
        <v>1.0999999999999999E-2</v>
      </c>
      <c r="K95" s="3337">
        <f t="shared" si="28"/>
        <v>5.4999999999999997E-3</v>
      </c>
      <c r="L95" s="3337">
        <v>0</v>
      </c>
      <c r="M95" s="3337">
        <f t="shared" si="29"/>
        <v>-5.4999999999999997E-3</v>
      </c>
      <c r="N95" s="3337">
        <f t="shared" si="29"/>
        <v>-1.0999999999999999E-2</v>
      </c>
    </row>
    <row r="96" spans="1:37" ht="36.75">
      <c r="A96" s="3371" t="s">
        <v>3278</v>
      </c>
      <c r="B96" s="3377" t="s">
        <v>3289</v>
      </c>
      <c r="C96" s="2036" t="s">
        <v>3539</v>
      </c>
      <c r="D96" s="3358">
        <f t="shared" si="30"/>
        <v>0</v>
      </c>
      <c r="E96" s="3375"/>
      <c r="F96" s="1806"/>
      <c r="G96" s="3365">
        <v>2.5000000000000001E-3</v>
      </c>
      <c r="H96" s="3413">
        <f t="shared" si="31"/>
        <v>2.5000000000000001E-3</v>
      </c>
      <c r="I96" s="3359">
        <v>0.05</v>
      </c>
      <c r="J96" s="3337">
        <f t="shared" si="27"/>
        <v>5.0000000000000001E-3</v>
      </c>
      <c r="K96" s="3337">
        <f t="shared" si="28"/>
        <v>2.5000000000000001E-3</v>
      </c>
      <c r="L96" s="3337">
        <v>0</v>
      </c>
      <c r="M96" s="3337">
        <f t="shared" si="29"/>
        <v>-2.5000000000000001E-3</v>
      </c>
      <c r="N96" s="3337">
        <f t="shared" si="29"/>
        <v>-5.0000000000000001E-3</v>
      </c>
    </row>
    <row r="97" spans="1:14" ht="24">
      <c r="A97" s="3371" t="s">
        <v>3279</v>
      </c>
      <c r="B97" s="3362">
        <f>估价对象房地状况!C24</f>
        <v>0</v>
      </c>
      <c r="C97" s="2036" t="s">
        <v>3918</v>
      </c>
      <c r="D97" s="3358">
        <f t="shared" si="30"/>
        <v>-2.5000000000000001E-3</v>
      </c>
      <c r="E97" s="3375"/>
      <c r="F97" s="1806"/>
      <c r="G97" s="3365">
        <v>2.5000000000000001E-3</v>
      </c>
      <c r="H97" s="3413">
        <f t="shared" si="31"/>
        <v>2.5000000000000001E-3</v>
      </c>
      <c r="I97" s="3359">
        <v>0.05</v>
      </c>
      <c r="J97" s="3337">
        <f t="shared" si="27"/>
        <v>5.0000000000000001E-3</v>
      </c>
      <c r="K97" s="3337">
        <f t="shared" si="28"/>
        <v>2.5000000000000001E-3</v>
      </c>
      <c r="L97" s="3337">
        <v>0</v>
      </c>
      <c r="M97" s="3337">
        <f t="shared" si="29"/>
        <v>-2.5000000000000001E-3</v>
      </c>
      <c r="N97" s="3337">
        <f t="shared" si="29"/>
        <v>-5.0000000000000001E-3</v>
      </c>
    </row>
    <row r="98" spans="1:14" ht="24">
      <c r="A98" s="3371" t="s">
        <v>3280</v>
      </c>
      <c r="B98" s="3378" t="s">
        <v>3290</v>
      </c>
      <c r="C98" s="2036" t="s">
        <v>3540</v>
      </c>
      <c r="D98" s="3358">
        <f t="shared" si="30"/>
        <v>3.0000000000000001E-3</v>
      </c>
      <c r="E98" s="3375"/>
      <c r="F98" s="1806"/>
      <c r="G98" s="3365">
        <v>3.0000000000000001E-3</v>
      </c>
      <c r="H98" s="3413">
        <f t="shared" si="31"/>
        <v>3.0000000000000001E-3</v>
      </c>
      <c r="I98" s="3359">
        <v>0.06</v>
      </c>
      <c r="J98" s="3337">
        <f t="shared" si="27"/>
        <v>6.0000000000000001E-3</v>
      </c>
      <c r="K98" s="3337">
        <f t="shared" si="28"/>
        <v>3.0000000000000001E-3</v>
      </c>
      <c r="L98" s="3337">
        <v>0</v>
      </c>
      <c r="M98" s="3337">
        <f t="shared" si="29"/>
        <v>-3.0000000000000001E-3</v>
      </c>
      <c r="N98" s="3337">
        <f t="shared" si="29"/>
        <v>-6.0000000000000001E-3</v>
      </c>
    </row>
    <row r="99" spans="1:14" ht="25.5">
      <c r="A99" s="3371" t="s">
        <v>3281</v>
      </c>
      <c r="B99" s="3362" t="str">
        <f>估价对象房地状况!C21</f>
        <v>估价对象所在区域公共配套设施齐备情况</v>
      </c>
      <c r="C99" s="2036" t="s">
        <v>3540</v>
      </c>
      <c r="D99" s="3358">
        <f t="shared" si="30"/>
        <v>3.0000000000000001E-3</v>
      </c>
      <c r="E99" s="3375"/>
      <c r="F99" s="1806"/>
      <c r="G99" s="3365">
        <v>3.0000000000000001E-3</v>
      </c>
      <c r="H99" s="3413">
        <f t="shared" si="31"/>
        <v>3.0000000000000001E-3</v>
      </c>
      <c r="I99" s="3359">
        <v>0.06</v>
      </c>
      <c r="J99" s="3337">
        <f t="shared" si="27"/>
        <v>6.0000000000000001E-3</v>
      </c>
      <c r="K99" s="3337">
        <f t="shared" si="28"/>
        <v>3.0000000000000001E-3</v>
      </c>
      <c r="L99" s="3337">
        <v>0</v>
      </c>
      <c r="M99" s="3337">
        <f t="shared" si="29"/>
        <v>-3.0000000000000001E-3</v>
      </c>
      <c r="N99" s="3337">
        <f t="shared" si="29"/>
        <v>-6.0000000000000001E-3</v>
      </c>
    </row>
    <row r="100" spans="1:14" ht="25.5">
      <c r="A100" s="3371" t="s">
        <v>3282</v>
      </c>
      <c r="B100" s="3362" t="str">
        <f>估价对象房地状况!C22</f>
        <v>估价对象所在区域基础设施水平</v>
      </c>
      <c r="C100" s="2036" t="s">
        <v>3917</v>
      </c>
      <c r="D100" s="3358">
        <f t="shared" si="30"/>
        <v>8.9999999999999993E-3</v>
      </c>
      <c r="E100" s="3375"/>
      <c r="F100" s="1806"/>
      <c r="G100" s="3365">
        <v>4.4999999999999997E-3</v>
      </c>
      <c r="H100" s="3413">
        <f t="shared" si="31"/>
        <v>4.4999999999999997E-3</v>
      </c>
      <c r="I100" s="3359">
        <v>0.09</v>
      </c>
      <c r="J100" s="3337">
        <f t="shared" si="27"/>
        <v>8.9999999999999993E-3</v>
      </c>
      <c r="K100" s="3337">
        <f t="shared" si="28"/>
        <v>4.4999999999999997E-3</v>
      </c>
      <c r="L100" s="3337">
        <v>0</v>
      </c>
      <c r="M100" s="3337">
        <f t="shared" si="29"/>
        <v>-4.4999999999999997E-3</v>
      </c>
      <c r="N100" s="3337">
        <f t="shared" si="29"/>
        <v>-8.9999999999999993E-3</v>
      </c>
    </row>
    <row r="101" spans="1:14" ht="26.25" thickBot="1">
      <c r="A101" s="3372" t="s">
        <v>3283</v>
      </c>
      <c r="B101" s="3379" t="str">
        <f>估价对象房地状况!C20</f>
        <v>区域自然环境：；人文环境；综合评价环境状况一般</v>
      </c>
      <c r="C101" s="2036" t="s">
        <v>3539</v>
      </c>
      <c r="D101" s="3358">
        <f t="shared" si="30"/>
        <v>0</v>
      </c>
      <c r="E101" s="3376"/>
      <c r="F101" s="1806"/>
      <c r="G101" s="3365">
        <v>3.5000000000000001E-3</v>
      </c>
      <c r="H101" s="3413">
        <f t="shared" si="31"/>
        <v>3.5000000000000001E-3</v>
      </c>
      <c r="I101" s="3360">
        <v>7.0000000000000007E-2</v>
      </c>
      <c r="J101" s="3337">
        <f t="shared" si="27"/>
        <v>7.0000000000000001E-3</v>
      </c>
      <c r="K101" s="3337">
        <f t="shared" si="28"/>
        <v>3.5000000000000001E-3</v>
      </c>
      <c r="L101" s="3337">
        <v>0</v>
      </c>
      <c r="M101" s="3337">
        <f t="shared" si="29"/>
        <v>-3.5000000000000001E-3</v>
      </c>
      <c r="N101" s="3337">
        <f t="shared" si="29"/>
        <v>-7.0000000000000001E-3</v>
      </c>
    </row>
    <row r="103" spans="1:14">
      <c r="A103" s="3862" t="s">
        <v>3298</v>
      </c>
      <c r="B103" s="3862"/>
      <c r="C103" s="3862"/>
      <c r="D103" s="3862"/>
      <c r="E103" s="3862"/>
      <c r="F103" s="3862"/>
      <c r="G103" s="3862"/>
      <c r="H103" s="3862"/>
      <c r="I103" s="3862"/>
      <c r="J103" s="3862"/>
      <c r="K103" s="3382"/>
      <c r="L103" s="3382"/>
      <c r="M103" s="3382"/>
      <c r="N103" s="3382"/>
    </row>
    <row r="104" spans="1:14">
      <c r="A104" s="3863" t="s">
        <v>3299</v>
      </c>
      <c r="B104" s="3863" t="s">
        <v>3300</v>
      </c>
      <c r="C104" s="3383" t="s">
        <v>3301</v>
      </c>
      <c r="D104" s="3384"/>
      <c r="E104" s="3384"/>
      <c r="F104" s="3384"/>
      <c r="G104" s="3384"/>
      <c r="H104" s="3384"/>
      <c r="I104" s="3384"/>
      <c r="J104" s="3385"/>
      <c r="K104" s="3386"/>
      <c r="L104" s="3386"/>
      <c r="M104" s="3386"/>
      <c r="N104" s="3386"/>
    </row>
    <row r="105" spans="1:14">
      <c r="A105" s="3863"/>
      <c r="B105" s="3863"/>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49"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50"/>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50"/>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50"/>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50"/>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50"/>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51"/>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52" t="s">
        <v>3315</v>
      </c>
      <c r="B113" s="3852"/>
      <c r="C113" s="3852"/>
      <c r="D113" s="3852"/>
      <c r="E113" s="3852"/>
      <c r="F113" s="3852"/>
      <c r="G113" s="3852"/>
      <c r="H113" s="3852"/>
      <c r="I113" s="3852"/>
      <c r="J113" s="3852"/>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3316</v>
      </c>
      <c r="B116" s="3408">
        <f>G3</f>
        <v>2.35</v>
      </c>
      <c r="C116" s="3392" t="s">
        <v>3317</v>
      </c>
      <c r="D116" s="3393">
        <f>SUMPRODUCT((A118:A122=F116)*(B117:M117=H116)*B118:M122)</f>
        <v>0.86380000000000001</v>
      </c>
      <c r="E116" s="1992" t="s">
        <v>3318</v>
      </c>
      <c r="F116" s="3394" t="str">
        <f>E2</f>
        <v>公共服务</v>
      </c>
      <c r="G116" s="1992" t="s">
        <v>3319</v>
      </c>
      <c r="H116" s="3394" t="str">
        <f>G2</f>
        <v>五级</v>
      </c>
      <c r="I116" s="1992"/>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0.97099999999999997</v>
      </c>
      <c r="C118" s="3380">
        <f>B118</f>
        <v>0.97099999999999997</v>
      </c>
      <c r="D118" s="3380">
        <f>ROUND(0.949-0.014*B116,4)</f>
        <v>0.91610000000000003</v>
      </c>
      <c r="E118" s="3380">
        <f>D118</f>
        <v>0.91610000000000003</v>
      </c>
      <c r="F118" s="3380">
        <f>E118</f>
        <v>0.91610000000000003</v>
      </c>
      <c r="G118" s="3380">
        <f>F118</f>
        <v>0.91610000000000003</v>
      </c>
      <c r="H118" s="3380">
        <f>G118</f>
        <v>0.91610000000000003</v>
      </c>
      <c r="I118" s="3380">
        <f>ROUND(0.8486-0.018*B116,4)</f>
        <v>0.80630000000000002</v>
      </c>
      <c r="J118" s="3380">
        <f t="shared" ref="J118:M122" si="35">I118</f>
        <v>0.80630000000000002</v>
      </c>
      <c r="K118" s="3380">
        <f t="shared" si="35"/>
        <v>0.80630000000000002</v>
      </c>
      <c r="L118" s="3380">
        <f t="shared" si="35"/>
        <v>0.80630000000000002</v>
      </c>
      <c r="M118" s="3403">
        <f t="shared" si="35"/>
        <v>0.80630000000000002</v>
      </c>
      <c r="N118" s="3390"/>
    </row>
    <row r="119" spans="1:14">
      <c r="A119" s="3402" t="s">
        <v>3333</v>
      </c>
      <c r="B119" s="3380">
        <f>ROUND(0.993-0.0112*B116,4)</f>
        <v>0.9667</v>
      </c>
      <c r="C119" s="3380">
        <f>B119</f>
        <v>0.9667</v>
      </c>
      <c r="D119" s="3380">
        <f>ROUND(0.9415-0.0142*B116,4)</f>
        <v>0.90810000000000002</v>
      </c>
      <c r="E119" s="3380">
        <f t="shared" ref="E119:H120" si="36">D119</f>
        <v>0.90810000000000002</v>
      </c>
      <c r="F119" s="3380">
        <f t="shared" si="36"/>
        <v>0.90810000000000002</v>
      </c>
      <c r="G119" s="3380">
        <f t="shared" si="36"/>
        <v>0.90810000000000002</v>
      </c>
      <c r="H119" s="3380">
        <f t="shared" si="36"/>
        <v>0.90810000000000002</v>
      </c>
      <c r="I119" s="3380">
        <f>ROUND(0.838-0.0182*B116,4)</f>
        <v>0.79520000000000002</v>
      </c>
      <c r="J119" s="3380">
        <f t="shared" si="35"/>
        <v>0.79520000000000002</v>
      </c>
      <c r="K119" s="3380">
        <f t="shared" si="35"/>
        <v>0.79520000000000002</v>
      </c>
      <c r="L119" s="3380">
        <f t="shared" si="35"/>
        <v>0.79520000000000002</v>
      </c>
      <c r="M119" s="3403">
        <f t="shared" si="35"/>
        <v>0.79520000000000002</v>
      </c>
      <c r="N119" s="3390"/>
    </row>
    <row r="120" spans="1:14">
      <c r="A120" s="3402" t="s">
        <v>3334</v>
      </c>
      <c r="B120" s="3380">
        <f>ROUND(0.9448-0.0115*B116,4)</f>
        <v>0.91779999999999995</v>
      </c>
      <c r="C120" s="3380">
        <f>B120</f>
        <v>0.91779999999999995</v>
      </c>
      <c r="D120" s="3380">
        <f>ROUND(0.937-0.0145*B116,4)</f>
        <v>0.90290000000000004</v>
      </c>
      <c r="E120" s="3380">
        <f t="shared" si="36"/>
        <v>0.90290000000000004</v>
      </c>
      <c r="F120" s="3380">
        <f t="shared" si="36"/>
        <v>0.90290000000000004</v>
      </c>
      <c r="G120" s="3380">
        <f t="shared" si="36"/>
        <v>0.90290000000000004</v>
      </c>
      <c r="H120" s="3380">
        <f t="shared" si="36"/>
        <v>0.90290000000000004</v>
      </c>
      <c r="I120" s="3380">
        <f>ROUND(0.7965-0.0185*B116,4)</f>
        <v>0.753</v>
      </c>
      <c r="J120" s="3380">
        <f t="shared" si="35"/>
        <v>0.753</v>
      </c>
      <c r="K120" s="3380">
        <f t="shared" si="35"/>
        <v>0.753</v>
      </c>
      <c r="L120" s="3380">
        <f t="shared" si="35"/>
        <v>0.753</v>
      </c>
      <c r="M120" s="3403">
        <f t="shared" si="35"/>
        <v>0.753</v>
      </c>
      <c r="N120" s="3390"/>
    </row>
    <row r="121" spans="1:14" ht="13.5" thickBot="1">
      <c r="A121" s="3404" t="s">
        <v>3335</v>
      </c>
      <c r="B121" s="3405">
        <f>ROUND(0.7836-0.012*B116,4)</f>
        <v>0.75539999999999996</v>
      </c>
      <c r="C121" s="3405">
        <f>B121</f>
        <v>0.75539999999999996</v>
      </c>
      <c r="D121" s="3405">
        <f>ROUND(0.753-0.015*B116,4)</f>
        <v>0.71779999999999999</v>
      </c>
      <c r="E121" s="3405">
        <f>D121</f>
        <v>0.71779999999999999</v>
      </c>
      <c r="F121" s="3405">
        <f>E121</f>
        <v>0.71779999999999999</v>
      </c>
      <c r="G121" s="3405">
        <f>ROUND(0.6612-0.018*B116,4)</f>
        <v>0.61890000000000001</v>
      </c>
      <c r="H121" s="3405">
        <f>G121</f>
        <v>0.61890000000000001</v>
      </c>
      <c r="I121" s="3405">
        <f>ROUND(0.5905-0.019*B116,4)</f>
        <v>0.54590000000000005</v>
      </c>
      <c r="J121" s="3405">
        <f t="shared" si="35"/>
        <v>0.54590000000000005</v>
      </c>
      <c r="K121" s="3405">
        <f t="shared" si="35"/>
        <v>0.54590000000000005</v>
      </c>
      <c r="L121" s="3405">
        <f t="shared" si="35"/>
        <v>0.54590000000000005</v>
      </c>
      <c r="M121" s="3406">
        <f t="shared" si="35"/>
        <v>0.54590000000000005</v>
      </c>
      <c r="N121" s="3390"/>
    </row>
    <row r="122" spans="1:14">
      <c r="A122" s="3407" t="s">
        <v>2616</v>
      </c>
      <c r="B122" s="3380">
        <f>ROUND(0.9404-0.0106*B116,4)</f>
        <v>0.91549999999999998</v>
      </c>
      <c r="C122" s="3380">
        <f>B122</f>
        <v>0.91549999999999998</v>
      </c>
      <c r="D122" s="3380">
        <f>ROUND(0.8955-0.0135*B116,4)</f>
        <v>0.86380000000000001</v>
      </c>
      <c r="E122" s="3380">
        <f t="shared" ref="E122:H122" si="37">D122</f>
        <v>0.86380000000000001</v>
      </c>
      <c r="F122" s="3380">
        <f t="shared" si="37"/>
        <v>0.86380000000000001</v>
      </c>
      <c r="G122" s="3380">
        <f t="shared" si="37"/>
        <v>0.86380000000000001</v>
      </c>
      <c r="H122" s="3380">
        <f t="shared" si="37"/>
        <v>0.86380000000000001</v>
      </c>
      <c r="I122" s="3380">
        <f>ROUND(0.7632-0.0166*B116,4)</f>
        <v>0.72419999999999995</v>
      </c>
      <c r="J122" s="3380">
        <f t="shared" si="35"/>
        <v>0.72419999999999995</v>
      </c>
      <c r="K122" s="3380">
        <f t="shared" si="35"/>
        <v>0.72419999999999995</v>
      </c>
      <c r="L122" s="3380">
        <f t="shared" si="35"/>
        <v>0.72419999999999995</v>
      </c>
      <c r="M122" s="3403">
        <f t="shared" si="35"/>
        <v>0.72419999999999995</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2598</v>
      </c>
      <c r="B1" s="3064" t="s">
        <v>2599</v>
      </c>
      <c r="C1" s="3064" t="s">
        <v>2600</v>
      </c>
      <c r="D1" s="3064" t="s">
        <v>2601</v>
      </c>
      <c r="E1" s="3064" t="s">
        <v>2602</v>
      </c>
      <c r="F1" s="3064" t="s">
        <v>2603</v>
      </c>
      <c r="G1" s="3064" t="s">
        <v>2604</v>
      </c>
      <c r="H1" s="3064" t="s">
        <v>2605</v>
      </c>
      <c r="I1" s="3064" t="s">
        <v>2606</v>
      </c>
      <c r="J1" s="3064" t="s">
        <v>2607</v>
      </c>
      <c r="K1" s="3064" t="s">
        <v>2608</v>
      </c>
      <c r="L1" s="3064" t="s">
        <v>2609</v>
      </c>
      <c r="M1" s="3065" t="s">
        <v>2610</v>
      </c>
    </row>
    <row r="2" spans="1:13" ht="19.5" customHeight="1">
      <c r="A2" s="3067" t="s">
        <v>2611</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2612</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2613</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2614</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2615</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2616</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2617</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2618</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2619</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2620</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2621</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2622</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2623</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2624</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2625</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2626</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2627</v>
      </c>
      <c r="B18" s="3089"/>
      <c r="C18" s="3090"/>
      <c r="D18" s="3090"/>
      <c r="E18" s="3089"/>
      <c r="F18" s="3090"/>
      <c r="G18" s="3090"/>
    </row>
    <row r="19" spans="1:13" ht="19.5" customHeight="1" thickBot="1">
      <c r="A19" s="3087" t="s">
        <v>2628</v>
      </c>
      <c r="B19" s="3092" t="s">
        <v>2629</v>
      </c>
      <c r="C19" s="3092" t="s">
        <v>2630</v>
      </c>
      <c r="D19" s="3093"/>
      <c r="E19" s="3087" t="s">
        <v>2631</v>
      </c>
      <c r="F19" s="3094"/>
      <c r="G19" s="3094"/>
    </row>
    <row r="20" spans="1:13" ht="19.5" customHeight="1">
      <c r="A20" s="3877" t="s">
        <v>2611</v>
      </c>
      <c r="B20" s="3872" t="s">
        <v>2632</v>
      </c>
      <c r="C20" s="3095" t="s">
        <v>2443</v>
      </c>
      <c r="D20" s="3096"/>
      <c r="E20" s="3097">
        <v>1</v>
      </c>
      <c r="F20" s="3098" t="s">
        <v>2444</v>
      </c>
      <c r="G20" s="3098"/>
    </row>
    <row r="21" spans="1:13" ht="19.5" customHeight="1">
      <c r="A21" s="3878"/>
      <c r="B21" s="3871"/>
      <c r="C21" s="3099" t="s">
        <v>2445</v>
      </c>
      <c r="D21" s="3100"/>
      <c r="E21" s="3101">
        <v>1</v>
      </c>
      <c r="F21" s="3098" t="s">
        <v>2446</v>
      </c>
      <c r="G21" s="3098"/>
    </row>
    <row r="22" spans="1:13" ht="19.5" customHeight="1">
      <c r="A22" s="3878"/>
      <c r="B22" s="3871"/>
      <c r="C22" s="3099" t="s">
        <v>2447</v>
      </c>
      <c r="D22" s="3100"/>
      <c r="E22" s="3101">
        <v>0.9</v>
      </c>
      <c r="F22" s="3098" t="s">
        <v>2448</v>
      </c>
      <c r="G22" s="3098"/>
    </row>
    <row r="23" spans="1:13" ht="19.5" customHeight="1">
      <c r="A23" s="3878"/>
      <c r="B23" s="3871"/>
      <c r="C23" s="3099" t="s">
        <v>2449</v>
      </c>
      <c r="D23" s="3100"/>
      <c r="E23" s="3101">
        <v>0.9</v>
      </c>
      <c r="F23" s="3098" t="s">
        <v>2450</v>
      </c>
      <c r="G23" s="3098"/>
    </row>
    <row r="24" spans="1:13" ht="19.5" customHeight="1">
      <c r="A24" s="3878"/>
      <c r="B24" s="3871"/>
      <c r="C24" s="3099" t="s">
        <v>2451</v>
      </c>
      <c r="D24" s="3100"/>
      <c r="E24" s="3101">
        <v>0.8</v>
      </c>
      <c r="F24" s="3098" t="s">
        <v>2452</v>
      </c>
      <c r="G24" s="3098"/>
    </row>
    <row r="25" spans="1:13" ht="19.5" customHeight="1" thickBot="1">
      <c r="A25" s="3879"/>
      <c r="B25" s="3873"/>
      <c r="C25" s="3102" t="s">
        <v>2453</v>
      </c>
      <c r="D25" s="3103"/>
      <c r="E25" s="3104">
        <v>0.8</v>
      </c>
      <c r="F25" s="3098" t="s">
        <v>2454</v>
      </c>
      <c r="G25" s="3098"/>
    </row>
    <row r="26" spans="1:13" ht="19.5" customHeight="1" thickBot="1">
      <c r="A26" s="3105" t="s">
        <v>2633</v>
      </c>
      <c r="B26" s="3106" t="s">
        <v>2632</v>
      </c>
      <c r="C26" s="3107" t="s">
        <v>2634</v>
      </c>
      <c r="D26" s="3108"/>
      <c r="E26" s="3109">
        <v>1</v>
      </c>
      <c r="F26" s="3098" t="s">
        <v>2455</v>
      </c>
      <c r="G26" s="3098"/>
    </row>
    <row r="27" spans="1:13" ht="19.5" customHeight="1">
      <c r="A27" s="3874" t="s">
        <v>2635</v>
      </c>
      <c r="B27" s="3872" t="s">
        <v>2616</v>
      </c>
      <c r="C27" s="3095" t="s">
        <v>2456</v>
      </c>
      <c r="D27" s="3096"/>
      <c r="E27" s="3097">
        <v>1</v>
      </c>
      <c r="F27" s="3098" t="s">
        <v>2457</v>
      </c>
      <c r="G27" s="3098"/>
    </row>
    <row r="28" spans="1:13" ht="19.5" customHeight="1">
      <c r="A28" s="3875"/>
      <c r="B28" s="3871"/>
      <c r="C28" s="3099" t="s">
        <v>2458</v>
      </c>
      <c r="D28" s="3100"/>
      <c r="E28" s="3101">
        <v>1</v>
      </c>
      <c r="F28" s="3098" t="s">
        <v>2459</v>
      </c>
      <c r="G28" s="3098"/>
    </row>
    <row r="29" spans="1:13" ht="19.5" customHeight="1">
      <c r="A29" s="3875"/>
      <c r="B29" s="3871"/>
      <c r="C29" s="3099" t="s">
        <v>2460</v>
      </c>
      <c r="D29" s="3100"/>
      <c r="E29" s="3101">
        <v>0.8</v>
      </c>
      <c r="F29" s="3098" t="s">
        <v>2461</v>
      </c>
      <c r="G29" s="3098"/>
    </row>
    <row r="30" spans="1:13" ht="19.5" customHeight="1">
      <c r="A30" s="3875"/>
      <c r="B30" s="3871"/>
      <c r="C30" s="3099" t="s">
        <v>2462</v>
      </c>
      <c r="D30" s="3100"/>
      <c r="E30" s="3101">
        <v>0.8</v>
      </c>
      <c r="F30" s="3098" t="s">
        <v>2463</v>
      </c>
      <c r="G30" s="3098"/>
    </row>
    <row r="31" spans="1:13" ht="19.5" customHeight="1">
      <c r="A31" s="3875"/>
      <c r="B31" s="3871"/>
      <c r="C31" s="3099" t="s">
        <v>2464</v>
      </c>
      <c r="D31" s="3100"/>
      <c r="E31" s="3101">
        <v>0.8</v>
      </c>
      <c r="F31" s="3098" t="s">
        <v>2465</v>
      </c>
      <c r="G31" s="3098"/>
    </row>
    <row r="32" spans="1:13" ht="19.5" customHeight="1">
      <c r="A32" s="3875"/>
      <c r="B32" s="3871"/>
      <c r="C32" s="3099" t="s">
        <v>2466</v>
      </c>
      <c r="D32" s="3100"/>
      <c r="E32" s="3101">
        <v>0.7</v>
      </c>
      <c r="F32" s="3098" t="s">
        <v>2467</v>
      </c>
      <c r="G32" s="3098"/>
    </row>
    <row r="33" spans="1:7" ht="19.5" customHeight="1">
      <c r="A33" s="3875"/>
      <c r="B33" s="3871"/>
      <c r="C33" s="3099" t="s">
        <v>2468</v>
      </c>
      <c r="D33" s="3100"/>
      <c r="E33" s="3101">
        <v>0.8</v>
      </c>
      <c r="F33" s="3098" t="s">
        <v>2469</v>
      </c>
      <c r="G33" s="3098"/>
    </row>
    <row r="34" spans="1:7" ht="19.5" customHeight="1">
      <c r="A34" s="3875"/>
      <c r="B34" s="3871"/>
      <c r="C34" s="3099" t="s">
        <v>2470</v>
      </c>
      <c r="D34" s="3100"/>
      <c r="E34" s="3101">
        <v>0.6</v>
      </c>
      <c r="F34" s="3098" t="s">
        <v>2471</v>
      </c>
      <c r="G34" s="3098"/>
    </row>
    <row r="35" spans="1:7" ht="19.5" customHeight="1">
      <c r="A35" s="3875"/>
      <c r="B35" s="3871"/>
      <c r="C35" s="3099" t="s">
        <v>2472</v>
      </c>
      <c r="D35" s="3100"/>
      <c r="E35" s="3101">
        <v>0.2</v>
      </c>
      <c r="F35" s="3098" t="s">
        <v>2473</v>
      </c>
      <c r="G35" s="3098"/>
    </row>
    <row r="36" spans="1:7" ht="19.5" customHeight="1">
      <c r="A36" s="3875"/>
      <c r="B36" s="3871"/>
      <c r="C36" s="3099" t="s">
        <v>2474</v>
      </c>
      <c r="D36" s="3100"/>
      <c r="E36" s="3101">
        <v>0.2</v>
      </c>
      <c r="F36" s="3098" t="s">
        <v>2475</v>
      </c>
      <c r="G36" s="3098"/>
    </row>
    <row r="37" spans="1:7" ht="19.5" customHeight="1">
      <c r="A37" s="3875"/>
      <c r="B37" s="3869" t="s">
        <v>2636</v>
      </c>
      <c r="C37" s="3099" t="s">
        <v>2476</v>
      </c>
      <c r="D37" s="3100"/>
      <c r="E37" s="3101">
        <v>0.6</v>
      </c>
      <c r="F37" s="3098" t="s">
        <v>2477</v>
      </c>
      <c r="G37" s="3098"/>
    </row>
    <row r="38" spans="1:7" ht="19.5" customHeight="1">
      <c r="A38" s="3875"/>
      <c r="B38" s="3871"/>
      <c r="C38" s="3099" t="s">
        <v>2478</v>
      </c>
      <c r="D38" s="3100"/>
      <c r="E38" s="3101">
        <v>0.6</v>
      </c>
      <c r="F38" s="3098" t="s">
        <v>2479</v>
      </c>
      <c r="G38" s="3098"/>
    </row>
    <row r="39" spans="1:7" ht="19.5" customHeight="1" thickBot="1">
      <c r="A39" s="3876"/>
      <c r="B39" s="3873"/>
      <c r="C39" s="3102" t="s">
        <v>2480</v>
      </c>
      <c r="D39" s="3103"/>
      <c r="E39" s="3104">
        <v>0.6</v>
      </c>
      <c r="F39" s="3098" t="s">
        <v>2481</v>
      </c>
      <c r="G39" s="3098"/>
    </row>
    <row r="40" spans="1:7" ht="19.5" customHeight="1" thickBot="1">
      <c r="A40" s="3105" t="s">
        <v>2613</v>
      </c>
      <c r="B40" s="3106" t="s">
        <v>2613</v>
      </c>
      <c r="C40" s="3107" t="s">
        <v>2637</v>
      </c>
      <c r="D40" s="3108"/>
      <c r="E40" s="3109">
        <v>1</v>
      </c>
      <c r="F40" s="3098" t="s">
        <v>2482</v>
      </c>
      <c r="G40" s="3098"/>
    </row>
    <row r="41" spans="1:7" ht="19.5" customHeight="1">
      <c r="A41" s="3877" t="s">
        <v>2614</v>
      </c>
      <c r="B41" s="3872" t="s">
        <v>2638</v>
      </c>
      <c r="C41" s="3095" t="s">
        <v>2483</v>
      </c>
      <c r="D41" s="3096"/>
      <c r="E41" s="3097">
        <v>1</v>
      </c>
      <c r="F41" s="3098" t="s">
        <v>2484</v>
      </c>
      <c r="G41" s="3098"/>
    </row>
    <row r="42" spans="1:7" ht="19.5" customHeight="1">
      <c r="A42" s="3878"/>
      <c r="B42" s="3871"/>
      <c r="C42" s="3099" t="s">
        <v>2485</v>
      </c>
      <c r="D42" s="3100"/>
      <c r="E42" s="3101">
        <v>1</v>
      </c>
      <c r="F42" s="3098" t="s">
        <v>2486</v>
      </c>
      <c r="G42" s="3098"/>
    </row>
    <row r="43" spans="1:7" ht="19.5" customHeight="1">
      <c r="A43" s="3878"/>
      <c r="B43" s="3870"/>
      <c r="C43" s="3099" t="s">
        <v>2487</v>
      </c>
      <c r="D43" s="3100"/>
      <c r="E43" s="3101">
        <v>1.5</v>
      </c>
      <c r="F43" s="3098" t="s">
        <v>2488</v>
      </c>
      <c r="G43" s="3098"/>
    </row>
    <row r="44" spans="1:7" ht="19.5" customHeight="1">
      <c r="A44" s="3878"/>
      <c r="B44" s="3110" t="s">
        <v>2639</v>
      </c>
      <c r="C44" s="3099" t="s">
        <v>2640</v>
      </c>
      <c r="D44" s="3100"/>
      <c r="E44" s="3101">
        <v>2</v>
      </c>
      <c r="F44" s="3098" t="s">
        <v>2489</v>
      </c>
      <c r="G44" s="3098"/>
    </row>
    <row r="45" spans="1:7" ht="19.5" customHeight="1">
      <c r="A45" s="3878"/>
      <c r="B45" s="3869" t="s">
        <v>2641</v>
      </c>
      <c r="C45" s="3099" t="s">
        <v>2490</v>
      </c>
      <c r="D45" s="3100"/>
      <c r="E45" s="3101">
        <v>1</v>
      </c>
      <c r="F45" s="3098" t="s">
        <v>2491</v>
      </c>
      <c r="G45" s="3098"/>
    </row>
    <row r="46" spans="1:7" ht="19.5" customHeight="1">
      <c r="A46" s="3878"/>
      <c r="B46" s="3871"/>
      <c r="C46" s="3099" t="s">
        <v>2492</v>
      </c>
      <c r="D46" s="3100"/>
      <c r="E46" s="3101">
        <v>1</v>
      </c>
      <c r="F46" s="3098" t="s">
        <v>2493</v>
      </c>
      <c r="G46" s="3098"/>
    </row>
    <row r="47" spans="1:7" ht="19.5" customHeight="1">
      <c r="A47" s="3878"/>
      <c r="B47" s="3871"/>
      <c r="C47" s="3099" t="s">
        <v>2494</v>
      </c>
      <c r="D47" s="3100"/>
      <c r="E47" s="3101">
        <v>1</v>
      </c>
      <c r="F47" s="3098" t="s">
        <v>2495</v>
      </c>
      <c r="G47" s="3098"/>
    </row>
    <row r="48" spans="1:7" ht="19.5" customHeight="1">
      <c r="A48" s="3878"/>
      <c r="B48" s="3871"/>
      <c r="C48" s="3099" t="s">
        <v>2496</v>
      </c>
      <c r="D48" s="3100"/>
      <c r="E48" s="3101">
        <v>1</v>
      </c>
      <c r="F48" s="3098" t="s">
        <v>2497</v>
      </c>
      <c r="G48" s="3098"/>
    </row>
    <row r="49" spans="1:7" ht="19.5" customHeight="1">
      <c r="A49" s="3878"/>
      <c r="B49" s="3871"/>
      <c r="C49" s="3099" t="s">
        <v>2498</v>
      </c>
      <c r="D49" s="3100"/>
      <c r="E49" s="3101">
        <v>1</v>
      </c>
      <c r="F49" s="3098" t="s">
        <v>2499</v>
      </c>
      <c r="G49" s="3098"/>
    </row>
    <row r="50" spans="1:7" ht="19.5" customHeight="1">
      <c r="A50" s="3878"/>
      <c r="B50" s="3871"/>
      <c r="C50" s="3099" t="s">
        <v>2500</v>
      </c>
      <c r="D50" s="3100"/>
      <c r="E50" s="3101">
        <v>1</v>
      </c>
      <c r="F50" s="3098" t="s">
        <v>2501</v>
      </c>
      <c r="G50" s="3098"/>
    </row>
    <row r="51" spans="1:7" ht="19.5" customHeight="1" thickBot="1">
      <c r="A51" s="3879"/>
      <c r="B51" s="3873"/>
      <c r="C51" s="3102" t="s">
        <v>2502</v>
      </c>
      <c r="D51" s="3103"/>
      <c r="E51" s="3104">
        <v>1</v>
      </c>
      <c r="F51" s="3098" t="s">
        <v>2503</v>
      </c>
      <c r="G51" s="3098"/>
    </row>
    <row r="52" spans="1:7" ht="19.5" customHeight="1">
      <c r="A52" s="3111"/>
      <c r="B52" s="3111"/>
      <c r="C52" s="3111"/>
      <c r="D52" s="3111"/>
      <c r="E52" s="3111"/>
      <c r="F52" s="3111"/>
      <c r="G52" s="3111"/>
    </row>
    <row r="54" spans="1:7" ht="19.5" customHeight="1">
      <c r="A54" s="3112"/>
      <c r="B54" s="3084" t="s">
        <v>2642</v>
      </c>
      <c r="C54" s="3084" t="s">
        <v>2642</v>
      </c>
      <c r="D54" s="3084" t="s">
        <v>2642</v>
      </c>
      <c r="E54" s="3087" t="s">
        <v>2642</v>
      </c>
      <c r="F54" s="3087" t="s">
        <v>2643</v>
      </c>
      <c r="G54" s="3087" t="s">
        <v>2644</v>
      </c>
    </row>
    <row r="55" spans="1:7" ht="19.5" customHeight="1">
      <c r="A55" s="3113"/>
      <c r="B55" s="3087" t="s">
        <v>2611</v>
      </c>
      <c r="C55" s="3087" t="s">
        <v>2611</v>
      </c>
      <c r="D55" s="3087" t="s">
        <v>2611</v>
      </c>
      <c r="E55" s="3084" t="s">
        <v>2612</v>
      </c>
      <c r="F55" s="3084" t="s">
        <v>2614</v>
      </c>
      <c r="G55" s="3084" t="s">
        <v>2645</v>
      </c>
    </row>
    <row r="56" spans="1:7" ht="19.5" customHeight="1">
      <c r="A56" s="3114"/>
      <c r="B56" s="3084">
        <v>1</v>
      </c>
      <c r="C56" s="3084">
        <v>2</v>
      </c>
      <c r="D56" s="3084">
        <v>3</v>
      </c>
      <c r="E56" s="3115" t="s">
        <v>2646</v>
      </c>
      <c r="F56" s="3115" t="s">
        <v>2646</v>
      </c>
      <c r="G56" s="3115" t="s">
        <v>2646</v>
      </c>
    </row>
    <row r="57" spans="1:7" ht="19.5" customHeight="1">
      <c r="A57" s="3116" t="s">
        <v>2599</v>
      </c>
      <c r="B57" s="3084">
        <v>0.7</v>
      </c>
      <c r="C57" s="3084">
        <v>0.4</v>
      </c>
      <c r="D57" s="3084">
        <v>0.3</v>
      </c>
      <c r="E57" s="3115">
        <v>0.3</v>
      </c>
      <c r="F57" s="3084">
        <v>0.3</v>
      </c>
      <c r="G57" s="3084">
        <v>0.2</v>
      </c>
    </row>
    <row r="58" spans="1:7" ht="19.5" customHeight="1">
      <c r="A58" s="3116" t="s">
        <v>2600</v>
      </c>
      <c r="B58" s="3084">
        <v>0.7</v>
      </c>
      <c r="C58" s="3084">
        <v>0.4</v>
      </c>
      <c r="D58" s="3084">
        <v>0.3</v>
      </c>
      <c r="E58" s="3084">
        <v>0.3</v>
      </c>
      <c r="F58" s="3084">
        <v>0.3</v>
      </c>
      <c r="G58" s="3084">
        <v>0.2</v>
      </c>
    </row>
    <row r="59" spans="1:7" ht="19.5" customHeight="1">
      <c r="A59" s="3116" t="s">
        <v>2601</v>
      </c>
      <c r="B59" s="3084">
        <v>0.6</v>
      </c>
      <c r="C59" s="3084">
        <v>0.3</v>
      </c>
      <c r="D59" s="3084">
        <v>0.25</v>
      </c>
      <c r="E59" s="3084">
        <v>0.25</v>
      </c>
      <c r="F59" s="3084">
        <v>0.25</v>
      </c>
      <c r="G59" s="3084">
        <v>0.15</v>
      </c>
    </row>
    <row r="60" spans="1:7" ht="19.5" customHeight="1">
      <c r="A60" s="3116" t="s">
        <v>2602</v>
      </c>
      <c r="B60" s="3084">
        <v>0.6</v>
      </c>
      <c r="C60" s="3084">
        <v>0.3</v>
      </c>
      <c r="D60" s="3084">
        <v>0.25</v>
      </c>
      <c r="E60" s="3084">
        <v>0.25</v>
      </c>
      <c r="F60" s="3084">
        <v>0.25</v>
      </c>
      <c r="G60" s="3084">
        <v>0.15</v>
      </c>
    </row>
    <row r="61" spans="1:7" ht="19.5" customHeight="1">
      <c r="A61" s="3116" t="s">
        <v>2603</v>
      </c>
      <c r="B61" s="3084">
        <v>0.6</v>
      </c>
      <c r="C61" s="3084">
        <v>0.3</v>
      </c>
      <c r="D61" s="3084">
        <v>0.25</v>
      </c>
      <c r="E61" s="3084">
        <v>0.25</v>
      </c>
      <c r="F61" s="3084">
        <v>0.25</v>
      </c>
      <c r="G61" s="3084">
        <v>0.15</v>
      </c>
    </row>
    <row r="62" spans="1:7" ht="19.5" customHeight="1">
      <c r="A62" s="3116" t="s">
        <v>2604</v>
      </c>
      <c r="B62" s="3084">
        <v>0.6</v>
      </c>
      <c r="C62" s="3084">
        <v>0.3</v>
      </c>
      <c r="D62" s="3084">
        <v>0.25</v>
      </c>
      <c r="E62" s="3084">
        <v>0.25</v>
      </c>
      <c r="F62" s="3084">
        <v>0.25</v>
      </c>
      <c r="G62" s="3084">
        <v>0.15</v>
      </c>
    </row>
    <row r="63" spans="1:7" ht="19.5" customHeight="1">
      <c r="A63" s="3116" t="s">
        <v>2605</v>
      </c>
      <c r="B63" s="3084">
        <v>0.6</v>
      </c>
      <c r="C63" s="3084">
        <v>0.3</v>
      </c>
      <c r="D63" s="3084">
        <v>0.25</v>
      </c>
      <c r="E63" s="3084">
        <v>0.25</v>
      </c>
      <c r="F63" s="3084">
        <v>0.25</v>
      </c>
      <c r="G63" s="3084">
        <v>0.15</v>
      </c>
    </row>
    <row r="64" spans="1:7" ht="19.5" customHeight="1">
      <c r="A64" s="3116" t="s">
        <v>2606</v>
      </c>
      <c r="B64" s="3084">
        <v>0.5</v>
      </c>
      <c r="C64" s="3084">
        <v>0.2</v>
      </c>
      <c r="D64" s="3084">
        <v>0.2</v>
      </c>
      <c r="E64" s="3084">
        <v>0.2</v>
      </c>
      <c r="F64" s="3084">
        <v>0.2</v>
      </c>
      <c r="G64" s="3084">
        <v>0.1</v>
      </c>
    </row>
    <row r="65" spans="1:7" ht="19.5" customHeight="1">
      <c r="A65" s="3116" t="s">
        <v>2607</v>
      </c>
      <c r="B65" s="3084">
        <v>0.5</v>
      </c>
      <c r="C65" s="3084">
        <v>0.2</v>
      </c>
      <c r="D65" s="3084">
        <v>0.2</v>
      </c>
      <c r="E65" s="3084">
        <v>0.2</v>
      </c>
      <c r="F65" s="3084">
        <v>0.2</v>
      </c>
      <c r="G65" s="3084">
        <v>0.1</v>
      </c>
    </row>
    <row r="66" spans="1:7" ht="19.5" customHeight="1">
      <c r="A66" s="3116" t="s">
        <v>2608</v>
      </c>
      <c r="B66" s="3084">
        <v>0.5</v>
      </c>
      <c r="C66" s="3084">
        <v>0.2</v>
      </c>
      <c r="D66" s="3084">
        <v>0.2</v>
      </c>
      <c r="E66" s="3084">
        <v>0.2</v>
      </c>
      <c r="F66" s="3084">
        <v>0.2</v>
      </c>
      <c r="G66" s="3084">
        <v>0.1</v>
      </c>
    </row>
    <row r="67" spans="1:7" ht="19.5" customHeight="1">
      <c r="A67" s="3116" t="s">
        <v>2609</v>
      </c>
      <c r="B67" s="3084">
        <v>0.5</v>
      </c>
      <c r="C67" s="3084">
        <v>0.2</v>
      </c>
      <c r="D67" s="3084">
        <v>0.2</v>
      </c>
      <c r="E67" s="3084">
        <v>0.2</v>
      </c>
      <c r="F67" s="3084">
        <v>0.2</v>
      </c>
      <c r="G67" s="3084">
        <v>0.1</v>
      </c>
    </row>
    <row r="68" spans="1:7" ht="19.5" customHeight="1">
      <c r="A68" s="3116" t="s">
        <v>2610</v>
      </c>
      <c r="B68" s="3084">
        <v>0.5</v>
      </c>
      <c r="C68" s="3084">
        <v>0.2</v>
      </c>
      <c r="D68" s="3084">
        <v>0.2</v>
      </c>
      <c r="E68" s="3084">
        <v>0.2</v>
      </c>
      <c r="F68" s="3084">
        <v>0.2</v>
      </c>
      <c r="G68" s="3084">
        <v>0.1</v>
      </c>
    </row>
    <row r="70" spans="1:7" ht="19.5" customHeight="1">
      <c r="A70" s="3117"/>
      <c r="B70" s="3118"/>
      <c r="C70" s="3118"/>
      <c r="D70" s="3118" t="s">
        <v>2647</v>
      </c>
      <c r="E70" s="3118"/>
      <c r="F70" s="3118"/>
    </row>
    <row r="71" spans="1:7" ht="19.5" customHeight="1">
      <c r="A71" s="3110" t="s">
        <v>2648</v>
      </c>
      <c r="B71" s="3110" t="s">
        <v>2649</v>
      </c>
      <c r="C71" s="3110" t="s">
        <v>2650</v>
      </c>
      <c r="D71" s="3110" t="s">
        <v>2651</v>
      </c>
      <c r="E71" s="3110" t="s">
        <v>2652</v>
      </c>
      <c r="F71" s="3110" t="s">
        <v>2653</v>
      </c>
    </row>
    <row r="72" spans="1:7" ht="13.5">
      <c r="A72" s="3110"/>
      <c r="B72" s="3110"/>
      <c r="C72" s="3110" t="s">
        <v>2654</v>
      </c>
      <c r="D72" s="3110"/>
      <c r="E72" s="3110" t="s">
        <v>2625</v>
      </c>
      <c r="F72" s="3110" t="s">
        <v>2625</v>
      </c>
    </row>
    <row r="73" spans="1:7" ht="13.5">
      <c r="A73" s="3110">
        <v>1</v>
      </c>
      <c r="B73" s="3869" t="s">
        <v>2655</v>
      </c>
      <c r="C73" s="3084" t="s">
        <v>2656</v>
      </c>
      <c r="D73" s="3084" t="s">
        <v>2657</v>
      </c>
      <c r="E73" s="3110">
        <v>0.2</v>
      </c>
      <c r="F73" s="3110">
        <v>25</v>
      </c>
    </row>
    <row r="74" spans="1:7" ht="24">
      <c r="A74" s="3110">
        <v>2</v>
      </c>
      <c r="B74" s="3871"/>
      <c r="C74" s="3084" t="s">
        <v>2658</v>
      </c>
      <c r="D74" s="3084" t="s">
        <v>2659</v>
      </c>
      <c r="E74" s="3110">
        <v>0.2</v>
      </c>
      <c r="F74" s="3110">
        <v>25</v>
      </c>
    </row>
    <row r="75" spans="1:7" ht="24">
      <c r="A75" s="3110">
        <v>3</v>
      </c>
      <c r="B75" s="3871"/>
      <c r="C75" s="3084" t="s">
        <v>2660</v>
      </c>
      <c r="D75" s="3084" t="s">
        <v>2661</v>
      </c>
      <c r="E75" s="3110">
        <v>0.2</v>
      </c>
      <c r="F75" s="3110">
        <v>25</v>
      </c>
    </row>
    <row r="76" spans="1:7" ht="13.5">
      <c r="A76" s="3110">
        <v>4</v>
      </c>
      <c r="B76" s="3871"/>
      <c r="C76" s="3084" t="s">
        <v>2662</v>
      </c>
      <c r="D76" s="3084" t="s">
        <v>2663</v>
      </c>
      <c r="E76" s="3110">
        <v>0.15</v>
      </c>
      <c r="F76" s="3110">
        <v>20</v>
      </c>
    </row>
    <row r="77" spans="1:7" ht="24">
      <c r="A77" s="3110">
        <v>5</v>
      </c>
      <c r="B77" s="3871"/>
      <c r="C77" s="3084" t="s">
        <v>2664</v>
      </c>
      <c r="D77" s="3084" t="s">
        <v>2665</v>
      </c>
      <c r="E77" s="3110">
        <v>0.15</v>
      </c>
      <c r="F77" s="3110">
        <v>20</v>
      </c>
    </row>
    <row r="78" spans="1:7" ht="24">
      <c r="A78" s="3110">
        <v>6</v>
      </c>
      <c r="B78" s="3871"/>
      <c r="C78" s="3084" t="s">
        <v>2666</v>
      </c>
      <c r="D78" s="3084" t="s">
        <v>2667</v>
      </c>
      <c r="E78" s="3110">
        <v>0.15</v>
      </c>
      <c r="F78" s="3110">
        <v>20</v>
      </c>
    </row>
    <row r="79" spans="1:7" ht="24">
      <c r="A79" s="3110">
        <v>7</v>
      </c>
      <c r="B79" s="3871"/>
      <c r="C79" s="3084" t="s">
        <v>2668</v>
      </c>
      <c r="D79" s="3084" t="s">
        <v>2669</v>
      </c>
      <c r="E79" s="3110">
        <v>0.15</v>
      </c>
      <c r="F79" s="3110">
        <v>20</v>
      </c>
    </row>
    <row r="80" spans="1:7" ht="24">
      <c r="A80" s="3110">
        <v>8</v>
      </c>
      <c r="B80" s="3871"/>
      <c r="C80" s="3084" t="s">
        <v>2670</v>
      </c>
      <c r="D80" s="3084" t="s">
        <v>2671</v>
      </c>
      <c r="E80" s="3110">
        <v>0.1</v>
      </c>
      <c r="F80" s="3110">
        <v>15</v>
      </c>
    </row>
    <row r="81" spans="1:6" ht="24">
      <c r="A81" s="3110">
        <v>9</v>
      </c>
      <c r="B81" s="3871"/>
      <c r="C81" s="3084" t="s">
        <v>2672</v>
      </c>
      <c r="D81" s="3084" t="s">
        <v>2673</v>
      </c>
      <c r="E81" s="3110">
        <v>0.1</v>
      </c>
      <c r="F81" s="3110">
        <v>15</v>
      </c>
    </row>
    <row r="82" spans="1:6" ht="24">
      <c r="A82" s="3110">
        <v>10</v>
      </c>
      <c r="B82" s="3871"/>
      <c r="C82" s="3084" t="s">
        <v>2674</v>
      </c>
      <c r="D82" s="3084" t="s">
        <v>2675</v>
      </c>
      <c r="E82" s="3110">
        <v>0.1</v>
      </c>
      <c r="F82" s="3110">
        <v>15</v>
      </c>
    </row>
    <row r="83" spans="1:6" ht="24">
      <c r="A83" s="3110">
        <v>11</v>
      </c>
      <c r="B83" s="3871"/>
      <c r="C83" s="3084" t="s">
        <v>2676</v>
      </c>
      <c r="D83" s="3084" t="s">
        <v>2677</v>
      </c>
      <c r="E83" s="3110">
        <v>0.1</v>
      </c>
      <c r="F83" s="3110">
        <v>15</v>
      </c>
    </row>
    <row r="84" spans="1:6" ht="24">
      <c r="A84" s="3110">
        <v>12</v>
      </c>
      <c r="B84" s="3871"/>
      <c r="C84" s="3084" t="s">
        <v>2678</v>
      </c>
      <c r="D84" s="3084" t="s">
        <v>2679</v>
      </c>
      <c r="E84" s="3110">
        <v>0.1</v>
      </c>
      <c r="F84" s="3110">
        <v>15</v>
      </c>
    </row>
    <row r="85" spans="1:6" ht="13.5">
      <c r="A85" s="3110">
        <v>13</v>
      </c>
      <c r="B85" s="3871"/>
      <c r="C85" s="3084" t="s">
        <v>2680</v>
      </c>
      <c r="D85" s="3084" t="s">
        <v>2681</v>
      </c>
      <c r="E85" s="3110">
        <v>0.1</v>
      </c>
      <c r="F85" s="3110">
        <v>15</v>
      </c>
    </row>
    <row r="86" spans="1:6" ht="13.5">
      <c r="A86" s="3110">
        <v>14</v>
      </c>
      <c r="B86" s="3871"/>
      <c r="C86" s="3084" t="s">
        <v>2682</v>
      </c>
      <c r="D86" s="3084" t="s">
        <v>2683</v>
      </c>
      <c r="E86" s="3110">
        <v>0.1</v>
      </c>
      <c r="F86" s="3110">
        <v>15</v>
      </c>
    </row>
    <row r="87" spans="1:6" ht="13.5">
      <c r="A87" s="3110">
        <v>15</v>
      </c>
      <c r="B87" s="3871"/>
      <c r="C87" s="3084" t="s">
        <v>2684</v>
      </c>
      <c r="D87" s="3084" t="s">
        <v>2685</v>
      </c>
      <c r="E87" s="3110">
        <v>0.1</v>
      </c>
      <c r="F87" s="3110">
        <v>15</v>
      </c>
    </row>
    <row r="88" spans="1:6" ht="24">
      <c r="A88" s="3110">
        <v>16</v>
      </c>
      <c r="B88" s="3871"/>
      <c r="C88" s="3084" t="s">
        <v>2686</v>
      </c>
      <c r="D88" s="3084" t="s">
        <v>2687</v>
      </c>
      <c r="E88" s="3110">
        <v>0.1</v>
      </c>
      <c r="F88" s="3110">
        <v>15</v>
      </c>
    </row>
    <row r="89" spans="1:6" ht="24">
      <c r="A89" s="3110">
        <v>17</v>
      </c>
      <c r="B89" s="3870"/>
      <c r="C89" s="3084" t="s">
        <v>2688</v>
      </c>
      <c r="D89" s="3084" t="s">
        <v>2689</v>
      </c>
      <c r="E89" s="3110">
        <v>0.1</v>
      </c>
      <c r="F89" s="3110">
        <v>15</v>
      </c>
    </row>
    <row r="90" spans="1:6" ht="13.5">
      <c r="A90" s="3110">
        <v>18</v>
      </c>
      <c r="B90" s="3869" t="s">
        <v>2690</v>
      </c>
      <c r="C90" s="3084" t="s">
        <v>2691</v>
      </c>
      <c r="D90" s="3084" t="s">
        <v>2692</v>
      </c>
      <c r="E90" s="3110">
        <v>0.2</v>
      </c>
      <c r="F90" s="3110">
        <v>25</v>
      </c>
    </row>
    <row r="91" spans="1:6" ht="24">
      <c r="A91" s="3110">
        <v>19</v>
      </c>
      <c r="B91" s="3871"/>
      <c r="C91" s="3084" t="s">
        <v>2693</v>
      </c>
      <c r="D91" s="3084" t="s">
        <v>2694</v>
      </c>
      <c r="E91" s="3110">
        <v>0.2</v>
      </c>
      <c r="F91" s="3110">
        <v>25</v>
      </c>
    </row>
    <row r="92" spans="1:6" ht="13.5">
      <c r="A92" s="3110">
        <v>20</v>
      </c>
      <c r="B92" s="3871"/>
      <c r="C92" s="3084" t="s">
        <v>2695</v>
      </c>
      <c r="D92" s="3084" t="s">
        <v>2696</v>
      </c>
      <c r="E92" s="3110">
        <v>0.15</v>
      </c>
      <c r="F92" s="3110">
        <v>20</v>
      </c>
    </row>
    <row r="93" spans="1:6" ht="13.5">
      <c r="A93" s="3110">
        <v>21</v>
      </c>
      <c r="B93" s="3871"/>
      <c r="C93" s="3084" t="s">
        <v>2697</v>
      </c>
      <c r="D93" s="3084" t="s">
        <v>2698</v>
      </c>
      <c r="E93" s="3110">
        <v>0.15</v>
      </c>
      <c r="F93" s="3110">
        <v>20</v>
      </c>
    </row>
    <row r="94" spans="1:6" ht="13.5">
      <c r="A94" s="3110">
        <v>22</v>
      </c>
      <c r="B94" s="3871"/>
      <c r="C94" s="3084" t="s">
        <v>2699</v>
      </c>
      <c r="D94" s="3084" t="s">
        <v>2700</v>
      </c>
      <c r="E94" s="3110">
        <v>0.15</v>
      </c>
      <c r="F94" s="3110">
        <v>20</v>
      </c>
    </row>
    <row r="95" spans="1:6" ht="36">
      <c r="A95" s="3110">
        <v>23</v>
      </c>
      <c r="B95" s="3871"/>
      <c r="C95" s="3084" t="s">
        <v>2701</v>
      </c>
      <c r="D95" s="3084" t="s">
        <v>2702</v>
      </c>
      <c r="E95" s="3110">
        <v>0.15</v>
      </c>
      <c r="F95" s="3110">
        <v>20</v>
      </c>
    </row>
    <row r="96" spans="1:6" ht="13.5">
      <c r="A96" s="3110">
        <v>24</v>
      </c>
      <c r="B96" s="3871"/>
      <c r="C96" s="3084" t="s">
        <v>2703</v>
      </c>
      <c r="D96" s="3084" t="s">
        <v>2704</v>
      </c>
      <c r="E96" s="3110">
        <v>0.1</v>
      </c>
      <c r="F96" s="3110">
        <v>15</v>
      </c>
    </row>
    <row r="97" spans="1:6" ht="13.5">
      <c r="A97" s="3110">
        <v>25</v>
      </c>
      <c r="B97" s="3871"/>
      <c r="C97" s="3084" t="s">
        <v>2705</v>
      </c>
      <c r="D97" s="3084" t="s">
        <v>2706</v>
      </c>
      <c r="E97" s="3110">
        <v>0.1</v>
      </c>
      <c r="F97" s="3110">
        <v>15</v>
      </c>
    </row>
    <row r="98" spans="1:6" ht="24">
      <c r="A98" s="3110">
        <v>26</v>
      </c>
      <c r="B98" s="3871"/>
      <c r="C98" s="3084" t="s">
        <v>2707</v>
      </c>
      <c r="D98" s="3084" t="s">
        <v>2708</v>
      </c>
      <c r="E98" s="3110">
        <v>0.1</v>
      </c>
      <c r="F98" s="3110">
        <v>15</v>
      </c>
    </row>
    <row r="99" spans="1:6" ht="24">
      <c r="A99" s="3110">
        <v>27</v>
      </c>
      <c r="B99" s="3871"/>
      <c r="C99" s="3084" t="s">
        <v>2709</v>
      </c>
      <c r="D99" s="3084" t="s">
        <v>2710</v>
      </c>
      <c r="E99" s="3110">
        <v>0.1</v>
      </c>
      <c r="F99" s="3110">
        <v>15</v>
      </c>
    </row>
    <row r="100" spans="1:6" ht="13.5">
      <c r="A100" s="3110">
        <v>28</v>
      </c>
      <c r="B100" s="3871"/>
      <c r="C100" s="3084" t="s">
        <v>2711</v>
      </c>
      <c r="D100" s="3084" t="s">
        <v>2712</v>
      </c>
      <c r="E100" s="3110">
        <v>0.1</v>
      </c>
      <c r="F100" s="3110">
        <v>15</v>
      </c>
    </row>
    <row r="101" spans="1:6" ht="13.5">
      <c r="A101" s="3110">
        <v>29</v>
      </c>
      <c r="B101" s="3871"/>
      <c r="C101" s="3084" t="s">
        <v>2713</v>
      </c>
      <c r="D101" s="3084" t="s">
        <v>2714</v>
      </c>
      <c r="E101" s="3110">
        <v>0.1</v>
      </c>
      <c r="F101" s="3110">
        <v>15</v>
      </c>
    </row>
    <row r="102" spans="1:6" ht="13.5">
      <c r="A102" s="3110">
        <v>30</v>
      </c>
      <c r="B102" s="3871"/>
      <c r="C102" s="3084" t="s">
        <v>2715</v>
      </c>
      <c r="D102" s="3084" t="s">
        <v>2716</v>
      </c>
      <c r="E102" s="3110">
        <v>0.1</v>
      </c>
      <c r="F102" s="3110">
        <v>15</v>
      </c>
    </row>
    <row r="103" spans="1:6" ht="24">
      <c r="A103" s="3110">
        <v>31</v>
      </c>
      <c r="B103" s="3871"/>
      <c r="C103" s="3084" t="s">
        <v>2717</v>
      </c>
      <c r="D103" s="3084" t="s">
        <v>2718</v>
      </c>
      <c r="E103" s="3110">
        <v>0.1</v>
      </c>
      <c r="F103" s="3110">
        <v>15</v>
      </c>
    </row>
    <row r="104" spans="1:6" ht="24">
      <c r="A104" s="3110">
        <v>32</v>
      </c>
      <c r="B104" s="3871"/>
      <c r="C104" s="3084" t="s">
        <v>2719</v>
      </c>
      <c r="D104" s="3084" t="s">
        <v>2720</v>
      </c>
      <c r="E104" s="3110">
        <v>0.1</v>
      </c>
      <c r="F104" s="3110">
        <v>15</v>
      </c>
    </row>
    <row r="105" spans="1:6" ht="24">
      <c r="A105" s="3110">
        <v>33</v>
      </c>
      <c r="B105" s="3871"/>
      <c r="C105" s="3084" t="s">
        <v>2721</v>
      </c>
      <c r="D105" s="3084" t="s">
        <v>2722</v>
      </c>
      <c r="E105" s="3110">
        <v>0.1</v>
      </c>
      <c r="F105" s="3110">
        <v>15</v>
      </c>
    </row>
    <row r="106" spans="1:6" ht="24">
      <c r="A106" s="3110">
        <v>34</v>
      </c>
      <c r="B106" s="3870"/>
      <c r="C106" s="3084" t="s">
        <v>2723</v>
      </c>
      <c r="D106" s="3084" t="s">
        <v>2724</v>
      </c>
      <c r="E106" s="3110">
        <v>0.1</v>
      </c>
      <c r="F106" s="3110">
        <v>15</v>
      </c>
    </row>
    <row r="107" spans="1:6" ht="24">
      <c r="A107" s="3110">
        <v>35</v>
      </c>
      <c r="B107" s="3869" t="s">
        <v>2725</v>
      </c>
      <c r="C107" s="3110" t="s">
        <v>2726</v>
      </c>
      <c r="D107" s="3084" t="s">
        <v>2727</v>
      </c>
      <c r="E107" s="3110">
        <v>0.15</v>
      </c>
      <c r="F107" s="3110">
        <v>20</v>
      </c>
    </row>
    <row r="108" spans="1:6" ht="13.5">
      <c r="A108" s="3110">
        <v>36</v>
      </c>
      <c r="B108" s="3871"/>
      <c r="C108" s="3110" t="s">
        <v>2728</v>
      </c>
      <c r="D108" s="3084" t="s">
        <v>2729</v>
      </c>
      <c r="E108" s="3110">
        <v>0.15</v>
      </c>
      <c r="F108" s="3110">
        <v>20</v>
      </c>
    </row>
    <row r="109" spans="1:6" ht="13.5">
      <c r="A109" s="3110">
        <v>37</v>
      </c>
      <c r="B109" s="3871"/>
      <c r="C109" s="3110" t="s">
        <v>2730</v>
      </c>
      <c r="D109" s="3084" t="s">
        <v>2731</v>
      </c>
      <c r="E109" s="3110">
        <v>0.15</v>
      </c>
      <c r="F109" s="3110">
        <v>20</v>
      </c>
    </row>
    <row r="110" spans="1:6" ht="13.5">
      <c r="A110" s="3110">
        <v>38</v>
      </c>
      <c r="B110" s="3871"/>
      <c r="C110" s="3110" t="s">
        <v>2732</v>
      </c>
      <c r="D110" s="3084" t="s">
        <v>2733</v>
      </c>
      <c r="E110" s="3110">
        <v>0.1</v>
      </c>
      <c r="F110" s="3110">
        <v>15</v>
      </c>
    </row>
    <row r="111" spans="1:6" ht="24">
      <c r="A111" s="3110">
        <v>39</v>
      </c>
      <c r="B111" s="3871"/>
      <c r="C111" s="3110" t="s">
        <v>2734</v>
      </c>
      <c r="D111" s="3084" t="s">
        <v>2735</v>
      </c>
      <c r="E111" s="3110">
        <v>0.1</v>
      </c>
      <c r="F111" s="3110">
        <v>15</v>
      </c>
    </row>
    <row r="112" spans="1:6" ht="24">
      <c r="A112" s="3110">
        <v>40</v>
      </c>
      <c r="B112" s="3870"/>
      <c r="C112" s="3110" t="s">
        <v>2736</v>
      </c>
      <c r="D112" s="3084" t="s">
        <v>2737</v>
      </c>
      <c r="E112" s="3110">
        <v>0.1</v>
      </c>
      <c r="F112" s="3110">
        <v>15</v>
      </c>
    </row>
    <row r="113" spans="1:6" ht="13.5">
      <c r="A113" s="3110">
        <v>41</v>
      </c>
      <c r="B113" s="3868" t="s">
        <v>2738</v>
      </c>
      <c r="C113" s="3110" t="s">
        <v>2739</v>
      </c>
      <c r="D113" s="3084" t="s">
        <v>2740</v>
      </c>
      <c r="E113" s="3110">
        <v>0.1</v>
      </c>
      <c r="F113" s="3110">
        <v>15</v>
      </c>
    </row>
    <row r="114" spans="1:6" ht="13.5">
      <c r="A114" s="3110">
        <v>42</v>
      </c>
      <c r="B114" s="3868"/>
      <c r="C114" s="3110" t="s">
        <v>2741</v>
      </c>
      <c r="D114" s="3084" t="s">
        <v>2742</v>
      </c>
      <c r="E114" s="3110">
        <v>0.1</v>
      </c>
      <c r="F114" s="3110">
        <v>15</v>
      </c>
    </row>
    <row r="115" spans="1:6" ht="24">
      <c r="A115" s="3110">
        <v>43</v>
      </c>
      <c r="B115" s="3868"/>
      <c r="C115" s="3110" t="s">
        <v>2743</v>
      </c>
      <c r="D115" s="3084" t="s">
        <v>2744</v>
      </c>
      <c r="E115" s="3110">
        <v>0.1</v>
      </c>
      <c r="F115" s="3110">
        <v>15</v>
      </c>
    </row>
    <row r="116" spans="1:6" ht="13.5">
      <c r="A116" s="3110">
        <v>44</v>
      </c>
      <c r="B116" s="3869" t="s">
        <v>2745</v>
      </c>
      <c r="C116" s="3110" t="s">
        <v>2746</v>
      </c>
      <c r="D116" s="3084" t="s">
        <v>2747</v>
      </c>
      <c r="E116" s="3110">
        <v>0.1</v>
      </c>
      <c r="F116" s="3110">
        <v>15</v>
      </c>
    </row>
    <row r="117" spans="1:6" ht="24">
      <c r="A117" s="3110">
        <v>45</v>
      </c>
      <c r="B117" s="3870"/>
      <c r="C117" s="3084" t="s">
        <v>2748</v>
      </c>
      <c r="D117" s="3084" t="s">
        <v>2749</v>
      </c>
      <c r="E117" s="3110">
        <v>0.1</v>
      </c>
      <c r="F117" s="3110">
        <v>15</v>
      </c>
    </row>
    <row r="118" spans="1:6" ht="24">
      <c r="A118" s="3110">
        <v>46</v>
      </c>
      <c r="B118" s="3869" t="s">
        <v>2750</v>
      </c>
      <c r="C118" s="3110" t="s">
        <v>2751</v>
      </c>
      <c r="D118" s="3084" t="s">
        <v>2752</v>
      </c>
      <c r="E118" s="3110">
        <v>0.1</v>
      </c>
      <c r="F118" s="3110">
        <v>15</v>
      </c>
    </row>
    <row r="119" spans="1:6" ht="24">
      <c r="A119" s="3110">
        <v>47</v>
      </c>
      <c r="B119" s="3870"/>
      <c r="C119" s="3110" t="s">
        <v>2753</v>
      </c>
      <c r="D119" s="3084" t="s">
        <v>2754</v>
      </c>
      <c r="E119" s="3110">
        <v>0.1</v>
      </c>
      <c r="F119" s="3110">
        <v>15</v>
      </c>
    </row>
    <row r="120" spans="1:6" ht="13.5">
      <c r="A120" s="3110">
        <v>48</v>
      </c>
      <c r="B120" s="3869" t="s">
        <v>2755</v>
      </c>
      <c r="C120" s="3110" t="s">
        <v>2756</v>
      </c>
      <c r="D120" s="3084" t="s">
        <v>2757</v>
      </c>
      <c r="E120" s="3110">
        <v>0.1</v>
      </c>
      <c r="F120" s="3110">
        <v>15</v>
      </c>
    </row>
    <row r="121" spans="1:6" ht="13.5">
      <c r="A121" s="3110">
        <v>49</v>
      </c>
      <c r="B121" s="3870"/>
      <c r="C121" s="3110" t="s">
        <v>2758</v>
      </c>
      <c r="D121" s="3084" t="s">
        <v>2759</v>
      </c>
      <c r="E121" s="3110">
        <v>0.1</v>
      </c>
      <c r="F121" s="3110">
        <v>15</v>
      </c>
    </row>
    <row r="122" spans="1:6" ht="24">
      <c r="A122" s="3110">
        <v>50</v>
      </c>
      <c r="B122" s="3868" t="s">
        <v>2760</v>
      </c>
      <c r="C122" s="3110" t="s">
        <v>2761</v>
      </c>
      <c r="D122" s="3084" t="s">
        <v>2762</v>
      </c>
      <c r="E122" s="3110">
        <v>0.1</v>
      </c>
      <c r="F122" s="3110">
        <v>15</v>
      </c>
    </row>
    <row r="123" spans="1:6" ht="24">
      <c r="A123" s="3110">
        <v>51</v>
      </c>
      <c r="B123" s="3868"/>
      <c r="C123" s="3110" t="s">
        <v>2763</v>
      </c>
      <c r="D123" s="3084" t="s">
        <v>2764</v>
      </c>
      <c r="E123" s="3110">
        <v>0.1</v>
      </c>
      <c r="F123" s="3110">
        <v>15</v>
      </c>
    </row>
    <row r="124" spans="1:6" ht="24">
      <c r="A124" s="3110">
        <v>52</v>
      </c>
      <c r="B124" s="3868" t="s">
        <v>2765</v>
      </c>
      <c r="C124" s="3110" t="s">
        <v>2766</v>
      </c>
      <c r="D124" s="3084" t="s">
        <v>2767</v>
      </c>
      <c r="E124" s="3110">
        <v>0.1</v>
      </c>
      <c r="F124" s="3110">
        <v>15</v>
      </c>
    </row>
    <row r="125" spans="1:6" ht="24">
      <c r="A125" s="3110">
        <v>53</v>
      </c>
      <c r="B125" s="3868"/>
      <c r="C125" s="3110" t="s">
        <v>2768</v>
      </c>
      <c r="D125" s="3084" t="s">
        <v>2769</v>
      </c>
      <c r="E125" s="3110">
        <v>0.1</v>
      </c>
      <c r="F125" s="3110">
        <v>15</v>
      </c>
    </row>
    <row r="126" spans="1:6" ht="13.5">
      <c r="A126" s="3110">
        <v>54</v>
      </c>
      <c r="B126" s="3110" t="s">
        <v>2770</v>
      </c>
      <c r="C126" s="3110" t="s">
        <v>2771</v>
      </c>
      <c r="D126" s="3084" t="s">
        <v>2772</v>
      </c>
      <c r="E126" s="3110">
        <v>0.1</v>
      </c>
      <c r="F126" s="3110">
        <v>15</v>
      </c>
    </row>
    <row r="127" spans="1:6" ht="13.5">
      <c r="A127" s="3110">
        <v>55</v>
      </c>
      <c r="B127" s="3868" t="s">
        <v>2773</v>
      </c>
      <c r="C127" s="3110" t="s">
        <v>2774</v>
      </c>
      <c r="D127" s="3084" t="s">
        <v>2775</v>
      </c>
      <c r="E127" s="3110">
        <v>0.1</v>
      </c>
      <c r="F127" s="3110">
        <v>15</v>
      </c>
    </row>
    <row r="128" spans="1:6" ht="13.5">
      <c r="A128" s="3110">
        <v>56</v>
      </c>
      <c r="B128" s="3868"/>
      <c r="C128" s="3110" t="s">
        <v>2776</v>
      </c>
      <c r="D128" s="3084" t="s">
        <v>2777</v>
      </c>
      <c r="E128" s="3110">
        <v>0.1</v>
      </c>
      <c r="F128" s="3110">
        <v>15</v>
      </c>
    </row>
    <row r="129" spans="1:6" ht="24">
      <c r="A129" s="3110">
        <v>57</v>
      </c>
      <c r="B129" s="3868"/>
      <c r="C129" s="3110" t="s">
        <v>2778</v>
      </c>
      <c r="D129" s="3084" t="s">
        <v>2779</v>
      </c>
      <c r="E129" s="3110">
        <v>0.1</v>
      </c>
      <c r="F129" s="3110">
        <v>15</v>
      </c>
    </row>
    <row r="130" spans="1:6" ht="24">
      <c r="A130" s="3110">
        <v>58</v>
      </c>
      <c r="B130" s="3868" t="s">
        <v>2780</v>
      </c>
      <c r="C130" s="3110" t="s">
        <v>2781</v>
      </c>
      <c r="D130" s="3084" t="s">
        <v>2782</v>
      </c>
      <c r="E130" s="3110">
        <v>0.1</v>
      </c>
      <c r="F130" s="3110">
        <v>15</v>
      </c>
    </row>
    <row r="131" spans="1:6" ht="13.5">
      <c r="A131" s="3110">
        <v>59</v>
      </c>
      <c r="B131" s="3868"/>
      <c r="C131" s="3110" t="s">
        <v>2783</v>
      </c>
      <c r="D131" s="3084" t="s">
        <v>2784</v>
      </c>
      <c r="E131" s="3110">
        <v>0.1</v>
      </c>
      <c r="F131" s="3110">
        <v>15</v>
      </c>
    </row>
    <row r="132" spans="1:6" ht="13.5">
      <c r="A132" s="3110">
        <v>60</v>
      </c>
      <c r="B132" s="3869" t="s">
        <v>2785</v>
      </c>
      <c r="C132" s="3110" t="s">
        <v>2786</v>
      </c>
      <c r="D132" s="3084" t="s">
        <v>2787</v>
      </c>
      <c r="E132" s="3110">
        <v>0.1</v>
      </c>
      <c r="F132" s="3110">
        <v>15</v>
      </c>
    </row>
    <row r="133" spans="1:6" ht="13.5">
      <c r="A133" s="3110">
        <v>61</v>
      </c>
      <c r="B133" s="3870"/>
      <c r="C133" s="3110" t="s">
        <v>2788</v>
      </c>
      <c r="D133" s="3084" t="s">
        <v>2789</v>
      </c>
      <c r="E133" s="3110">
        <v>0.1</v>
      </c>
      <c r="F133" s="3110">
        <v>15</v>
      </c>
    </row>
    <row r="134" spans="1:6" ht="24">
      <c r="A134" s="3110">
        <v>62</v>
      </c>
      <c r="B134" s="3110" t="s">
        <v>2790</v>
      </c>
      <c r="C134" s="3110" t="s">
        <v>2791</v>
      </c>
      <c r="D134" s="3084" t="s">
        <v>2792</v>
      </c>
      <c r="E134" s="3110">
        <v>0.1</v>
      </c>
      <c r="F134" s="3110">
        <v>15</v>
      </c>
    </row>
    <row r="135" spans="1:6" ht="13.5">
      <c r="A135" s="3110">
        <v>63</v>
      </c>
      <c r="B135" s="3868" t="s">
        <v>2793</v>
      </c>
      <c r="C135" s="3110" t="s">
        <v>2794</v>
      </c>
      <c r="D135" s="3084" t="s">
        <v>2795</v>
      </c>
      <c r="E135" s="3110">
        <v>0.1</v>
      </c>
      <c r="F135" s="3110">
        <v>15</v>
      </c>
    </row>
    <row r="136" spans="1:6" ht="13.5">
      <c r="A136" s="3110">
        <v>64</v>
      </c>
      <c r="B136" s="3868"/>
      <c r="C136" s="3110" t="s">
        <v>2796</v>
      </c>
      <c r="D136" s="3084" t="s">
        <v>2797</v>
      </c>
      <c r="E136" s="3110">
        <v>0.1</v>
      </c>
      <c r="F136" s="3110">
        <v>15</v>
      </c>
    </row>
    <row r="137" spans="1:6" ht="13.5">
      <c r="A137" s="3110">
        <v>65</v>
      </c>
      <c r="B137" s="3110" t="s">
        <v>2798</v>
      </c>
      <c r="C137" s="3110" t="s">
        <v>2799</v>
      </c>
      <c r="D137" s="3084" t="s">
        <v>2800</v>
      </c>
      <c r="E137" s="3110">
        <v>0.1</v>
      </c>
      <c r="F137" s="3110">
        <v>15</v>
      </c>
    </row>
    <row r="138" spans="1:6" ht="13.5">
      <c r="A138" s="3110"/>
      <c r="B138" s="3110"/>
      <c r="C138" s="3110"/>
      <c r="D138" s="3110"/>
      <c r="E138" s="3110" t="s">
        <v>2801</v>
      </c>
      <c r="F138" s="3110"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42"/>
  </cols>
  <sheetData>
    <row r="1" spans="1:20" ht="15" thickBot="1">
      <c r="A1" s="3119" t="s">
        <v>2802</v>
      </c>
      <c r="B1" s="3119"/>
      <c r="C1" s="3119"/>
      <c r="D1" s="3119"/>
      <c r="E1" s="3119"/>
      <c r="F1" s="3119"/>
      <c r="G1" s="3119"/>
      <c r="H1" s="3119"/>
      <c r="I1" s="3119"/>
      <c r="J1" s="3119"/>
      <c r="K1" s="3119"/>
      <c r="L1" s="3119"/>
      <c r="M1" s="3119"/>
      <c r="N1" s="741"/>
    </row>
    <row r="2" spans="1:20">
      <c r="A2" s="3120" t="s">
        <v>2803</v>
      </c>
      <c r="B2" s="3121" t="s">
        <v>2599</v>
      </c>
      <c r="C2" s="3121" t="s">
        <v>2600</v>
      </c>
      <c r="D2" s="3121" t="s">
        <v>2601</v>
      </c>
      <c r="E2" s="3121" t="s">
        <v>2602</v>
      </c>
      <c r="F2" s="3121" t="s">
        <v>2603</v>
      </c>
      <c r="G2" s="3121" t="s">
        <v>2604</v>
      </c>
      <c r="H2" s="3122" t="s">
        <v>2605</v>
      </c>
      <c r="I2" s="3122" t="s">
        <v>2606</v>
      </c>
      <c r="J2" s="3123" t="s">
        <v>2607</v>
      </c>
      <c r="K2" s="3123" t="s">
        <v>2608</v>
      </c>
      <c r="L2" s="3123" t="s">
        <v>2609</v>
      </c>
      <c r="M2" s="3124" t="s">
        <v>2610</v>
      </c>
      <c r="Q2" s="3134" t="s">
        <v>2808</v>
      </c>
      <c r="R2" s="3134" t="s">
        <v>2809</v>
      </c>
      <c r="S2" s="3134" t="s">
        <v>2810</v>
      </c>
      <c r="T2" s="3134" t="s">
        <v>2811</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3"/>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3"/>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3"/>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2804</v>
      </c>
      <c r="B93" s="3119"/>
      <c r="C93" s="3119"/>
      <c r="D93" s="3119"/>
      <c r="E93" s="3119"/>
      <c r="F93" s="3119"/>
      <c r="G93" s="3119"/>
      <c r="H93" s="3119"/>
      <c r="I93" s="3119"/>
      <c r="J93" s="3119"/>
      <c r="K93" s="3119"/>
      <c r="L93" s="3119"/>
      <c r="M93" s="3119"/>
    </row>
    <row r="94" spans="1:20">
      <c r="A94" s="3120" t="s">
        <v>2803</v>
      </c>
      <c r="B94" s="3121" t="s">
        <v>2599</v>
      </c>
      <c r="C94" s="3121" t="s">
        <v>2600</v>
      </c>
      <c r="D94" s="3121" t="s">
        <v>2601</v>
      </c>
      <c r="E94" s="3121" t="s">
        <v>2602</v>
      </c>
      <c r="F94" s="3121" t="s">
        <v>2603</v>
      </c>
      <c r="G94" s="3121" t="s">
        <v>2604</v>
      </c>
      <c r="H94" s="3122" t="s">
        <v>2605</v>
      </c>
      <c r="I94" s="3122" t="s">
        <v>2606</v>
      </c>
      <c r="J94" s="3123" t="s">
        <v>2607</v>
      </c>
      <c r="K94" s="3123" t="s">
        <v>2608</v>
      </c>
      <c r="L94" s="3123" t="s">
        <v>2609</v>
      </c>
      <c r="M94" s="3124" t="s">
        <v>2610</v>
      </c>
      <c r="N94" s="742">
        <f>SUMPRODUCT((A95:A184=ROUNDDOWN(基准地价修正!G3,1))*(B94:M94=基准地价修正!G2)*(B95:M184))</f>
        <v>1.0185999999999999</v>
      </c>
      <c r="Q94" s="3134" t="s">
        <v>2808</v>
      </c>
      <c r="R94" s="3134" t="s">
        <v>2809</v>
      </c>
      <c r="S94" s="3134" t="s">
        <v>2810</v>
      </c>
      <c r="T94" s="3134" t="s">
        <v>2811</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1"/>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1"/>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2805</v>
      </c>
      <c r="B185" s="3119"/>
      <c r="C185" s="3119"/>
      <c r="D185" s="3119"/>
      <c r="E185" s="3119"/>
      <c r="F185" s="3119"/>
      <c r="G185" s="3119"/>
      <c r="H185" s="3119"/>
      <c r="I185" s="3119"/>
      <c r="J185" s="3119"/>
      <c r="K185" s="3119"/>
      <c r="L185" s="3119"/>
      <c r="M185" s="3119"/>
    </row>
    <row r="186" spans="1:20">
      <c r="A186" s="3120" t="s">
        <v>2803</v>
      </c>
      <c r="B186" s="3121" t="s">
        <v>2599</v>
      </c>
      <c r="C186" s="3121" t="s">
        <v>2600</v>
      </c>
      <c r="D186" s="3121" t="s">
        <v>2601</v>
      </c>
      <c r="E186" s="3121" t="s">
        <v>2602</v>
      </c>
      <c r="F186" s="3121" t="s">
        <v>2603</v>
      </c>
      <c r="G186" s="3121" t="s">
        <v>2604</v>
      </c>
      <c r="H186" s="3122" t="s">
        <v>2605</v>
      </c>
      <c r="I186" s="3122" t="s">
        <v>2606</v>
      </c>
      <c r="J186" s="3123" t="s">
        <v>2607</v>
      </c>
      <c r="K186" s="3123" t="s">
        <v>2608</v>
      </c>
      <c r="L186" s="3123" t="s">
        <v>2609</v>
      </c>
      <c r="M186" s="3124" t="s">
        <v>2610</v>
      </c>
      <c r="Q186" s="3134" t="s">
        <v>2808</v>
      </c>
      <c r="R186" s="3134" t="s">
        <v>2809</v>
      </c>
      <c r="S186" s="3134" t="s">
        <v>2810</v>
      </c>
      <c r="T186" s="3134" t="s">
        <v>2811</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2806</v>
      </c>
      <c r="B277" s="3119"/>
      <c r="C277" s="3119"/>
      <c r="D277" s="3119"/>
      <c r="E277" s="3119"/>
      <c r="F277" s="3119"/>
      <c r="G277" s="3119"/>
      <c r="H277" s="3119"/>
      <c r="I277" s="3119"/>
      <c r="J277" s="3119"/>
      <c r="K277" s="3119"/>
      <c r="L277" s="3119"/>
      <c r="M277" s="3119"/>
    </row>
    <row r="278" spans="1:21">
      <c r="A278" s="3120" t="s">
        <v>2803</v>
      </c>
      <c r="B278" s="3121" t="s">
        <v>2599</v>
      </c>
      <c r="C278" s="3121" t="s">
        <v>2600</v>
      </c>
      <c r="D278" s="3121" t="s">
        <v>2601</v>
      </c>
      <c r="E278" s="3121" t="s">
        <v>2602</v>
      </c>
      <c r="F278" s="3121" t="s">
        <v>2603</v>
      </c>
      <c r="G278" s="3121" t="s">
        <v>2604</v>
      </c>
      <c r="H278" s="3122" t="s">
        <v>2605</v>
      </c>
      <c r="I278" s="3122" t="s">
        <v>2606</v>
      </c>
      <c r="J278" s="3123" t="s">
        <v>2607</v>
      </c>
      <c r="K278" s="3123" t="s">
        <v>2608</v>
      </c>
      <c r="L278" s="3123" t="s">
        <v>2609</v>
      </c>
      <c r="M278" s="3124" t="s">
        <v>2610</v>
      </c>
      <c r="Q278" s="3134" t="s">
        <v>2808</v>
      </c>
      <c r="R278" s="3134" t="s">
        <v>2809</v>
      </c>
      <c r="S278" s="3134" t="s">
        <v>2812</v>
      </c>
      <c r="T278" s="3134" t="s">
        <v>2813</v>
      </c>
      <c r="U278" s="3134" t="s">
        <v>2811</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2807</v>
      </c>
      <c r="B369" s="3132"/>
      <c r="C369" s="3132"/>
      <c r="D369" s="3132"/>
      <c r="E369" s="3132"/>
      <c r="F369" s="3132"/>
      <c r="G369" s="3132"/>
      <c r="H369" s="3132"/>
      <c r="I369" s="3132"/>
      <c r="J369" s="3132"/>
      <c r="K369" s="3132"/>
      <c r="L369" s="3132"/>
      <c r="M369" s="3132"/>
    </row>
    <row r="370" spans="1:20">
      <c r="A370" s="3120" t="s">
        <v>2803</v>
      </c>
      <c r="B370" s="3121" t="s">
        <v>2599</v>
      </c>
      <c r="C370" s="3121" t="s">
        <v>2600</v>
      </c>
      <c r="D370" s="3121" t="s">
        <v>2601</v>
      </c>
      <c r="E370" s="3121" t="s">
        <v>2602</v>
      </c>
      <c r="F370" s="3121" t="s">
        <v>2603</v>
      </c>
      <c r="G370" s="3121" t="s">
        <v>2604</v>
      </c>
      <c r="H370" s="3122" t="s">
        <v>2605</v>
      </c>
      <c r="I370" s="3122" t="s">
        <v>2606</v>
      </c>
      <c r="J370" s="3123" t="s">
        <v>2607</v>
      </c>
      <c r="K370" s="3123" t="s">
        <v>2608</v>
      </c>
      <c r="L370" s="3123" t="s">
        <v>2609</v>
      </c>
      <c r="M370" s="3124" t="s">
        <v>2610</v>
      </c>
      <c r="N370" s="742">
        <f>SUMPRODUCT((A371:A460=ROUNDDOWN(基准地价修正!G3,1))*(B370:M370=基准地价修正!G2)*(B371:M460))</f>
        <v>0.96889999999999998</v>
      </c>
      <c r="Q370" s="3134" t="s">
        <v>2808</v>
      </c>
      <c r="R370" s="3134" t="s">
        <v>2809</v>
      </c>
      <c r="S370" s="3134" t="s">
        <v>2810</v>
      </c>
      <c r="T370" s="3134" t="s">
        <v>2811</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137167</v>
      </c>
      <c r="C2" s="2" t="s">
        <v>106</v>
      </c>
      <c r="D2" s="196"/>
      <c r="E2" s="196"/>
      <c r="F2" s="196"/>
      <c r="G2" s="196"/>
    </row>
    <row r="3" spans="1:7" s="197" customFormat="1" ht="18" customHeight="1" thickBot="1">
      <c r="A3" s="200" t="s">
        <v>58</v>
      </c>
      <c r="B3" s="201">
        <f ca="1">ROUND(B2*10000/'数据-汇总表'!E3,0)</f>
        <v>13232</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0" t="s">
        <v>346</v>
      </c>
      <c r="B6" s="212" t="s">
        <v>64</v>
      </c>
      <c r="C6" s="213">
        <v>20000</v>
      </c>
      <c r="D6" s="214"/>
      <c r="E6" s="215"/>
      <c r="F6" s="215"/>
      <c r="G6" s="216"/>
    </row>
    <row r="7" spans="1:7" s="211" customFormat="1" ht="13.5" customHeight="1">
      <c r="A7" s="770" t="s">
        <v>347</v>
      </c>
      <c r="B7" s="212" t="s">
        <v>30</v>
      </c>
      <c r="C7" s="217">
        <f>ROUND(C6*F7,0)</f>
        <v>610</v>
      </c>
      <c r="D7" s="217"/>
      <c r="E7" s="215"/>
      <c r="F7" s="218">
        <f>'数据-取费表'!B48+'数据-取费表'!B49</f>
        <v>3.0499999999999999E-2</v>
      </c>
      <c r="G7" s="216"/>
    </row>
    <row r="8" spans="1:7" s="220" customFormat="1">
      <c r="A8" s="770" t="s">
        <v>348</v>
      </c>
      <c r="B8" s="212" t="s">
        <v>65</v>
      </c>
      <c r="C8" s="217" t="str">
        <f>IF(G8="已包含在土地购买价格中","0",'数据-取费表'!B29)</f>
        <v>0</v>
      </c>
      <c r="D8" s="219"/>
      <c r="E8" s="217"/>
      <c r="F8" s="218"/>
      <c r="G8" s="1" t="s">
        <v>451</v>
      </c>
    </row>
    <row r="9" spans="1:7" s="211" customFormat="1" ht="13.5" customHeight="1">
      <c r="A9" s="771" t="s">
        <v>355</v>
      </c>
      <c r="B9" s="221" t="s">
        <v>66</v>
      </c>
      <c r="C9" s="222">
        <f>ROUND(D9*E9/10000,0)</f>
        <v>0</v>
      </c>
      <c r="D9" s="837">
        <f>'数据-汇总表'!E5</f>
        <v>0</v>
      </c>
      <c r="E9" s="222">
        <f>'数据-取费表'!B27</f>
        <v>200</v>
      </c>
      <c r="F9" s="218"/>
      <c r="G9" s="223"/>
    </row>
    <row r="10" spans="1:7" s="211" customFormat="1" ht="13.5" customHeight="1">
      <c r="A10" s="771" t="s">
        <v>356</v>
      </c>
      <c r="B10" s="221" t="s">
        <v>67</v>
      </c>
      <c r="C10" s="222">
        <f>ROUND(D10*E10/10000,0)</f>
        <v>1659</v>
      </c>
      <c r="D10" s="837">
        <f>'数据-汇总表'!E6</f>
        <v>103664.12</v>
      </c>
      <c r="E10" s="222">
        <f>'数据-取费表'!B28</f>
        <v>160</v>
      </c>
      <c r="F10" s="218"/>
      <c r="G10" s="223"/>
    </row>
    <row r="11" spans="1:7" s="211" customFormat="1" ht="13.5" hidden="1" customHeight="1">
      <c r="A11" s="224" t="s">
        <v>4</v>
      </c>
      <c r="B11" s="212" t="s">
        <v>68</v>
      </c>
      <c r="C11" s="208"/>
      <c r="D11" s="839"/>
      <c r="E11" s="215"/>
      <c r="F11" s="215"/>
      <c r="G11" s="216"/>
    </row>
    <row r="12" spans="1:7" s="211" customFormat="1" ht="13.5" hidden="1" customHeight="1">
      <c r="A12" s="224" t="s">
        <v>5</v>
      </c>
      <c r="B12" s="212" t="s">
        <v>69</v>
      </c>
      <c r="C12" s="208">
        <v>0</v>
      </c>
      <c r="D12" s="839"/>
      <c r="E12" s="225"/>
      <c r="F12" s="218">
        <v>3.0499999999999999E-2</v>
      </c>
      <c r="G12" s="216"/>
    </row>
    <row r="13" spans="1:7" s="211" customFormat="1" ht="13.5" hidden="1" customHeight="1">
      <c r="A13" s="224" t="s">
        <v>6</v>
      </c>
      <c r="B13" s="212" t="s">
        <v>70</v>
      </c>
      <c r="C13" s="208"/>
      <c r="D13" s="839"/>
      <c r="E13" s="215"/>
      <c r="F13" s="215"/>
      <c r="G13" s="216"/>
    </row>
    <row r="14" spans="1:7" s="211" customFormat="1" ht="13.5" hidden="1" customHeight="1">
      <c r="A14" s="224" t="s">
        <v>7</v>
      </c>
      <c r="B14" s="212" t="s">
        <v>65</v>
      </c>
      <c r="C14" s="208"/>
      <c r="D14" s="839"/>
      <c r="E14" s="215"/>
      <c r="F14" s="215"/>
      <c r="G14" s="216" t="s">
        <v>71</v>
      </c>
    </row>
    <row r="15" spans="1:7" s="211" customFormat="1" ht="13.5" hidden="1" customHeight="1">
      <c r="A15" s="224" t="s">
        <v>8</v>
      </c>
      <c r="B15" s="212" t="s">
        <v>72</v>
      </c>
      <c r="C15" s="217"/>
      <c r="D15" s="839"/>
      <c r="E15" s="215"/>
      <c r="F15" s="215"/>
      <c r="G15" s="216" t="s">
        <v>73</v>
      </c>
    </row>
    <row r="16" spans="1:7" s="211" customFormat="1" ht="13.5" hidden="1" customHeight="1">
      <c r="A16" s="224" t="s">
        <v>9</v>
      </c>
      <c r="B16" s="212" t="s">
        <v>65</v>
      </c>
      <c r="C16" s="217"/>
      <c r="D16" s="839"/>
      <c r="E16" s="215"/>
      <c r="F16" s="215"/>
      <c r="G16" s="216"/>
    </row>
    <row r="17" spans="1:7" s="211" customFormat="1" ht="13.5" hidden="1" customHeight="1">
      <c r="A17" s="224" t="s">
        <v>10</v>
      </c>
      <c r="B17" s="212" t="s">
        <v>74</v>
      </c>
      <c r="C17" s="226"/>
      <c r="D17" s="840"/>
      <c r="E17" s="226"/>
      <c r="F17" s="226"/>
      <c r="G17" s="216" t="s">
        <v>73</v>
      </c>
    </row>
    <row r="18" spans="1:7" s="211" customFormat="1" ht="13.5" hidden="1" customHeight="1">
      <c r="A18" s="224" t="s">
        <v>11</v>
      </c>
      <c r="B18" s="212" t="s">
        <v>75</v>
      </c>
      <c r="C18" s="217">
        <v>0</v>
      </c>
      <c r="D18" s="839"/>
      <c r="E18" s="215"/>
      <c r="F18" s="218">
        <v>3.0499999999999999E-2</v>
      </c>
      <c r="G18" s="216" t="s">
        <v>76</v>
      </c>
    </row>
    <row r="19" spans="1:7" s="220" customFormat="1" ht="13.5" customHeight="1">
      <c r="A19" s="769" t="s">
        <v>417</v>
      </c>
      <c r="B19" s="207" t="s">
        <v>84</v>
      </c>
      <c r="C19" s="208">
        <f>IF(G19="已包含在土地取得成本中","0",ROUND(D19*E19/10000,0))</f>
        <v>2073</v>
      </c>
      <c r="D19" s="841">
        <f>'数据-汇总表'!E3</f>
        <v>103664.12</v>
      </c>
      <c r="E19" s="208">
        <f>'数据-取费表'!B31</f>
        <v>200</v>
      </c>
      <c r="F19" s="228"/>
      <c r="G19" s="1" t="s">
        <v>436</v>
      </c>
    </row>
    <row r="20" spans="1:7" s="211" customFormat="1" ht="13.5" customHeight="1">
      <c r="A20" s="769" t="s">
        <v>419</v>
      </c>
      <c r="B20" s="207" t="s">
        <v>77</v>
      </c>
      <c r="C20" s="229">
        <f>ROUND((C5+C19)*F20,0)</f>
        <v>680</v>
      </c>
      <c r="D20" s="229"/>
      <c r="E20" s="229"/>
      <c r="F20" s="230">
        <f>'数据-取费表'!B37</f>
        <v>0.03</v>
      </c>
      <c r="G20" s="1059" t="s">
        <v>430</v>
      </c>
    </row>
    <row r="21" spans="1:7" s="211" customFormat="1" ht="13.5" customHeight="1">
      <c r="A21" s="769" t="s">
        <v>421</v>
      </c>
      <c r="B21" s="207" t="s">
        <v>78</v>
      </c>
      <c r="C21" s="232">
        <f>F21</f>
        <v>0.02</v>
      </c>
      <c r="D21" s="233" t="s">
        <v>99</v>
      </c>
      <c r="E21" s="229"/>
      <c r="F21" s="230">
        <f>'数据-取费表'!B38</f>
        <v>0.02</v>
      </c>
      <c r="G21" s="231" t="s">
        <v>79</v>
      </c>
    </row>
    <row r="22" spans="1:7" s="211" customFormat="1" ht="13.5" customHeight="1">
      <c r="A22" s="769" t="s">
        <v>341</v>
      </c>
      <c r="B22" s="207" t="s">
        <v>80</v>
      </c>
      <c r="C22" s="1096">
        <f ca="1">ROUND(SUM(C23:C25),0)</f>
        <v>2465</v>
      </c>
      <c r="D22" s="232">
        <f ca="1">C26</f>
        <v>1E-3</v>
      </c>
      <c r="E22" s="233" t="s">
        <v>99</v>
      </c>
      <c r="F22" s="234">
        <f ca="1">'数据-取费表'!B40</f>
        <v>3.4500000000000003E-2</v>
      </c>
      <c r="G22" s="1059" t="str">
        <f>IF('数据-取费表'!B22&lt;=1,"单利计息","复利计息")</f>
        <v>复利计息</v>
      </c>
    </row>
    <row r="23" spans="1:7" s="211" customFormat="1" ht="13.5" customHeight="1">
      <c r="A23" s="772" t="s">
        <v>349</v>
      </c>
      <c r="B23" s="212" t="s">
        <v>423</v>
      </c>
      <c r="C23" s="1097">
        <f ca="1">ROUND(IF('数据-取费表'!B22&lt;=1,C5*F22*'数据-取费表'!B23,C5*(POWER((1+F22),'数据-取费表'!B23)-1)),0)</f>
        <v>2208</v>
      </c>
      <c r="D23" s="235"/>
      <c r="E23" s="235"/>
      <c r="F23" s="236"/>
      <c r="G23" s="237" t="s">
        <v>81</v>
      </c>
    </row>
    <row r="24" spans="1:7" s="211" customFormat="1" ht="13.5" customHeight="1">
      <c r="A24" s="772" t="s">
        <v>347</v>
      </c>
      <c r="B24" s="212" t="s">
        <v>418</v>
      </c>
      <c r="C24" s="1097">
        <f ca="1">ROUND(IF('数据-取费表'!B22&lt;=1,C19*F22*('数据-取费表'!B19/2+'数据-取费表'!B21),C19*(POWER((1+F22),('数据-取费表'!B19/2+'数据-取费表'!B21))-1)),0)</f>
        <v>222</v>
      </c>
      <c r="D24" s="235"/>
      <c r="E24" s="235"/>
      <c r="F24" s="236"/>
      <c r="G24" s="237" t="s">
        <v>82</v>
      </c>
    </row>
    <row r="25" spans="1:7" s="211" customFormat="1" ht="24">
      <c r="A25" s="772" t="s">
        <v>348</v>
      </c>
      <c r="B25" s="212" t="s">
        <v>420</v>
      </c>
      <c r="C25" s="1097">
        <f ca="1">ROUND(IF('数据-取费表'!B22&lt;=1,C20*F22*'数据-取费表'!B23/2,C20*(POWER((1+F22),'数据-取费表'!B23/2)-1)),0)</f>
        <v>35</v>
      </c>
      <c r="D25" s="235"/>
      <c r="E25" s="238"/>
      <c r="F25" s="236"/>
      <c r="G25" s="239" t="s">
        <v>83</v>
      </c>
    </row>
    <row r="26" spans="1:7" s="211" customFormat="1">
      <c r="A26" s="772" t="s">
        <v>350</v>
      </c>
      <c r="B26" s="212" t="s">
        <v>422</v>
      </c>
      <c r="C26" s="235">
        <f ca="1">ROUND(IF('数据-取费表'!B22&lt;=1,F21*F22*'数据-取费表'!B23/2,F21*(POWER((1+F22),'数据-取费表'!B23/2)-1)),4)</f>
        <v>1E-3</v>
      </c>
      <c r="D26" s="235"/>
      <c r="E26" s="238"/>
      <c r="F26" s="236"/>
      <c r="G26" s="240"/>
    </row>
    <row r="27" spans="1:7" s="211" customFormat="1" ht="24.75">
      <c r="A27" s="769" t="s">
        <v>342</v>
      </c>
      <c r="B27" s="241" t="s">
        <v>85</v>
      </c>
      <c r="C27" s="242">
        <f>C28</f>
        <v>4439</v>
      </c>
      <c r="D27" s="232">
        <f>C29</f>
        <v>3.8E-3</v>
      </c>
      <c r="E27" s="233" t="s">
        <v>99</v>
      </c>
      <c r="F27" s="243">
        <f>'数据-取费表'!Q16</f>
        <v>0.19</v>
      </c>
      <c r="G27" s="244" t="s">
        <v>431</v>
      </c>
    </row>
    <row r="28" spans="1:7" s="211" customFormat="1" ht="13.5" customHeight="1">
      <c r="A28" s="772" t="s">
        <v>349</v>
      </c>
      <c r="B28" s="245" t="s">
        <v>424</v>
      </c>
      <c r="C28" s="246">
        <f>ROUND((C5+C19+C20)*F27*'数据-取费表'!B21/'数据-取费表'!B20,0)</f>
        <v>4439</v>
      </c>
      <c r="D28" s="232"/>
      <c r="E28" s="233"/>
      <c r="F28" s="243"/>
      <c r="G28" s="244"/>
    </row>
    <row r="29" spans="1:7" s="211" customFormat="1" ht="13.5" customHeight="1">
      <c r="A29" s="772" t="s">
        <v>347</v>
      </c>
      <c r="B29" s="245" t="s">
        <v>425</v>
      </c>
      <c r="C29" s="235">
        <f>ROUND(C21*F27*'数据-取费表'!B21/'数据-取费表'!B20,4)</f>
        <v>3.8E-3</v>
      </c>
      <c r="D29" s="232"/>
      <c r="E29" s="233"/>
      <c r="F29" s="243"/>
      <c r="G29" s="244"/>
    </row>
    <row r="30" spans="1:7" s="211" customFormat="1" ht="13.5" customHeight="1">
      <c r="A30" s="769" t="s">
        <v>343</v>
      </c>
      <c r="B30" s="207" t="s">
        <v>31</v>
      </c>
      <c r="C30" s="232">
        <f>F30</f>
        <v>5.6000000000000001E-2</v>
      </c>
      <c r="D30" s="233" t="s">
        <v>100</v>
      </c>
      <c r="E30" s="238"/>
      <c r="F30" s="234">
        <f>'数据-取费表'!B41</f>
        <v>5.6000000000000001E-2</v>
      </c>
      <c r="G30" s="231" t="s">
        <v>86</v>
      </c>
    </row>
    <row r="31" spans="1:7" ht="16.5" customHeight="1">
      <c r="A31" s="206">
        <v>1</v>
      </c>
      <c r="B31" s="207" t="s">
        <v>101</v>
      </c>
      <c r="C31" s="208">
        <f ca="1">ROUND((C5+C19+C20+C22+C27)/(1-C21-D22-D27-C30/(1+'数据-取费表'!B42)),0)</f>
        <v>32832</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77500</v>
      </c>
      <c r="D33" s="229"/>
      <c r="E33" s="209"/>
      <c r="F33" s="238"/>
      <c r="G33" s="231"/>
    </row>
    <row r="34" spans="1:7" s="255" customFormat="1" ht="13.5" customHeight="1">
      <c r="A34" s="772" t="s">
        <v>349</v>
      </c>
      <c r="B34" s="212" t="s">
        <v>32</v>
      </c>
      <c r="C34" s="217">
        <f>IF(F34=100%,'数据-取费表'!M16-SUMIF('数据-取费表'!C:C,"公共配套",'数据-取费表'!M:M),'数据-取费表'!O16-SUMIF('数据-取费表'!C:C,"公共配套",'数据-取费表'!O:O))</f>
        <v>70492</v>
      </c>
      <c r="D34" s="214"/>
      <c r="E34" s="217"/>
      <c r="F34" s="254">
        <f>IF('数据-取费表'!B24=0,1,'数据-取费表'!N16)</f>
        <v>1</v>
      </c>
      <c r="G34" s="216" t="s">
        <v>89</v>
      </c>
    </row>
    <row r="35" spans="1:7" ht="13.5" customHeight="1">
      <c r="A35" s="772" t="s">
        <v>351</v>
      </c>
      <c r="B35" s="212" t="s">
        <v>33</v>
      </c>
      <c r="C35" s="217">
        <f>ROUND(C34*F35,0)</f>
        <v>3525</v>
      </c>
      <c r="D35" s="217"/>
      <c r="E35" s="217"/>
      <c r="F35" s="256">
        <f>'数据-取费表'!B33</f>
        <v>0.05</v>
      </c>
      <c r="G35" s="216" t="s">
        <v>90</v>
      </c>
    </row>
    <row r="36" spans="1:7" ht="24">
      <c r="A36" s="772"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2" t="s">
        <v>353</v>
      </c>
      <c r="B37" s="212" t="s">
        <v>91</v>
      </c>
      <c r="C37" s="246">
        <f>ROUND(E37*D37*F34/10000,0)</f>
        <v>2073</v>
      </c>
      <c r="D37" s="214">
        <f>'数据-汇总表'!E3</f>
        <v>103664.12</v>
      </c>
      <c r="E37" s="246">
        <f>'数据-取费表'!B35</f>
        <v>200</v>
      </c>
      <c r="F37" s="256"/>
      <c r="G37" s="258" t="s">
        <v>92</v>
      </c>
    </row>
    <row r="38" spans="1:7" ht="13.5" customHeight="1">
      <c r="A38" s="772" t="s">
        <v>354</v>
      </c>
      <c r="B38" s="212" t="s">
        <v>36</v>
      </c>
      <c r="C38" s="217">
        <f>ROUND(C34*F38,0)</f>
        <v>1410</v>
      </c>
      <c r="D38" s="217"/>
      <c r="E38" s="217"/>
      <c r="F38" s="256">
        <f>'数据-取费表'!B36</f>
        <v>0.02</v>
      </c>
      <c r="G38" s="216" t="s">
        <v>90</v>
      </c>
    </row>
    <row r="39" spans="1:7" s="211" customFormat="1" ht="13.5" customHeight="1">
      <c r="A39" s="769" t="s">
        <v>338</v>
      </c>
      <c r="B39" s="207" t="s">
        <v>77</v>
      </c>
      <c r="C39" s="229">
        <f>ROUND(C33*F20,0)</f>
        <v>2325</v>
      </c>
      <c r="D39" s="229"/>
      <c r="E39" s="229"/>
      <c r="F39" s="230"/>
      <c r="G39" s="1059" t="s">
        <v>433</v>
      </c>
    </row>
    <row r="40" spans="1:7" s="211" customFormat="1" ht="13.5" customHeight="1">
      <c r="A40" s="769" t="s">
        <v>339</v>
      </c>
      <c r="B40" s="207" t="s">
        <v>78</v>
      </c>
      <c r="C40" s="259">
        <f>F21</f>
        <v>0.02</v>
      </c>
      <c r="D40" s="233" t="s">
        <v>102</v>
      </c>
      <c r="E40" s="229"/>
      <c r="F40" s="230"/>
      <c r="G40" s="231" t="s">
        <v>93</v>
      </c>
    </row>
    <row r="41" spans="1:7" s="211" customFormat="1" ht="13.5" customHeight="1">
      <c r="A41" s="769" t="s">
        <v>340</v>
      </c>
      <c r="B41" s="207" t="s">
        <v>80</v>
      </c>
      <c r="C41" s="229">
        <f ca="1">ROUND(SUM(C42:C43),0)</f>
        <v>4166</v>
      </c>
      <c r="D41" s="232">
        <f ca="1">C44</f>
        <v>1E-3</v>
      </c>
      <c r="E41" s="233" t="s">
        <v>102</v>
      </c>
      <c r="F41" s="234"/>
      <c r="G41" s="1059" t="str">
        <f>IF('数据-取费表'!B22&lt;=1,"单利计息","复利计息")</f>
        <v>复利计息</v>
      </c>
    </row>
    <row r="42" spans="1:7" ht="13.5" customHeight="1">
      <c r="A42" s="772" t="s">
        <v>349</v>
      </c>
      <c r="B42" s="212" t="s">
        <v>423</v>
      </c>
      <c r="C42" s="235">
        <f ca="1">ROUND(IF('数据-取费表'!B22&lt;=1,C33*F22*'数据-取费表'!B21/2,C33*(POWER((1+F22),'数据-取费表'!B21/2)-1)),0)</f>
        <v>4045</v>
      </c>
      <c r="D42" s="235"/>
      <c r="E42" s="235"/>
      <c r="F42" s="236"/>
      <c r="G42" s="3795" t="s">
        <v>94</v>
      </c>
    </row>
    <row r="43" spans="1:7" ht="13.5" customHeight="1">
      <c r="A43" s="772" t="s">
        <v>347</v>
      </c>
      <c r="B43" s="212" t="s">
        <v>426</v>
      </c>
      <c r="C43" s="235">
        <f ca="1">ROUND(IF('数据-取费表'!B22&lt;=1,C39*F22*'数据-取费表'!B21/2,C39*(POWER((1+F22),'数据-取费表'!B21/2)-1)),0)</f>
        <v>121</v>
      </c>
      <c r="D43" s="235"/>
      <c r="E43" s="235"/>
      <c r="F43" s="236"/>
      <c r="G43" s="3796"/>
    </row>
    <row r="44" spans="1:7" ht="13.5" customHeight="1">
      <c r="A44" s="772" t="s">
        <v>348</v>
      </c>
      <c r="B44" s="212" t="s">
        <v>428</v>
      </c>
      <c r="C44" s="235">
        <f ca="1">ROUND(IF('数据-取费表'!B22&lt;=1,C40*F22*'数据-取费表'!B21/2,C40*(POWER((1+F22),'数据-取费表'!B21/2)-1)),4)</f>
        <v>1E-3</v>
      </c>
      <c r="D44" s="235"/>
      <c r="E44" s="235"/>
      <c r="F44" s="236"/>
      <c r="G44" s="3797"/>
    </row>
    <row r="45" spans="1:7" s="211" customFormat="1" ht="13.5" customHeight="1">
      <c r="A45" s="769" t="s">
        <v>341</v>
      </c>
      <c r="B45" s="241" t="s">
        <v>85</v>
      </c>
      <c r="C45" s="242">
        <f>C46</f>
        <v>15167</v>
      </c>
      <c r="D45" s="232">
        <f>C47</f>
        <v>3.8E-3</v>
      </c>
      <c r="E45" s="233" t="s">
        <v>102</v>
      </c>
      <c r="F45" s="243"/>
      <c r="G45" s="244" t="s">
        <v>434</v>
      </c>
    </row>
    <row r="46" spans="1:7" s="211" customFormat="1" ht="13.5" customHeight="1">
      <c r="A46" s="772" t="s">
        <v>349</v>
      </c>
      <c r="B46" s="245" t="s">
        <v>427</v>
      </c>
      <c r="C46" s="246">
        <f>ROUND((C33+C39)*F27,0)</f>
        <v>15167</v>
      </c>
      <c r="D46" s="260"/>
      <c r="E46" s="233"/>
      <c r="F46" s="243"/>
      <c r="G46" s="244"/>
    </row>
    <row r="47" spans="1:7" s="211" customFormat="1" ht="13.5" customHeight="1">
      <c r="A47" s="772" t="s">
        <v>347</v>
      </c>
      <c r="B47" s="245" t="s">
        <v>429</v>
      </c>
      <c r="C47" s="235">
        <f>ROUND(C40*F27,4)</f>
        <v>3.8E-3</v>
      </c>
      <c r="D47" s="260"/>
      <c r="E47" s="233"/>
      <c r="F47" s="243"/>
      <c r="G47" s="244"/>
    </row>
    <row r="48" spans="1:7" s="211" customFormat="1" ht="13.5" customHeight="1">
      <c r="A48" s="769" t="s">
        <v>342</v>
      </c>
      <c r="B48" s="207" t="s">
        <v>95</v>
      </c>
      <c r="C48" s="259">
        <f>F30</f>
        <v>5.6000000000000001E-2</v>
      </c>
      <c r="D48" s="233" t="s">
        <v>103</v>
      </c>
      <c r="E48" s="229"/>
      <c r="F48" s="234"/>
      <c r="G48" s="231" t="s">
        <v>96</v>
      </c>
    </row>
    <row r="49" spans="1:7" ht="16.5" customHeight="1">
      <c r="A49" s="769" t="s">
        <v>343</v>
      </c>
      <c r="B49" s="207" t="s">
        <v>104</v>
      </c>
      <c r="C49" s="229">
        <f ca="1">ROUND((C33+C39+C41+C45)/(1-C40-D41-D45-C48/(1+'数据-取费表'!B42)),0)</f>
        <v>107562</v>
      </c>
      <c r="D49" s="229"/>
      <c r="E49" s="229"/>
      <c r="F49" s="261"/>
      <c r="G49" s="231" t="s">
        <v>435</v>
      </c>
    </row>
    <row r="50" spans="1:7" s="255" customFormat="1" ht="24">
      <c r="A50" s="769" t="s">
        <v>344</v>
      </c>
      <c r="B50" s="207" t="s">
        <v>97</v>
      </c>
      <c r="C50" s="229"/>
      <c r="D50" s="229"/>
      <c r="E50" s="229"/>
      <c r="F50" s="261">
        <f>IF('数据-取费表'!B24=0,'数据-取费表'!N16,1)</f>
        <v>0.97</v>
      </c>
      <c r="G50" s="244" t="s">
        <v>98</v>
      </c>
    </row>
    <row r="51" spans="1:7" ht="16.5" customHeight="1">
      <c r="A51" s="769" t="s">
        <v>345</v>
      </c>
      <c r="B51" s="207" t="s">
        <v>105</v>
      </c>
      <c r="C51" s="229">
        <f ca="1">ROUND(C49*F50,0)</f>
        <v>104335</v>
      </c>
      <c r="D51" s="229"/>
      <c r="E51" s="229"/>
      <c r="F51" s="261"/>
      <c r="G51" s="231" t="s">
        <v>37</v>
      </c>
    </row>
    <row r="52" spans="1:7" s="205" customFormat="1" ht="16.5" thickBot="1">
      <c r="A52" s="262" t="s">
        <v>38</v>
      </c>
      <c r="B52" s="263"/>
      <c r="C52" s="264">
        <f ca="1">C31+C51</f>
        <v>137167</v>
      </c>
      <c r="D52" s="263"/>
      <c r="E52" s="263"/>
      <c r="F52" s="263"/>
      <c r="G52" s="265"/>
    </row>
    <row r="55" spans="1:7" ht="15">
      <c r="B55" s="267" t="s">
        <v>39</v>
      </c>
      <c r="C55" s="268"/>
    </row>
    <row r="56" spans="1:7">
      <c r="B56" s="270" t="s">
        <v>40</v>
      </c>
      <c r="C56" s="271">
        <f ca="1">ROUND(C51/C52,3)</f>
        <v>0.76100000000000001</v>
      </c>
    </row>
    <row r="57" spans="1:7">
      <c r="B57" s="270" t="s">
        <v>41</v>
      </c>
      <c r="C57" s="272">
        <f ca="1">1-C56</f>
        <v>0.23899999999999999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48" sqref="J48"/>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2" t="s">
        <v>3403</v>
      </c>
      <c r="C1" s="195"/>
      <c r="D1" s="195"/>
      <c r="E1" s="195"/>
      <c r="F1" s="195"/>
      <c r="G1" s="1118">
        <f>MATCH(B1,'数据-取费表'!A6:A16,0)+5</f>
        <v>7</v>
      </c>
    </row>
    <row r="2" spans="1:9" s="197" customFormat="1" ht="18" customHeight="1">
      <c r="A2" s="198" t="s">
        <v>1462</v>
      </c>
      <c r="B2" s="199">
        <f ca="1">IF(D2="——",C52,C52-E2)</f>
        <v>58536</v>
      </c>
      <c r="C2" s="196" t="s">
        <v>1463</v>
      </c>
      <c r="D2" s="1845" t="s">
        <v>43</v>
      </c>
      <c r="E2" s="1161" t="e">
        <f ca="1">SUMIF(INDIRECT("'"&amp;G2&amp;"'"&amp;"!A:A"),"承租人权益价值",INDIRECT("'"&amp;G2&amp;"'"&amp;"!c:c"))</f>
        <v>#REF!</v>
      </c>
      <c r="F2" s="1846" t="s">
        <v>1463</v>
      </c>
      <c r="G2" s="1847"/>
    </row>
    <row r="3" spans="1:9" s="197" customFormat="1" ht="18" customHeight="1" thickBot="1">
      <c r="A3" s="200" t="s">
        <v>1464</v>
      </c>
      <c r="B3" s="201">
        <f ca="1">ROUND(B2*10000/(IF(B1="",'数据-汇总表'!E3,INDIRECT("'数据-取费表'!k"&amp;$G$1))),0)</f>
        <v>11308</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 ca="1">C6+C7+C8</f>
        <v>6913</v>
      </c>
      <c r="D5" s="208" t="s">
        <v>1469</v>
      </c>
      <c r="E5" s="209" t="s">
        <v>1470</v>
      </c>
      <c r="F5" s="209" t="s">
        <v>1471</v>
      </c>
      <c r="G5" s="210"/>
    </row>
    <row r="6" spans="1:9" s="211" customFormat="1" ht="13.5" customHeight="1">
      <c r="A6" s="770" t="s">
        <v>1472</v>
      </c>
      <c r="B6" s="212" t="s">
        <v>1473</v>
      </c>
      <c r="C6" s="213">
        <f>基准地价修正!B2</f>
        <v>5905</v>
      </c>
      <c r="D6" s="214"/>
      <c r="E6" s="215"/>
      <c r="F6" s="215"/>
      <c r="G6" s="216"/>
    </row>
    <row r="7" spans="1:9" s="211" customFormat="1" ht="13.5" customHeight="1">
      <c r="A7" s="770" t="s">
        <v>1474</v>
      </c>
      <c r="B7" s="212" t="s">
        <v>1475</v>
      </c>
      <c r="C7" s="217">
        <f>ROUND(C6*F7,0)</f>
        <v>180</v>
      </c>
      <c r="D7" s="217"/>
      <c r="E7" s="215"/>
      <c r="F7" s="218">
        <f>IF(项目基本情况!B8="出让",0,'数据-取费表'!B48+'数据-取费表'!B49)</f>
        <v>3.0499999999999999E-2</v>
      </c>
      <c r="G7" s="216"/>
    </row>
    <row r="8" spans="1:9" s="220" customFormat="1">
      <c r="A8" s="770" t="s">
        <v>1476</v>
      </c>
      <c r="B8" s="212" t="s">
        <v>1477</v>
      </c>
      <c r="C8" s="217">
        <f ca="1">IF(G8="已包含在土地购买价格中","0",IF(B1="",'数据-取费表'!B29,IF(G9="全部缴纳",C9+C10,H9)))</f>
        <v>828</v>
      </c>
      <c r="D8" s="219"/>
      <c r="E8" s="217"/>
      <c r="F8" s="218"/>
      <c r="G8" s="1848" t="s">
        <v>3875</v>
      </c>
    </row>
    <row r="9" spans="1:9" s="211" customFormat="1" ht="13.5" customHeight="1">
      <c r="A9" s="771" t="s">
        <v>355</v>
      </c>
      <c r="B9" s="221" t="s">
        <v>1478</v>
      </c>
      <c r="C9" s="222">
        <f ca="1">ROUND(D9*E9/10000,0)</f>
        <v>0</v>
      </c>
      <c r="D9" s="837">
        <f ca="1">IF(B1="",'数据-汇总表'!E5,IF(INDIRECT("'数据-取费表'!c"&amp;$G$1)="住宅",INDIRECT("'数据-取费表'!k"&amp;$G$1),0))</f>
        <v>0</v>
      </c>
      <c r="E9" s="222">
        <f>'数据-取费表'!B27</f>
        <v>200</v>
      </c>
      <c r="F9" s="218"/>
      <c r="G9" s="1849" t="s">
        <v>3876</v>
      </c>
      <c r="H9" s="1129"/>
      <c r="I9" s="1850" t="s">
        <v>1479</v>
      </c>
    </row>
    <row r="10" spans="1:9" s="211" customFormat="1" ht="13.5" customHeight="1">
      <c r="A10" s="771" t="s">
        <v>356</v>
      </c>
      <c r="B10" s="221" t="s">
        <v>1480</v>
      </c>
      <c r="C10" s="222">
        <f ca="1">ROUND(D10*E10/10000,0)</f>
        <v>828</v>
      </c>
      <c r="D10" s="837">
        <f ca="1">IF(B1="",'数据-汇总表'!E6,IF(INDIRECT("'数据-取费表'!c"&amp;$G$1)="住宅",INDIRECT("'数据-取费表'!s"&amp;$G$1),INDIRECT("'数据-取费表'!k"&amp;$G$1)+INDIRECT("'数据-取费表'!s"&amp;$G$1)))</f>
        <v>51763.15</v>
      </c>
      <c r="E10" s="222">
        <f>'数据-取费表'!B28</f>
        <v>160</v>
      </c>
      <c r="F10" s="218"/>
      <c r="G10" s="223"/>
    </row>
    <row r="11" spans="1:9" s="211" customFormat="1" ht="13.5" hidden="1" customHeight="1">
      <c r="A11" s="224" t="s">
        <v>4</v>
      </c>
      <c r="B11" s="212" t="s">
        <v>1481</v>
      </c>
      <c r="C11" s="208"/>
      <c r="D11" s="839"/>
      <c r="E11" s="215"/>
      <c r="F11" s="215"/>
      <c r="G11" s="216"/>
    </row>
    <row r="12" spans="1:9" s="211" customFormat="1" ht="13.5" hidden="1" customHeight="1">
      <c r="A12" s="224" t="s">
        <v>5</v>
      </c>
      <c r="B12" s="212" t="s">
        <v>1482</v>
      </c>
      <c r="C12" s="208">
        <v>0</v>
      </c>
      <c r="D12" s="839"/>
      <c r="E12" s="225"/>
      <c r="F12" s="218">
        <v>3.0499999999999999E-2</v>
      </c>
      <c r="G12" s="216"/>
    </row>
    <row r="13" spans="1:9" s="211" customFormat="1" ht="13.5" hidden="1" customHeight="1">
      <c r="A13" s="224" t="s">
        <v>6</v>
      </c>
      <c r="B13" s="212" t="s">
        <v>1483</v>
      </c>
      <c r="C13" s="208"/>
      <c r="D13" s="839"/>
      <c r="E13" s="215"/>
      <c r="F13" s="215"/>
      <c r="G13" s="216"/>
    </row>
    <row r="14" spans="1:9" s="211" customFormat="1" ht="13.5" hidden="1" customHeight="1">
      <c r="A14" s="224" t="s">
        <v>7</v>
      </c>
      <c r="B14" s="212" t="s">
        <v>1484</v>
      </c>
      <c r="C14" s="208"/>
      <c r="D14" s="839"/>
      <c r="E14" s="215"/>
      <c r="F14" s="215"/>
      <c r="G14" s="216" t="s">
        <v>1485</v>
      </c>
    </row>
    <row r="15" spans="1:9" s="211" customFormat="1" ht="13.5" hidden="1" customHeight="1">
      <c r="A15" s="224" t="s">
        <v>8</v>
      </c>
      <c r="B15" s="212" t="s">
        <v>1486</v>
      </c>
      <c r="C15" s="217"/>
      <c r="D15" s="839"/>
      <c r="E15" s="215"/>
      <c r="F15" s="215"/>
      <c r="G15" s="216" t="s">
        <v>1487</v>
      </c>
    </row>
    <row r="16" spans="1:9" s="211" customFormat="1" ht="13.5" hidden="1" customHeight="1">
      <c r="A16" s="224" t="s">
        <v>9</v>
      </c>
      <c r="B16" s="212" t="s">
        <v>1484</v>
      </c>
      <c r="C16" s="217"/>
      <c r="D16" s="839"/>
      <c r="E16" s="215"/>
      <c r="F16" s="215"/>
      <c r="G16" s="216"/>
    </row>
    <row r="17" spans="1:7" s="211" customFormat="1" ht="13.5" hidden="1" customHeight="1">
      <c r="A17" s="224" t="s">
        <v>10</v>
      </c>
      <c r="B17" s="212" t="s">
        <v>1488</v>
      </c>
      <c r="C17" s="226"/>
      <c r="D17" s="840"/>
      <c r="E17" s="226"/>
      <c r="F17" s="226"/>
      <c r="G17" s="216" t="s">
        <v>1487</v>
      </c>
    </row>
    <row r="18" spans="1:7" s="211" customFormat="1" ht="13.5" hidden="1" customHeight="1">
      <c r="A18" s="224" t="s">
        <v>11</v>
      </c>
      <c r="B18" s="212" t="s">
        <v>1489</v>
      </c>
      <c r="C18" s="217">
        <v>0</v>
      </c>
      <c r="D18" s="839"/>
      <c r="E18" s="215"/>
      <c r="F18" s="218">
        <v>3.0499999999999999E-2</v>
      </c>
      <c r="G18" s="216" t="s">
        <v>1490</v>
      </c>
    </row>
    <row r="19" spans="1:7" s="220" customFormat="1" ht="13.5" customHeight="1">
      <c r="A19" s="252" t="s">
        <v>1491</v>
      </c>
      <c r="B19" s="207" t="s">
        <v>1492</v>
      </c>
      <c r="C19" s="208" t="str">
        <f>IF(G19="已包含在土地取得成本中","0",ROUND(D19*E19/10000,0))</f>
        <v>0</v>
      </c>
      <c r="D19" s="841">
        <f ca="1">D9+D10</f>
        <v>51763.15</v>
      </c>
      <c r="E19" s="208">
        <f>'数据-取费表'!B31</f>
        <v>200</v>
      </c>
      <c r="F19" s="228"/>
      <c r="G19" s="1848" t="s">
        <v>3877</v>
      </c>
    </row>
    <row r="20" spans="1:7" s="211" customFormat="1" ht="13.5" customHeight="1">
      <c r="A20" s="252" t="s">
        <v>1493</v>
      </c>
      <c r="B20" s="207" t="s">
        <v>1494</v>
      </c>
      <c r="C20" s="229">
        <f ca="1">ROUND((C5+C19)*F20,0)</f>
        <v>207</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096">
        <f ca="1">ROUND(SUM(C23:C25),0)</f>
        <v>751</v>
      </c>
      <c r="D22" s="232">
        <f ca="1">C26</f>
        <v>1E-3</v>
      </c>
      <c r="E22" s="233" t="s">
        <v>1498</v>
      </c>
      <c r="F22" s="234">
        <f ca="1">'数据-取费表'!B40</f>
        <v>3.4500000000000003E-2</v>
      </c>
      <c r="G22" s="231" t="str">
        <f>IF('数据-取费表'!B22&lt;=1,"单利计息","复利计息")</f>
        <v>复利计息</v>
      </c>
    </row>
    <row r="23" spans="1:7" s="211" customFormat="1" ht="13.5" customHeight="1">
      <c r="A23" s="772" t="s">
        <v>1502</v>
      </c>
      <c r="B23" s="212" t="s">
        <v>1503</v>
      </c>
      <c r="C23" s="1097">
        <f ca="1">ROUND(IF('数据-取费表'!B22&lt;=1,C5*F22*'数据-取费表'!B23,C5*(POWER((1+F22),'数据-取费表'!B23)-1)),0)</f>
        <v>740</v>
      </c>
      <c r="D23" s="235"/>
      <c r="E23" s="235"/>
      <c r="F23" s="236"/>
      <c r="G23" s="237" t="s">
        <v>1504</v>
      </c>
    </row>
    <row r="24" spans="1:7" s="211" customFormat="1" ht="13.5" customHeight="1">
      <c r="A24" s="772" t="s">
        <v>1505</v>
      </c>
      <c r="B24" s="212" t="s">
        <v>1506</v>
      </c>
      <c r="C24" s="1097">
        <f ca="1">ROUND(IF('数据-取费表'!B22&lt;=1,C19*F22*('数据-取费表'!B19/2+'数据-取费表'!B21),C19*(POWER((1+F22),('数据-取费表'!B19/2+'数据-取费表'!B21))-1)),0)</f>
        <v>0</v>
      </c>
      <c r="D24" s="235"/>
      <c r="E24" s="235"/>
      <c r="F24" s="236"/>
      <c r="G24" s="237" t="s">
        <v>1507</v>
      </c>
    </row>
    <row r="25" spans="1:7" s="211" customFormat="1" ht="24">
      <c r="A25" s="772" t="s">
        <v>1508</v>
      </c>
      <c r="B25" s="212" t="s">
        <v>1509</v>
      </c>
      <c r="C25" s="1097">
        <f ca="1">ROUND(IF('数据-取费表'!B22&lt;=1,C20*F22*'数据-取费表'!B23/2,C20*(POWER((1+F22),'数据-取费表'!B23/2)-1)),0)</f>
        <v>11</v>
      </c>
      <c r="D25" s="235"/>
      <c r="E25" s="238"/>
      <c r="F25" s="236"/>
      <c r="G25" s="239" t="s">
        <v>1510</v>
      </c>
    </row>
    <row r="26" spans="1:7" s="211" customFormat="1">
      <c r="A26" s="772" t="s">
        <v>350</v>
      </c>
      <c r="B26" s="212" t="s">
        <v>1511</v>
      </c>
      <c r="C26" s="235">
        <f ca="1">ROUND(IF('数据-取费表'!B22&lt;=1,F21*F22*'数据-取费表'!B23/2,F21*(POWER((1+F22),'数据-取费表'!B23/2)-1)),4)</f>
        <v>1E-3</v>
      </c>
      <c r="D26" s="235"/>
      <c r="E26" s="238"/>
      <c r="F26" s="236"/>
      <c r="G26" s="240"/>
    </row>
    <row r="27" spans="1:7" s="211" customFormat="1" ht="24.75">
      <c r="A27" s="252" t="s">
        <v>1512</v>
      </c>
      <c r="B27" s="241" t="s">
        <v>1513</v>
      </c>
      <c r="C27" s="242">
        <f ca="1">C28</f>
        <v>854</v>
      </c>
      <c r="D27" s="232">
        <f ca="1">C29</f>
        <v>2.3999999999999998E-3</v>
      </c>
      <c r="E27" s="233" t="s">
        <v>1514</v>
      </c>
      <c r="F27" s="243">
        <f ca="1">IF(B1="",'数据-取费表'!Q16,INDIRECT("'数据-取费表'!q"&amp;$G$1))</f>
        <v>0.12</v>
      </c>
      <c r="G27" s="244" t="s">
        <v>1515</v>
      </c>
    </row>
    <row r="28" spans="1:7" s="211" customFormat="1" ht="13.5" customHeight="1">
      <c r="A28" s="772" t="s">
        <v>346</v>
      </c>
      <c r="B28" s="245" t="s">
        <v>1516</v>
      </c>
      <c r="C28" s="246">
        <f ca="1">ROUND((C5+C19+C20)*F27*'数据-取费表'!B21/'数据-取费表'!B20,0)</f>
        <v>854</v>
      </c>
      <c r="D28" s="232"/>
      <c r="E28" s="233"/>
      <c r="F28" s="243"/>
      <c r="G28" s="244"/>
    </row>
    <row r="29" spans="1:7" s="211" customFormat="1" ht="13.5" customHeight="1">
      <c r="A29" s="772" t="s">
        <v>347</v>
      </c>
      <c r="B29" s="245" t="s">
        <v>1517</v>
      </c>
      <c r="C29" s="235">
        <f ca="1">ROUND(C21*F27*'数据-取费表'!B21/'数据-取费表'!B20,4)</f>
        <v>2.3999999999999998E-3</v>
      </c>
      <c r="D29" s="232"/>
      <c r="E29" s="233"/>
      <c r="F29" s="243"/>
      <c r="G29" s="244"/>
    </row>
    <row r="30" spans="1:7" s="211" customFormat="1" ht="13.5" customHeight="1">
      <c r="A30" s="252" t="s">
        <v>1518</v>
      </c>
      <c r="B30" s="207" t="s">
        <v>1519</v>
      </c>
      <c r="C30" s="232">
        <f>ROUND(F30/(1+'数据-取费表'!C42),4)</f>
        <v>5.33E-2</v>
      </c>
      <c r="D30" s="233" t="s">
        <v>1514</v>
      </c>
      <c r="E30" s="238"/>
      <c r="F30" s="234">
        <f>'数据-取费表'!B41</f>
        <v>5.6000000000000001E-2</v>
      </c>
      <c r="G30" s="231" t="s">
        <v>1520</v>
      </c>
    </row>
    <row r="31" spans="1:7" ht="16.5" customHeight="1">
      <c r="A31" s="206">
        <v>1</v>
      </c>
      <c r="B31" s="207" t="s">
        <v>1521</v>
      </c>
      <c r="C31" s="208">
        <f ca="1">ROUND((C5+C19+C20+C22+C27)/(1-C21-D22-D27-C30),0)</f>
        <v>9450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38698</v>
      </c>
      <c r="D33" s="229"/>
      <c r="E33" s="209"/>
      <c r="F33" s="238"/>
      <c r="G33" s="231"/>
    </row>
    <row r="34" spans="1:7" s="255" customFormat="1" ht="13.5" customHeight="1">
      <c r="A34" s="772" t="s">
        <v>346</v>
      </c>
      <c r="B34" s="212" t="s">
        <v>1525</v>
      </c>
      <c r="C34" s="217">
        <f ca="1">IF(B1="",IF(F34=100%,'数据-取费表'!M16,'数据-取费表'!O16),IF(F34=100%,INDIRECT("'数据-取费表'!m"&amp;$G$1)+INDIRECT("'数据-取费表'!t"&amp;$G$1),INDIRECT("'数据-取费表'!o"&amp;$G$1)+INDIRECT("'数据-取费表'!aq"&amp;$G$1)))</f>
        <v>35199</v>
      </c>
      <c r="D34" s="214"/>
      <c r="E34" s="217"/>
      <c r="F34" s="254">
        <f ca="1">IF('数据-取费表'!B24=0,1,IF(B1="",'数据-取费表'!N16,INDIRECT("'数据-取费表'!n"&amp;$G$1)))</f>
        <v>1</v>
      </c>
      <c r="G34" s="216" t="s">
        <v>1526</v>
      </c>
    </row>
    <row r="35" spans="1:7" ht="13.5" customHeight="1">
      <c r="A35" s="772" t="s">
        <v>351</v>
      </c>
      <c r="B35" s="212" t="s">
        <v>1527</v>
      </c>
      <c r="C35" s="217">
        <f ca="1">ROUND(C34*F35,0)</f>
        <v>1760</v>
      </c>
      <c r="D35" s="217"/>
      <c r="E35" s="217"/>
      <c r="F35" s="256">
        <f>'数据-取费表'!B33</f>
        <v>0.05</v>
      </c>
      <c r="G35" s="216" t="s">
        <v>1528</v>
      </c>
    </row>
    <row r="36" spans="1:7" ht="24">
      <c r="A36" s="772"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2" t="s">
        <v>353</v>
      </c>
      <c r="B37" s="212" t="s">
        <v>1531</v>
      </c>
      <c r="C37" s="246">
        <f ca="1">ROUND(E37*D37*F34/10000,0)</f>
        <v>1035</v>
      </c>
      <c r="D37" s="214">
        <f ca="1">D19</f>
        <v>51763.15</v>
      </c>
      <c r="E37" s="246">
        <f>'数据-取费表'!B35</f>
        <v>200</v>
      </c>
      <c r="F37" s="256"/>
      <c r="G37" s="258" t="s">
        <v>1532</v>
      </c>
    </row>
    <row r="38" spans="1:7" ht="13.5" customHeight="1">
      <c r="A38" s="772" t="s">
        <v>354</v>
      </c>
      <c r="B38" s="212" t="s">
        <v>1533</v>
      </c>
      <c r="C38" s="217">
        <f ca="1">ROUND(C34*F38,0)</f>
        <v>704</v>
      </c>
      <c r="D38" s="217"/>
      <c r="E38" s="217"/>
      <c r="F38" s="256">
        <f>'数据-取费表'!B36</f>
        <v>0.02</v>
      </c>
      <c r="G38" s="216" t="s">
        <v>1528</v>
      </c>
    </row>
    <row r="39" spans="1:7" s="211" customFormat="1" ht="13.5" customHeight="1">
      <c r="A39" s="252" t="s">
        <v>1534</v>
      </c>
      <c r="B39" s="207" t="s">
        <v>1535</v>
      </c>
      <c r="C39" s="229">
        <f ca="1">ROUND(C33*F20,0)</f>
        <v>1161</v>
      </c>
      <c r="D39" s="229"/>
      <c r="E39" s="229"/>
      <c r="F39" s="230">
        <f>F20</f>
        <v>0.03</v>
      </c>
      <c r="G39" s="231" t="s">
        <v>1536</v>
      </c>
    </row>
    <row r="40" spans="1:7" s="211" customFormat="1" ht="13.5" customHeight="1">
      <c r="A40" s="252" t="s">
        <v>1537</v>
      </c>
      <c r="B40" s="207" t="s">
        <v>1538</v>
      </c>
      <c r="C40" s="1319">
        <f>F21</f>
        <v>0.02</v>
      </c>
      <c r="D40" s="233" t="s">
        <v>1539</v>
      </c>
      <c r="E40" s="229"/>
      <c r="F40" s="230">
        <f>F21</f>
        <v>0.02</v>
      </c>
      <c r="G40" s="231" t="s">
        <v>1540</v>
      </c>
    </row>
    <row r="41" spans="1:7" s="211" customFormat="1" ht="13.5" customHeight="1">
      <c r="A41" s="252" t="s">
        <v>1541</v>
      </c>
      <c r="B41" s="207" t="s">
        <v>1542</v>
      </c>
      <c r="C41" s="229">
        <f ca="1">ROUND(SUM(C42:C43),0)</f>
        <v>2081</v>
      </c>
      <c r="D41" s="232">
        <f ca="1">C44</f>
        <v>1E-3</v>
      </c>
      <c r="E41" s="233" t="s">
        <v>1539</v>
      </c>
      <c r="F41" s="234">
        <f ca="1">F22</f>
        <v>3.4500000000000003E-2</v>
      </c>
      <c r="G41" s="231" t="str">
        <f>IF('数据-取费表'!B22&lt;=1,"单利计息","复利计息")</f>
        <v>复利计息</v>
      </c>
    </row>
    <row r="42" spans="1:7" ht="13.5" customHeight="1">
      <c r="A42" s="772" t="s">
        <v>346</v>
      </c>
      <c r="B42" s="212" t="s">
        <v>1543</v>
      </c>
      <c r="C42" s="235">
        <f ca="1">ROUND(IF('数据-取费表'!B22&lt;=1,C33*F22*'数据-取费表'!B21/2,C33*(POWER((1+F22),'数据-取费表'!B21/2)-1)),0)</f>
        <v>2020</v>
      </c>
      <c r="D42" s="235"/>
      <c r="E42" s="235"/>
      <c r="F42" s="236"/>
      <c r="G42" s="3795" t="s">
        <v>1544</v>
      </c>
    </row>
    <row r="43" spans="1:7" ht="13.5" customHeight="1">
      <c r="A43" s="772" t="s">
        <v>347</v>
      </c>
      <c r="B43" s="212" t="s">
        <v>1545</v>
      </c>
      <c r="C43" s="235">
        <f ca="1">ROUND(IF('数据-取费表'!B22&lt;=1,C39*F22*'数据-取费表'!B21/2,C39*(POWER((1+F22),'数据-取费表'!B21/2)-1)),0)</f>
        <v>61</v>
      </c>
      <c r="D43" s="235"/>
      <c r="E43" s="235"/>
      <c r="F43" s="236"/>
      <c r="G43" s="3796"/>
    </row>
    <row r="44" spans="1:7" ht="13.5" customHeight="1">
      <c r="A44" s="772" t="s">
        <v>348</v>
      </c>
      <c r="B44" s="212" t="s">
        <v>1546</v>
      </c>
      <c r="C44" s="235">
        <f ca="1">ROUND(IF('数据-取费表'!B22&lt;=1,C40*F22*'数据-取费表'!B21/2,C40*(POWER((1+F22),'数据-取费表'!B21/2)-1)),4)</f>
        <v>1E-3</v>
      </c>
      <c r="D44" s="235"/>
      <c r="E44" s="235"/>
      <c r="F44" s="236"/>
      <c r="G44" s="3797"/>
    </row>
    <row r="45" spans="1:7" s="211" customFormat="1" ht="13.5" customHeight="1">
      <c r="A45" s="252" t="s">
        <v>1547</v>
      </c>
      <c r="B45" s="241" t="s">
        <v>1513</v>
      </c>
      <c r="C45" s="242">
        <f ca="1">C46</f>
        <v>4783</v>
      </c>
      <c r="D45" s="232">
        <f ca="1">C47</f>
        <v>2.3999999999999998E-3</v>
      </c>
      <c r="E45" s="233" t="s">
        <v>1539</v>
      </c>
      <c r="F45" s="243">
        <f ca="1">F27</f>
        <v>0.12</v>
      </c>
      <c r="G45" s="244" t="s">
        <v>1548</v>
      </c>
    </row>
    <row r="46" spans="1:7" s="211" customFormat="1" ht="13.5" customHeight="1">
      <c r="A46" s="772" t="s">
        <v>346</v>
      </c>
      <c r="B46" s="245" t="s">
        <v>1549</v>
      </c>
      <c r="C46" s="246">
        <f ca="1">ROUND((C33+C39)*F27,0)</f>
        <v>4783</v>
      </c>
      <c r="D46" s="260"/>
      <c r="E46" s="233"/>
      <c r="F46" s="243"/>
      <c r="G46" s="244"/>
    </row>
    <row r="47" spans="1:7" s="211" customFormat="1" ht="13.5" customHeight="1">
      <c r="A47" s="772" t="s">
        <v>347</v>
      </c>
      <c r="B47" s="245" t="s">
        <v>1550</v>
      </c>
      <c r="C47" s="235">
        <f ca="1">ROUND(C40*F27,4)</f>
        <v>2.3999999999999998E-3</v>
      </c>
      <c r="D47" s="260"/>
      <c r="E47" s="233"/>
      <c r="F47" s="243"/>
      <c r="G47" s="244"/>
    </row>
    <row r="48" spans="1:7" s="211" customFormat="1" ht="13.5" customHeight="1">
      <c r="A48" s="252" t="s">
        <v>1512</v>
      </c>
      <c r="B48" s="207" t="s">
        <v>1551</v>
      </c>
      <c r="C48" s="1319">
        <f>ROUND(F30/(1+'数据-取费表'!C42),4)</f>
        <v>5.33E-2</v>
      </c>
      <c r="D48" s="233" t="s">
        <v>1539</v>
      </c>
      <c r="E48" s="229"/>
      <c r="F48" s="234">
        <f>F30</f>
        <v>5.6000000000000001E-2</v>
      </c>
      <c r="G48" s="231" t="s">
        <v>1552</v>
      </c>
    </row>
    <row r="49" spans="1:7" ht="16.5" customHeight="1">
      <c r="A49" s="252" t="s">
        <v>1518</v>
      </c>
      <c r="B49" s="207" t="s">
        <v>1553</v>
      </c>
      <c r="C49" s="229">
        <f ca="1">ROUND((C33+C39+C41+C45)/(1-C40-D41-D45-C48),0)</f>
        <v>50604</v>
      </c>
      <c r="D49" s="229"/>
      <c r="E49" s="229"/>
      <c r="F49" s="261"/>
      <c r="G49" s="231" t="s">
        <v>1554</v>
      </c>
    </row>
    <row r="50" spans="1:7" s="255" customFormat="1" ht="24">
      <c r="A50" s="252" t="s">
        <v>1555</v>
      </c>
      <c r="B50" s="207" t="s">
        <v>1556</v>
      </c>
      <c r="C50" s="229"/>
      <c r="D50" s="229"/>
      <c r="E50" s="229"/>
      <c r="F50" s="261">
        <f>IF('数据-取费表'!B24=0,'数据-取费表'!N16,1)</f>
        <v>0.97</v>
      </c>
      <c r="G50" s="244" t="s">
        <v>1557</v>
      </c>
    </row>
    <row r="51" spans="1:7" ht="16.5" customHeight="1">
      <c r="A51" s="252" t="s">
        <v>1558</v>
      </c>
      <c r="B51" s="207" t="s">
        <v>1559</v>
      </c>
      <c r="C51" s="229">
        <f ca="1">ROUND(C49*F50,0)</f>
        <v>49086</v>
      </c>
      <c r="D51" s="229"/>
      <c r="E51" s="229"/>
      <c r="F51" s="261"/>
      <c r="G51" s="231" t="s">
        <v>1560</v>
      </c>
    </row>
    <row r="52" spans="1:7" s="205" customFormat="1" ht="16.5" thickBot="1">
      <c r="A52" s="262" t="s">
        <v>1561</v>
      </c>
      <c r="B52" s="263"/>
      <c r="C52" s="264">
        <f ca="1">C31+C51</f>
        <v>58536</v>
      </c>
      <c r="D52" s="263"/>
      <c r="E52" s="263"/>
      <c r="F52" s="263"/>
      <c r="G52" s="265"/>
    </row>
    <row r="55" spans="1:7" ht="15">
      <c r="B55" s="267" t="s">
        <v>1562</v>
      </c>
      <c r="C55" s="268"/>
    </row>
    <row r="56" spans="1:7">
      <c r="B56" s="270" t="s">
        <v>802</v>
      </c>
      <c r="C56" s="272">
        <f ca="1">1-C57</f>
        <v>0.16100000000000003</v>
      </c>
    </row>
    <row r="57" spans="1:7">
      <c r="B57" s="270" t="s">
        <v>803</v>
      </c>
      <c r="C57" s="271">
        <f ca="1">ROUND(C51/C52,3)</f>
        <v>0.83899999999999997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40" sqref="K40"/>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0" customWidth="1"/>
    <col min="12" max="12" width="16.375" style="255" customWidth="1"/>
    <col min="13" max="13" width="13" style="255"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5"/>
  </cols>
  <sheetData>
    <row r="1" spans="1:37" s="290" customFormat="1" ht="21">
      <c r="A1" s="1367" t="s">
        <v>877</v>
      </c>
      <c r="B1" s="709"/>
      <c r="C1" s="1371" t="s">
        <v>3403</v>
      </c>
      <c r="D1" s="1354" t="s">
        <v>43</v>
      </c>
      <c r="E1" s="1355" t="s">
        <v>678</v>
      </c>
      <c r="F1" s="1054">
        <f ca="1">J53</f>
        <v>42.46</v>
      </c>
      <c r="G1" s="1370">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7" t="s">
        <v>804</v>
      </c>
      <c r="B2" s="1378">
        <f ca="1">C40+J29+L46</f>
        <v>42464</v>
      </c>
      <c r="C2" s="1379" t="s">
        <v>805</v>
      </c>
      <c r="D2" s="1379"/>
      <c r="E2" s="1380"/>
      <c r="F2" s="1381"/>
      <c r="G2" s="2698"/>
      <c r="H2" s="2687"/>
      <c r="I2" s="2687"/>
      <c r="J2" s="2687"/>
      <c r="K2" s="2688"/>
      <c r="L2" s="2687"/>
      <c r="M2" s="2687"/>
    </row>
    <row r="3" spans="1:37" ht="18" customHeight="1" thickBot="1">
      <c r="A3" s="1382" t="s">
        <v>806</v>
      </c>
      <c r="B3" s="1383">
        <f ca="1">IF(ISERROR(B2*10000/F43),0,ROUND(B2*10000/F43,0))</f>
        <v>8204</v>
      </c>
      <c r="C3" s="1379" t="s">
        <v>807</v>
      </c>
      <c r="D3" s="1379"/>
      <c r="E3" s="1380"/>
      <c r="F3" s="1381"/>
      <c r="G3" s="2698"/>
      <c r="H3" s="679" t="s">
        <v>876</v>
      </c>
      <c r="I3" s="1374"/>
      <c r="J3" s="1374"/>
      <c r="K3" s="1375"/>
      <c r="L3" s="1374"/>
      <c r="M3" s="1374"/>
    </row>
    <row r="4" spans="1:37" ht="18" customHeight="1">
      <c r="A4" s="292" t="s">
        <v>687</v>
      </c>
      <c r="B4" s="293" t="s">
        <v>688</v>
      </c>
      <c r="C4" s="293" t="s">
        <v>689</v>
      </c>
      <c r="D4" s="293" t="s">
        <v>690</v>
      </c>
      <c r="E4" s="294" t="s">
        <v>691</v>
      </c>
      <c r="F4" s="295"/>
      <c r="G4" s="1376"/>
      <c r="H4" s="292" t="s">
        <v>687</v>
      </c>
      <c r="I4" s="293" t="s">
        <v>688</v>
      </c>
      <c r="J4" s="293" t="s">
        <v>689</v>
      </c>
      <c r="K4" s="293" t="s">
        <v>690</v>
      </c>
      <c r="L4" s="294" t="s">
        <v>691</v>
      </c>
      <c r="M4" s="295"/>
    </row>
    <row r="5" spans="1:37" ht="18" customHeight="1">
      <c r="A5" s="296">
        <v>1</v>
      </c>
      <c r="B5" s="297" t="s">
        <v>692</v>
      </c>
      <c r="C5" s="1062">
        <f ca="1">C6+C10+C12</f>
        <v>2384</v>
      </c>
      <c r="D5" s="1356" t="s">
        <v>693</v>
      </c>
      <c r="E5" s="1063"/>
      <c r="F5" s="1064"/>
      <c r="G5" s="1376"/>
      <c r="H5" s="296">
        <v>1</v>
      </c>
      <c r="I5" s="297" t="s">
        <v>692</v>
      </c>
      <c r="J5" s="1062">
        <f ca="1">J6+J10+J12</f>
        <v>0</v>
      </c>
      <c r="K5" s="1356" t="s">
        <v>693</v>
      </c>
      <c r="L5" s="1063"/>
      <c r="M5" s="1064"/>
    </row>
    <row r="6" spans="1:37" ht="18" customHeight="1">
      <c r="A6" s="1061" t="s">
        <v>398</v>
      </c>
      <c r="B6" s="3800" t="s">
        <v>694</v>
      </c>
      <c r="C6" s="1066">
        <f ca="1">ROUND(F6*F8*F7*(1-F9)/10000,0)</f>
        <v>2381</v>
      </c>
      <c r="D6" s="152" t="s">
        <v>2109</v>
      </c>
      <c r="E6" s="299" t="s">
        <v>696</v>
      </c>
      <c r="F6" s="300">
        <f ca="1">INDIRECT("'数据-取费表'!u"&amp;$G$1)</f>
        <v>1.4</v>
      </c>
      <c r="G6" s="1376"/>
      <c r="H6" s="1061" t="s">
        <v>398</v>
      </c>
      <c r="I6" s="3800" t="s">
        <v>694</v>
      </c>
      <c r="J6" s="298">
        <f ca="1">ROUND(M6*M8*M7*(1-M9)/10000,0)</f>
        <v>0</v>
      </c>
      <c r="K6" s="152" t="s">
        <v>2108</v>
      </c>
      <c r="L6" s="299" t="s">
        <v>696</v>
      </c>
      <c r="M6" s="300">
        <f ca="1">INDIRECT("'数据-取费表'!z"&amp;$G$1)</f>
        <v>0</v>
      </c>
    </row>
    <row r="7" spans="1:37" ht="18" customHeight="1">
      <c r="A7" s="1065"/>
      <c r="B7" s="3801"/>
      <c r="C7" s="1067"/>
      <c r="D7" s="304"/>
      <c r="E7" s="3462" t="s">
        <v>697</v>
      </c>
      <c r="F7" s="300">
        <f ca="1">IF(INDIRECT("'数据-取费表'!ah"&amp;$G$1)="",INDIRECT("'数据-取费表'!k"&amp;$G$1),INDIRECT("'数据-取费表'!ah"&amp;$G$1))</f>
        <v>51763.15</v>
      </c>
      <c r="G7" s="1376"/>
      <c r="H7" s="301"/>
      <c r="I7" s="3801"/>
      <c r="J7" s="303"/>
      <c r="K7" s="304"/>
      <c r="L7" s="299" t="s">
        <v>697</v>
      </c>
      <c r="M7" s="300">
        <f ca="1">F7</f>
        <v>51763.15</v>
      </c>
    </row>
    <row r="8" spans="1:37" ht="18" customHeight="1">
      <c r="A8" s="301"/>
      <c r="B8" s="3801"/>
      <c r="C8" s="303"/>
      <c r="D8" s="304"/>
      <c r="E8" s="299" t="s">
        <v>698</v>
      </c>
      <c r="F8" s="300">
        <f ca="1">INDIRECT("'数据-取费表'!ai"&amp;$G$1)</f>
        <v>365</v>
      </c>
      <c r="G8" s="1376"/>
      <c r="H8" s="301"/>
      <c r="I8" s="3801"/>
      <c r="J8" s="303"/>
      <c r="K8" s="304"/>
      <c r="L8" s="299" t="s">
        <v>698</v>
      </c>
      <c r="M8" s="300">
        <f ca="1">INDIRECT("'数据-取费表'!ai"&amp;$G$1)</f>
        <v>365</v>
      </c>
    </row>
    <row r="9" spans="1:37" ht="18" customHeight="1">
      <c r="A9" s="301"/>
      <c r="B9" s="3802"/>
      <c r="C9" s="303"/>
      <c r="D9" s="304"/>
      <c r="E9" s="299" t="s">
        <v>699</v>
      </c>
      <c r="F9" s="309">
        <f ca="1">INDIRECT("'数据-取费表'!w"&amp;$G$1)</f>
        <v>0.1</v>
      </c>
      <c r="G9" s="1376"/>
      <c r="H9" s="301"/>
      <c r="I9" s="3802"/>
      <c r="J9" s="303"/>
      <c r="K9" s="304"/>
      <c r="L9" s="310" t="s">
        <v>699</v>
      </c>
      <c r="M9" s="311">
        <f ca="1">INDIRECT("'数据-取费表'!ab"&amp;$G$1)</f>
        <v>0</v>
      </c>
    </row>
    <row r="10" spans="1:37" ht="18" customHeight="1">
      <c r="A10" s="1061" t="s">
        <v>402</v>
      </c>
      <c r="B10" s="1357" t="s">
        <v>700</v>
      </c>
      <c r="C10" s="313">
        <f ca="1">ROUND(IF(F10="押一",C6/12*F11,IF(F10="押二",C6/12*2*F11,IF(F10="押三",C6/12*3*F11,C11*F11))),0)</f>
        <v>3</v>
      </c>
      <c r="D10" s="1358" t="s">
        <v>2116</v>
      </c>
      <c r="E10" s="310" t="s">
        <v>701</v>
      </c>
      <c r="F10" s="1108" t="s">
        <v>3859</v>
      </c>
      <c r="G10" s="1376"/>
      <c r="H10" s="1061" t="s">
        <v>402</v>
      </c>
      <c r="I10" s="1357" t="s">
        <v>700</v>
      </c>
      <c r="J10" s="298">
        <f ca="1">ROUND(IF(M10="押一",J6/12*M11,IF(M10="押二",J6/12*2*M11,IF(M10="押三",J6/12*3*M11,J11*M11))),0)</f>
        <v>0</v>
      </c>
      <c r="K10" s="1358" t="s">
        <v>2116</v>
      </c>
      <c r="L10" s="310" t="s">
        <v>701</v>
      </c>
      <c r="M10" s="1108"/>
    </row>
    <row r="11" spans="1:37" ht="18" customHeight="1">
      <c r="A11" s="305"/>
      <c r="B11" s="1359" t="s">
        <v>679</v>
      </c>
      <c r="C11" s="951"/>
      <c r="D11" s="1360"/>
      <c r="E11" s="310" t="s">
        <v>702</v>
      </c>
      <c r="F11" s="311">
        <f ca="1">'数据-取费表'!B39</f>
        <v>1.4999999999999999E-2</v>
      </c>
      <c r="G11" s="1376"/>
      <c r="H11" s="1069"/>
      <c r="I11" s="1359" t="s">
        <v>679</v>
      </c>
      <c r="J11" s="951"/>
      <c r="K11" s="680"/>
      <c r="L11" s="310"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07">
        <f ca="1">ROUND(C29*F13,0)</f>
        <v>49086</v>
      </c>
      <c r="D13" s="3441" t="s">
        <v>705</v>
      </c>
      <c r="E13" s="3441"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299" t="s">
        <v>707</v>
      </c>
      <c r="C14" s="315">
        <f ca="1">INDIRECT("'数据-取费表'!m"&amp;$G$1)+INDIRECT("'数据-取费表'!t"&amp;$G$1)</f>
        <v>35199</v>
      </c>
      <c r="D14" s="3451" t="s">
        <v>708</v>
      </c>
      <c r="E14" s="3444"/>
      <c r="F14" s="316"/>
      <c r="G14" s="1376"/>
      <c r="H14" s="974" t="s">
        <v>398</v>
      </c>
      <c r="I14" s="299" t="s">
        <v>709</v>
      </c>
      <c r="J14" s="21">
        <f ca="1">C29</f>
        <v>50604</v>
      </c>
      <c r="K14" s="3460"/>
      <c r="L14" s="799"/>
      <c r="M14" s="800"/>
    </row>
    <row r="15" spans="1:37" s="1389" customFormat="1" ht="18" customHeight="1" thickBot="1">
      <c r="A15" s="974" t="s">
        <v>399</v>
      </c>
      <c r="B15" s="299" t="s">
        <v>710</v>
      </c>
      <c r="C15" s="21">
        <f ca="1">ROUND(C14*F15,0)</f>
        <v>1760</v>
      </c>
      <c r="D15" s="3442" t="s">
        <v>711</v>
      </c>
      <c r="E15" s="3442" t="s">
        <v>712</v>
      </c>
      <c r="F15" s="318">
        <f>'数据-取费表'!B33</f>
        <v>0.05</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299" t="s">
        <v>713</v>
      </c>
      <c r="C16" s="21">
        <f ca="1">ROUND(INDIRECT("'数据-取费表'!m"&amp;$G$1)*F16,0)</f>
        <v>0</v>
      </c>
      <c r="D16" s="299" t="s">
        <v>711</v>
      </c>
      <c r="E16" s="299" t="s">
        <v>712</v>
      </c>
      <c r="F16" s="319">
        <f ca="1">IF(INDIRECT("'数据-取费表'!c"&amp;$G$1)="住宅",'数据-取费表'!B34,0)</f>
        <v>0</v>
      </c>
      <c r="G16" s="1376"/>
      <c r="H16" s="1071" t="s">
        <v>393</v>
      </c>
      <c r="I16" s="1072" t="s">
        <v>714</v>
      </c>
      <c r="J16" s="307">
        <f ca="1">ROUND(J17+J22+J23+J24,0)</f>
        <v>165</v>
      </c>
      <c r="K16" s="1079" t="s">
        <v>715</v>
      </c>
      <c r="L16" s="3454"/>
      <c r="M16" s="1064"/>
    </row>
    <row r="17" spans="1:37" s="1389" customFormat="1" ht="18" customHeight="1">
      <c r="A17" s="974" t="s">
        <v>681</v>
      </c>
      <c r="B17" s="299" t="s">
        <v>716</v>
      </c>
      <c r="C17" s="21">
        <f ca="1">ROUND(F17*(F43+INDIRECT("'数据-取费表'!S"&amp;$G$1))/10000,0)</f>
        <v>1035</v>
      </c>
      <c r="D17" s="299" t="s">
        <v>717</v>
      </c>
      <c r="E17" s="299" t="s">
        <v>718</v>
      </c>
      <c r="F17" s="23">
        <f>'数据-取费表'!B35</f>
        <v>200</v>
      </c>
      <c r="G17" s="1388"/>
      <c r="H17" s="974" t="s">
        <v>398</v>
      </c>
      <c r="I17" s="299" t="s">
        <v>719</v>
      </c>
      <c r="J17" s="2308">
        <f ca="1">ROUND(IF(AND(项目基本情况!B11="自然人",项目基本情况!B10="北京市"),J6*M17/(1+'数据-取费表'!C42),J18+J19+J20),2)</f>
        <v>13.25</v>
      </c>
      <c r="K17" s="3451" t="s">
        <v>720</v>
      </c>
      <c r="L17" s="3449"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299" t="s">
        <v>722</v>
      </c>
      <c r="C18" s="21">
        <f ca="1">ROUND(C14*F18,0)</f>
        <v>704</v>
      </c>
      <c r="D18" s="299" t="s">
        <v>711</v>
      </c>
      <c r="E18" s="299" t="s">
        <v>712</v>
      </c>
      <c r="F18" s="319">
        <f>'数据-取费表'!B36</f>
        <v>0.02</v>
      </c>
      <c r="G18" s="1388"/>
      <c r="H18" s="974" t="s">
        <v>397</v>
      </c>
      <c r="I18" s="299" t="s">
        <v>723</v>
      </c>
      <c r="J18" s="21">
        <f ca="1">ROUND(J6*M18/(1+'数据-取费表'!C42),2)</f>
        <v>0</v>
      </c>
      <c r="K18" s="3449" t="s">
        <v>724</v>
      </c>
      <c r="L18" s="299" t="s">
        <v>712</v>
      </c>
      <c r="M18" s="319">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299" t="s">
        <v>725</v>
      </c>
      <c r="C19" s="21">
        <f ca="1">SUM(C14:C18)</f>
        <v>38698</v>
      </c>
      <c r="D19" s="128" t="s">
        <v>726</v>
      </c>
      <c r="E19" s="3464"/>
      <c r="F19" s="23"/>
      <c r="G19" s="1376"/>
      <c r="H19" s="974" t="s">
        <v>399</v>
      </c>
      <c r="I19" s="299" t="s">
        <v>727</v>
      </c>
      <c r="J19" s="21">
        <f ca="1">IF(K19="按租金收入计税",ROUND(J6*M19/(1+'数据-取费表'!C42),2),ROUND(C29*M19*0.7,2))</f>
        <v>0</v>
      </c>
      <c r="K19" s="1362" t="s">
        <v>3340</v>
      </c>
      <c r="L19" s="299" t="s">
        <v>712</v>
      </c>
      <c r="M19" s="319">
        <f>IF(K19="按租金收入计税",'数据-取费表'!B51,'数据-取费表'!B50)</f>
        <v>0.12</v>
      </c>
    </row>
    <row r="20" spans="1:37" s="1389" customFormat="1" ht="18" customHeight="1">
      <c r="A20" s="974" t="s">
        <v>402</v>
      </c>
      <c r="B20" s="299" t="s">
        <v>728</v>
      </c>
      <c r="C20" s="21">
        <f ca="1">ROUND(C19*F20,0)</f>
        <v>1161</v>
      </c>
      <c r="D20" s="2420" t="s">
        <v>729</v>
      </c>
      <c r="E20" s="299" t="s">
        <v>712</v>
      </c>
      <c r="F20" s="319">
        <f>'数据-取费表'!B37</f>
        <v>0.03</v>
      </c>
      <c r="G20" s="1388"/>
      <c r="H20" s="974" t="s">
        <v>680</v>
      </c>
      <c r="I20" s="152" t="s">
        <v>730</v>
      </c>
      <c r="J20" s="22">
        <f ca="1">ROUND(M20*M21/10000,2)</f>
        <v>13.25</v>
      </c>
      <c r="K20" s="321" t="s">
        <v>731</v>
      </c>
      <c r="L20" s="299" t="s">
        <v>732</v>
      </c>
      <c r="M20" s="322">
        <f>'数据-取费表'!B52</f>
        <v>12</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299" t="s">
        <v>733</v>
      </c>
      <c r="C21" s="21" t="s">
        <v>15</v>
      </c>
      <c r="D21" s="2420" t="s">
        <v>734</v>
      </c>
      <c r="E21" s="299" t="s">
        <v>735</v>
      </c>
      <c r="F21" s="319">
        <f>'数据-取费表'!B38</f>
        <v>0.02</v>
      </c>
      <c r="G21" s="1388"/>
      <c r="H21" s="323"/>
      <c r="I21" s="308"/>
      <c r="J21" s="26"/>
      <c r="K21" s="324"/>
      <c r="L21" s="299" t="s">
        <v>736</v>
      </c>
      <c r="M21" s="300">
        <f ca="1">INDIRECT("'数据-取费表'!r"&amp;$G$1)</f>
        <v>11043.93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299" t="s">
        <v>737</v>
      </c>
      <c r="C22" s="21"/>
      <c r="D22" s="128" t="str">
        <f>IF(F23&lt;=1,"单利计息。","复利计息。")&amp;"建造成本、管理费用、销售费用产生的利息。"</f>
        <v>复利计息。建造成本、管理费用、销售费用产生的利息。</v>
      </c>
      <c r="E22" s="3464"/>
      <c r="F22" s="23"/>
      <c r="G22" s="1376"/>
      <c r="H22" s="974" t="s">
        <v>402</v>
      </c>
      <c r="I22" s="299" t="s">
        <v>738</v>
      </c>
      <c r="J22" s="21">
        <f ca="1">ROUND(J14*M22,2)</f>
        <v>151.81</v>
      </c>
      <c r="K22" s="3449" t="s">
        <v>739</v>
      </c>
      <c r="L22" s="299" t="s">
        <v>712</v>
      </c>
      <c r="M22" s="325">
        <f ca="1">INDIRECT("'数据-取费表'!Ak"&amp;$G$1)</f>
        <v>3.0000000000000001E-3</v>
      </c>
    </row>
    <row r="23" spans="1:37" s="1389" customFormat="1" ht="18" customHeight="1">
      <c r="A23" s="974" t="s">
        <v>397</v>
      </c>
      <c r="B23" s="299" t="s">
        <v>740</v>
      </c>
      <c r="C23" s="21">
        <f ca="1">IF('数据-取费表'!B22&lt;=1,ROUND(C19*F24*F23/2,0)+ROUND(C20*F24*F23/2,0),ROUND(C19*(POWER((1+F24),F23/2)-1),0)+ROUND(C20*(POWER((1+F24),F23/2)-1),0))</f>
        <v>2081</v>
      </c>
      <c r="D23" s="326" t="str">
        <f>IF(F23&lt;=1,"(建造成本+管理费用)×利率×(建设周期÷2)","(建造成本+管理费用)×((1+利率)^(建设周期÷2)-1)")</f>
        <v>(建造成本+管理费用)×((1+利率)^(建设周期÷2)-1)</v>
      </c>
      <c r="E23" s="299" t="s">
        <v>741</v>
      </c>
      <c r="F23" s="322">
        <f>'数据-取费表'!B20</f>
        <v>3</v>
      </c>
      <c r="G23" s="1388"/>
      <c r="H23" s="974" t="s">
        <v>437</v>
      </c>
      <c r="I23" s="299" t="s">
        <v>742</v>
      </c>
      <c r="J23" s="21">
        <f ca="1">ROUND(J13*M23,2)</f>
        <v>0</v>
      </c>
      <c r="K23" s="3449" t="s">
        <v>743</v>
      </c>
      <c r="L23" s="299" t="s">
        <v>744</v>
      </c>
      <c r="M23" s="327">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3.4500000000000003E-2</v>
      </c>
      <c r="G24" s="1388"/>
      <c r="H24" s="1081" t="s">
        <v>684</v>
      </c>
      <c r="I24" s="1082" t="s">
        <v>728</v>
      </c>
      <c r="J24" s="1083">
        <f ca="1">ROUND(J5*M24,2)</f>
        <v>0</v>
      </c>
      <c r="K24" s="1084" t="s">
        <v>748</v>
      </c>
      <c r="L24" s="1082" t="s">
        <v>744</v>
      </c>
      <c r="M24" s="1078">
        <f ca="1">INDIRECT("'数据-取费表'!Am"&amp;$G$1)</f>
        <v>3.0000000000000001E-3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299" t="s">
        <v>750</v>
      </c>
      <c r="C25" s="21"/>
      <c r="D25" s="128" t="s">
        <v>751</v>
      </c>
      <c r="E25" s="3464"/>
      <c r="F25" s="23"/>
      <c r="G25" s="1376"/>
      <c r="H25" s="1071" t="s">
        <v>394</v>
      </c>
      <c r="I25" s="1086" t="s">
        <v>752</v>
      </c>
      <c r="J25" s="307">
        <f ca="1">J5-J16</f>
        <v>-165</v>
      </c>
      <c r="K25" s="1087" t="s">
        <v>753</v>
      </c>
      <c r="L25" s="1088"/>
      <c r="M25" s="1089"/>
    </row>
    <row r="26" spans="1:37">
      <c r="A26" s="974" t="s">
        <v>397</v>
      </c>
      <c r="B26" s="299" t="s">
        <v>754</v>
      </c>
      <c r="C26" s="21">
        <f ca="1">ROUND((C19+C20)*F26,0)</f>
        <v>4783</v>
      </c>
      <c r="D26" s="2420" t="s">
        <v>755</v>
      </c>
      <c r="E26" s="310" t="s">
        <v>756</v>
      </c>
      <c r="F26" s="309">
        <f ca="1">INDIRECT("'数据-取费表'!q"&amp;$G$1)</f>
        <v>0.12</v>
      </c>
      <c r="G26" s="1376"/>
      <c r="H26" s="296" t="s">
        <v>395</v>
      </c>
      <c r="I26" s="297" t="s">
        <v>757</v>
      </c>
      <c r="J26" s="298">
        <f ca="1">IF(J5&lt;&gt;0,ROUND(J25*(1-((1+M28)/(1+M26))^M27)/(M26-M28),0),0)</f>
        <v>0</v>
      </c>
      <c r="K26" s="321" t="s">
        <v>758</v>
      </c>
      <c r="L26" s="299" t="s">
        <v>759</v>
      </c>
      <c r="M26" s="309">
        <f ca="1">INDIRECT("'数据-取费表'!I"&amp;$G$1)</f>
        <v>5.5E-2</v>
      </c>
    </row>
    <row r="27" spans="1:37" ht="18" customHeight="1">
      <c r="A27" s="974" t="s">
        <v>399</v>
      </c>
      <c r="B27" s="299" t="s">
        <v>760</v>
      </c>
      <c r="C27" s="21">
        <f ca="1">ROUND(F21*F26,4)</f>
        <v>2.3999999999999998E-3</v>
      </c>
      <c r="D27" s="2420" t="s">
        <v>761</v>
      </c>
      <c r="E27" s="3442"/>
      <c r="F27" s="318"/>
      <c r="G27" s="1376"/>
      <c r="H27" s="301"/>
      <c r="I27" s="302"/>
      <c r="J27" s="303"/>
      <c r="K27" s="329" t="s">
        <v>762</v>
      </c>
      <c r="L27" s="299" t="s">
        <v>763</v>
      </c>
      <c r="M27" s="330">
        <f ca="1">INDIRECT("'数据-取费表'!ag"&amp;$G$1)</f>
        <v>0</v>
      </c>
    </row>
    <row r="28" spans="1:37" s="1389" customFormat="1" ht="18" customHeight="1">
      <c r="A28" s="974" t="s">
        <v>400</v>
      </c>
      <c r="B28" s="299" t="s">
        <v>764</v>
      </c>
      <c r="C28" s="21">
        <f>ROUND(F28/(1+'数据-取费表'!C42),4)</f>
        <v>5.33E-2</v>
      </c>
      <c r="D28" s="2420" t="s">
        <v>765</v>
      </c>
      <c r="E28" s="299" t="s">
        <v>712</v>
      </c>
      <c r="F28" s="319">
        <f>'数据-取费表'!B41</f>
        <v>5.6000000000000001E-2</v>
      </c>
      <c r="G28" s="1388"/>
      <c r="H28" s="305"/>
      <c r="I28" s="306"/>
      <c r="J28" s="307"/>
      <c r="K28" s="324"/>
      <c r="L28" s="299" t="s">
        <v>766</v>
      </c>
      <c r="M28" s="309">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50604</v>
      </c>
      <c r="D29" s="1084"/>
      <c r="E29" s="1082"/>
      <c r="F29" s="1085"/>
      <c r="G29" s="1388"/>
      <c r="H29" s="331" t="s">
        <v>396</v>
      </c>
      <c r="I29" s="332" t="s">
        <v>768</v>
      </c>
      <c r="J29" s="333">
        <f ca="1">ROUND(J26/(1+F40)^F41,0)</f>
        <v>0</v>
      </c>
      <c r="K29" s="334" t="s">
        <v>769</v>
      </c>
      <c r="L29" s="335"/>
      <c r="M29" s="336">
        <f ca="1">INDIRECT("'数据-取费表'!k"&amp;$G$1)</f>
        <v>51763.15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07">
        <f ca="1">ROUND(C31+C36+C37+C38,0)</f>
        <v>620</v>
      </c>
      <c r="D30" s="1079" t="s">
        <v>715</v>
      </c>
      <c r="E30" s="3454"/>
      <c r="F30" s="1064"/>
      <c r="G30" s="1376"/>
      <c r="H30" s="2689"/>
      <c r="I30" s="1390"/>
      <c r="J30" s="1391"/>
      <c r="K30" s="2467"/>
      <c r="L30" s="2690"/>
      <c r="M30" s="2691"/>
    </row>
    <row r="31" spans="1:37" ht="18" customHeight="1">
      <c r="A31" s="974" t="s">
        <v>398</v>
      </c>
      <c r="B31" s="299" t="s">
        <v>719</v>
      </c>
      <c r="C31" s="2308">
        <f ca="1">ROUND(IF(AND(项目基本情况!B11="自然人",项目基本情况!B10="北京市"),C6*F31/(1+'数据-取费表'!C42),C32+C33+C34),2)</f>
        <v>412.35</v>
      </c>
      <c r="D31" s="3451" t="s">
        <v>720</v>
      </c>
      <c r="E31" s="3449" t="s">
        <v>770</v>
      </c>
      <c r="F31" s="2307" t="str">
        <f>IF(项目基本情况!B11="企业","——",IF(M47="住宅",IF(F6*F7*F8/12/(1+'数据-取费表'!F30)&gt;100000,4%,2.5%),IF(F6*F7*F8/12/(1+'数据-取费表'!F30)&gt;100000,12%,7%)))</f>
        <v>——</v>
      </c>
      <c r="G31" s="1376"/>
      <c r="H31" s="2800" t="s">
        <v>2310</v>
      </c>
      <c r="I31" s="1390"/>
      <c r="J31" s="1391"/>
      <c r="K31" s="2467"/>
      <c r="L31" s="2690"/>
      <c r="M31" s="2691"/>
    </row>
    <row r="32" spans="1:37" ht="18" customHeight="1">
      <c r="A32" s="974" t="s">
        <v>397</v>
      </c>
      <c r="B32" s="299" t="s">
        <v>723</v>
      </c>
      <c r="C32" s="21">
        <f ca="1">IF(项目基本情况!B11="自然人","——",ROUND(C6*F32/(1+'数据-取费表'!C42),2))</f>
        <v>126.99</v>
      </c>
      <c r="D32" s="3449" t="s">
        <v>724</v>
      </c>
      <c r="E32" s="299" t="s">
        <v>712</v>
      </c>
      <c r="F32" s="328">
        <f>'数据-取费表'!B41</f>
        <v>5.6000000000000001E-2</v>
      </c>
      <c r="G32" s="1376"/>
      <c r="H32" s="2689"/>
      <c r="I32" s="1390"/>
      <c r="J32" s="1391"/>
      <c r="K32" s="2467"/>
      <c r="L32" s="2690"/>
      <c r="M32" s="2691"/>
    </row>
    <row r="33" spans="1:18" ht="18" customHeight="1">
      <c r="A33" s="974" t="s">
        <v>399</v>
      </c>
      <c r="B33" s="299" t="s">
        <v>727</v>
      </c>
      <c r="C33" s="21">
        <f ca="1">IF(项目基本情况!B11="自然人","——",IF(D33="按租金收入计税",ROUND(C6*F33/(1+'数据-取费表'!C42),2),IF(D33="按房产原值计税",ROUND(C29*F33*0.7,2),INDIRECT("'数据-取费表'!Aj"&amp;$G$1))))</f>
        <v>272.11</v>
      </c>
      <c r="D33" s="1362" t="s">
        <v>3340</v>
      </c>
      <c r="E33" s="299" t="s">
        <v>712</v>
      </c>
      <c r="F33" s="319">
        <f>IF(D33="按票据","——",IF(D33="按租金收入计税",'数据-取费表'!B51,'数据-取费表'!B50))</f>
        <v>0.12</v>
      </c>
      <c r="G33" s="1376"/>
      <c r="H33" s="2692"/>
      <c r="I33" s="1390"/>
      <c r="J33" s="1391"/>
      <c r="K33" s="2693"/>
      <c r="L33" s="2692"/>
      <c r="M33" s="2692"/>
    </row>
    <row r="34" spans="1:18" ht="18" customHeight="1">
      <c r="A34" s="1061" t="s">
        <v>680</v>
      </c>
      <c r="B34" s="152" t="s">
        <v>730</v>
      </c>
      <c r="C34" s="22">
        <f ca="1">IF(项目基本情况!B11="自然人","——",ROUND(F34*F35/10000,2))</f>
        <v>13.25</v>
      </c>
      <c r="D34" s="321" t="s">
        <v>731</v>
      </c>
      <c r="E34" s="299" t="s">
        <v>732</v>
      </c>
      <c r="F34" s="322">
        <f>'数据-取费表'!B52</f>
        <v>12</v>
      </c>
      <c r="G34" s="1376"/>
      <c r="H34" s="2689"/>
      <c r="I34" s="1390"/>
      <c r="J34" s="1391"/>
      <c r="K34" s="2694"/>
      <c r="L34" s="2695"/>
      <c r="M34" s="2695"/>
    </row>
    <row r="35" spans="1:18" ht="18" customHeight="1">
      <c r="A35" s="1095"/>
      <c r="B35" s="1093"/>
      <c r="C35" s="26"/>
      <c r="D35" s="324"/>
      <c r="E35" s="299" t="s">
        <v>736</v>
      </c>
      <c r="F35" s="300">
        <f ca="1">INDIRECT("'数据-取费表'!r"&amp;$G$1)</f>
        <v>11043.93</v>
      </c>
      <c r="G35" s="1376"/>
      <c r="H35" s="2689"/>
      <c r="I35" s="1390"/>
      <c r="J35" s="1391"/>
      <c r="K35" s="2693"/>
      <c r="L35" s="2692"/>
      <c r="M35" s="2692"/>
    </row>
    <row r="36" spans="1:18" ht="18" customHeight="1">
      <c r="A36" s="1094" t="s">
        <v>402</v>
      </c>
      <c r="B36" s="299" t="s">
        <v>738</v>
      </c>
      <c r="C36" s="21">
        <f ca="1">ROUND(C29*F36,2)</f>
        <v>151.81</v>
      </c>
      <c r="D36" s="3449" t="s">
        <v>771</v>
      </c>
      <c r="E36" s="299" t="s">
        <v>712</v>
      </c>
      <c r="F36" s="325">
        <f ca="1">INDIRECT("'数据-取费表'!Ak"&amp;$G$1)</f>
        <v>3.0000000000000001E-3</v>
      </c>
      <c r="G36" s="1376"/>
      <c r="H36" s="2692"/>
      <c r="I36" s="1390"/>
      <c r="J36" s="1391"/>
      <c r="K36" s="2536"/>
      <c r="L36" s="2692"/>
      <c r="M36" s="2692"/>
    </row>
    <row r="37" spans="1:18" ht="18" customHeight="1">
      <c r="A37" s="974" t="s">
        <v>437</v>
      </c>
      <c r="B37" s="299" t="s">
        <v>742</v>
      </c>
      <c r="C37" s="21">
        <f ca="1">ROUND(C13*F37,2)</f>
        <v>49.09</v>
      </c>
      <c r="D37" s="3449" t="s">
        <v>743</v>
      </c>
      <c r="E37" s="299" t="s">
        <v>744</v>
      </c>
      <c r="F37" s="327">
        <f ca="1">INDIRECT("'数据-取费表'!Al"&amp;$G$1)</f>
        <v>1E-3</v>
      </c>
      <c r="G37" s="1376"/>
      <c r="H37" s="2692"/>
      <c r="I37" s="1390"/>
      <c r="J37" s="1391"/>
      <c r="K37" s="2536"/>
      <c r="L37" s="2692"/>
      <c r="M37" s="2692"/>
    </row>
    <row r="38" spans="1:18" ht="18" customHeight="1" thickBot="1">
      <c r="A38" s="1081" t="s">
        <v>684</v>
      </c>
      <c r="B38" s="1082" t="s">
        <v>728</v>
      </c>
      <c r="C38" s="1083">
        <f ca="1">ROUND(C5*F38,2)</f>
        <v>7.15</v>
      </c>
      <c r="D38" s="1084" t="s">
        <v>748</v>
      </c>
      <c r="E38" s="1082" t="s">
        <v>744</v>
      </c>
      <c r="F38" s="1078">
        <f ca="1">INDIRECT("'数据-取费表'!Am"&amp;$G$1)</f>
        <v>3.0000000000000001E-3</v>
      </c>
      <c r="G38" s="1376"/>
      <c r="H38" s="2692"/>
      <c r="I38" s="1390"/>
      <c r="J38" s="1391"/>
      <c r="K38" s="2696"/>
      <c r="L38" s="2692"/>
      <c r="M38" s="2692"/>
    </row>
    <row r="39" spans="1:18" ht="24.6" customHeight="1" thickTop="1">
      <c r="A39" s="1071" t="s">
        <v>394</v>
      </c>
      <c r="B39" s="1086" t="s">
        <v>772</v>
      </c>
      <c r="C39" s="307">
        <f ca="1">C5-C30</f>
        <v>1764</v>
      </c>
      <c r="D39" s="1087" t="s">
        <v>773</v>
      </c>
      <c r="E39" s="1088"/>
      <c r="F39" s="1089"/>
      <c r="G39" s="1376"/>
      <c r="H39" s="2692"/>
      <c r="I39" s="1390"/>
      <c r="J39" s="1391"/>
      <c r="K39" s="2696"/>
      <c r="L39" s="2692"/>
      <c r="M39" s="2692"/>
    </row>
    <row r="40" spans="1:18" ht="18" customHeight="1">
      <c r="A40" s="296" t="s">
        <v>395</v>
      </c>
      <c r="B40" s="297" t="s">
        <v>774</v>
      </c>
      <c r="C40" s="298">
        <f ca="1">ROUND(C39*(1-((1+F42)/(1+F40))^F41)/(F40-F42),0)</f>
        <v>41525</v>
      </c>
      <c r="D40" s="321" t="s">
        <v>758</v>
      </c>
      <c r="E40" s="299" t="s">
        <v>759</v>
      </c>
      <c r="F40" s="309">
        <f ca="1">INDIRECT("'数据-取费表'!I"&amp;$G$1)</f>
        <v>5.5E-2</v>
      </c>
      <c r="G40" s="1376"/>
      <c r="H40" s="1453"/>
      <c r="I40" s="1390"/>
      <c r="J40" s="1391"/>
      <c r="K40" s="2696"/>
      <c r="L40" s="1453"/>
      <c r="M40" s="1453"/>
    </row>
    <row r="41" spans="1:18" ht="18" customHeight="1">
      <c r="A41" s="301"/>
      <c r="B41" s="302"/>
      <c r="C41" s="303"/>
      <c r="D41" s="329" t="s">
        <v>775</v>
      </c>
      <c r="E41" s="299" t="s">
        <v>763</v>
      </c>
      <c r="F41" s="330">
        <f ca="1">IF(INDIRECT("'数据-取费表'!af"&amp;$G$1)=0,INDIRECT("'数据-取费表'!ae"&amp;$G$1),INDIRECT("'数据-取费表'!af"&amp;$G$1))</f>
        <v>42.46</v>
      </c>
      <c r="G41" s="1376"/>
      <c r="H41" s="1183"/>
      <c r="I41" s="1390"/>
      <c r="J41" s="1391"/>
      <c r="K41" s="2536"/>
      <c r="L41" s="1183"/>
      <c r="M41" s="1183"/>
    </row>
    <row r="42" spans="1:18" ht="18" customHeight="1">
      <c r="A42" s="305"/>
      <c r="B42" s="306"/>
      <c r="C42" s="307"/>
      <c r="D42" s="324"/>
      <c r="E42" s="299" t="s">
        <v>766</v>
      </c>
      <c r="F42" s="309">
        <f ca="1">INDIRECT("'数据-取费表'!v"&amp;$G$1)</f>
        <v>2.5000000000000001E-2</v>
      </c>
      <c r="G42" s="1376"/>
      <c r="H42" s="1183"/>
      <c r="I42" s="1390"/>
      <c r="J42" s="1391"/>
      <c r="K42" s="2536"/>
      <c r="L42" s="1183"/>
      <c r="M42" s="1183"/>
    </row>
    <row r="43" spans="1:18" ht="18" customHeight="1" thickBot="1">
      <c r="A43" s="331" t="s">
        <v>396</v>
      </c>
      <c r="B43" s="332" t="s">
        <v>776</v>
      </c>
      <c r="C43" s="333">
        <f ca="1">ROUND(C40*10000/F43,0)</f>
        <v>8022</v>
      </c>
      <c r="D43" s="334" t="s">
        <v>777</v>
      </c>
      <c r="E43" s="335" t="s">
        <v>778</v>
      </c>
      <c r="F43" s="336">
        <f ca="1">INDIRECT("'数据-取费表'!k"&amp;$G$1)</f>
        <v>51763.15</v>
      </c>
      <c r="G43" s="1376"/>
      <c r="H43" s="1183"/>
      <c r="I43" s="1183"/>
      <c r="J43" s="1183"/>
      <c r="K43" s="2536"/>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2"/>
      <c r="O45" s="2697" t="s">
        <v>808</v>
      </c>
      <c r="P45" s="1453"/>
      <c r="Q45" s="1453"/>
      <c r="R45" s="1453"/>
    </row>
    <row r="46" spans="1:18" s="1376" customFormat="1" ht="13.5" thickBot="1">
      <c r="A46" s="1396" t="s">
        <v>809</v>
      </c>
      <c r="C46" s="1397">
        <f ca="1">C68-C40</f>
        <v>-45015</v>
      </c>
      <c r="D46" s="1398" t="str">
        <f>C2</f>
        <v>万元</v>
      </c>
      <c r="E46" s="1392"/>
      <c r="F46" s="1392"/>
      <c r="I46" s="1399" t="s">
        <v>810</v>
      </c>
      <c r="J46" s="1400"/>
      <c r="K46" s="1401"/>
      <c r="L46" s="1402">
        <f ca="1">IF(M47="住宅",0,IF(L48&gt;J51,L60,J60))</f>
        <v>939</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8"/>
      <c r="I47" s="1406" t="s">
        <v>815</v>
      </c>
      <c r="J47" s="1407" t="s">
        <v>3541</v>
      </c>
      <c r="K47" s="1408" t="s">
        <v>816</v>
      </c>
      <c r="L47" s="1409">
        <f ca="1">INDIRECT("'数据-取费表'!d"&amp;$G$1)</f>
        <v>50</v>
      </c>
      <c r="M47" s="1372" t="str">
        <f>IF(ISNUMBER(FIND("住宅",C1)),"住宅","非住宅")</f>
        <v>非住宅</v>
      </c>
      <c r="O47" s="1410" t="s">
        <v>403</v>
      </c>
      <c r="P47" s="1411" t="s">
        <v>817</v>
      </c>
      <c r="Q47" s="1412">
        <f ca="1">C40+J29</f>
        <v>41525</v>
      </c>
      <c r="R47" s="1412" t="s">
        <v>818</v>
      </c>
    </row>
    <row r="48" spans="1:18" s="1376" customFormat="1" ht="28.5" thickBot="1">
      <c r="A48" s="1102" t="s">
        <v>438</v>
      </c>
      <c r="B48" s="297" t="s">
        <v>692</v>
      </c>
      <c r="C48" s="3463">
        <f ca="1">C49+C53+C55</f>
        <v>0</v>
      </c>
      <c r="D48" s="1104"/>
      <c r="E48" s="1105"/>
      <c r="F48" s="954"/>
      <c r="G48" s="718"/>
      <c r="H48" s="719"/>
      <c r="I48" s="1413" t="s">
        <v>819</v>
      </c>
      <c r="J48" s="1414" t="s">
        <v>3860</v>
      </c>
      <c r="K48" s="1415" t="s">
        <v>820</v>
      </c>
      <c r="L48" s="1416">
        <f ca="1">INDIRECT("'数据-取费表'!f"&amp;$G$1)</f>
        <v>42.46</v>
      </c>
      <c r="O48" s="1410" t="s">
        <v>404</v>
      </c>
      <c r="P48" s="1411" t="s">
        <v>821</v>
      </c>
      <c r="Q48" s="1412">
        <f ca="1">J60</f>
        <v>939</v>
      </c>
      <c r="R48" s="1412" t="s">
        <v>822</v>
      </c>
    </row>
    <row r="49" spans="1:18" s="1376" customFormat="1" ht="13.5" thickBot="1">
      <c r="A49" s="967" t="s">
        <v>439</v>
      </c>
      <c r="B49" s="1363" t="s">
        <v>779</v>
      </c>
      <c r="C49" s="1106">
        <f ca="1">ROUND(F49*F51*F50*(1-F52)/10000,0)</f>
        <v>0</v>
      </c>
      <c r="D49" s="1047" t="s">
        <v>2108</v>
      </c>
      <c r="E49" s="1364" t="s">
        <v>780</v>
      </c>
      <c r="F49" s="1052"/>
      <c r="G49" s="1417"/>
      <c r="H49" s="719"/>
      <c r="I49" s="1413" t="s">
        <v>823</v>
      </c>
      <c r="J49" s="1418">
        <f>取值过程!C16</f>
        <v>2022</v>
      </c>
      <c r="K49" s="1415" t="s">
        <v>824</v>
      </c>
      <c r="L49" s="1419"/>
      <c r="O49" s="1420" t="s">
        <v>405</v>
      </c>
      <c r="P49" s="1411" t="s">
        <v>825</v>
      </c>
      <c r="Q49" s="1412">
        <f ca="1">C29</f>
        <v>50604</v>
      </c>
      <c r="R49" s="1412" t="s">
        <v>818</v>
      </c>
    </row>
    <row r="50" spans="1:18" s="1376" customFormat="1" ht="13.5" thickBot="1">
      <c r="A50" s="968"/>
      <c r="B50" s="971"/>
      <c r="C50" s="1110"/>
      <c r="D50" s="945"/>
      <c r="E50" s="1048" t="s">
        <v>697</v>
      </c>
      <c r="F50" s="1049">
        <f ca="1">F7</f>
        <v>51763.15</v>
      </c>
      <c r="H50" s="719"/>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0">
        <f ca="1">F8</f>
        <v>365</v>
      </c>
      <c r="I51" s="1424" t="s">
        <v>829</v>
      </c>
      <c r="J51" s="1425">
        <f>IF(J49="",J50,J49+J50-YEAR('数据-取费表'!B2))</f>
        <v>58</v>
      </c>
      <c r="K51" s="1426" t="s">
        <v>830</v>
      </c>
      <c r="L51" s="1427">
        <f ca="1">ROUND(-PV(INDIRECT("'数据-取费表'!h"&amp;$G$1),J51,(C39-C13*C76),0),0)</f>
        <v>-34263</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42.46</v>
      </c>
      <c r="R52" s="1412" t="s">
        <v>835</v>
      </c>
    </row>
    <row r="53" spans="1:18" s="1376" customFormat="1" ht="24.75" thickBot="1">
      <c r="A53" s="1144" t="s">
        <v>440</v>
      </c>
      <c r="B53" s="1365" t="s">
        <v>700</v>
      </c>
      <c r="C53" s="313">
        <f ca="1">ROUND(IF(F53="押一",C49/12*F11,IF(F53="押二",C49/12*2*F11,IF(F53="押三",C49/12*3*F11,C54*F11))),0)</f>
        <v>0</v>
      </c>
      <c r="D53" s="1358" t="s">
        <v>2116</v>
      </c>
      <c r="E53" s="310" t="s">
        <v>701</v>
      </c>
      <c r="F53" s="1108"/>
      <c r="I53" s="1431" t="s">
        <v>836</v>
      </c>
      <c r="J53" s="2160">
        <f ca="1">IF(M47="住宅",IF(D1="——",MAX(J51,L48),MAX(J51,L48-'数据-取费表'!B24)),IF(D1="——",MIN(J51,L48),MIN(J51,L48-'数据-取费表'!B24)))</f>
        <v>42.46</v>
      </c>
      <c r="K53" s="3798" t="s">
        <v>837</v>
      </c>
      <c r="L53" s="3799"/>
      <c r="O53" s="1410" t="s">
        <v>409</v>
      </c>
      <c r="P53" s="1411" t="s">
        <v>838</v>
      </c>
      <c r="Q53" s="1412">
        <f ca="1">Q47+Q48</f>
        <v>42464</v>
      </c>
      <c r="R53" s="1412" t="s">
        <v>410</v>
      </c>
    </row>
    <row r="54" spans="1:18" s="1376" customFormat="1" ht="13.5" thickBot="1">
      <c r="A54" s="1145"/>
      <c r="B54" s="1359" t="s">
        <v>679</v>
      </c>
      <c r="C54" s="951"/>
      <c r="D54" s="1358"/>
      <c r="E54" s="345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56"/>
      <c r="F55" s="1432"/>
      <c r="I55" s="1435" t="s">
        <v>840</v>
      </c>
      <c r="J55" s="1436">
        <f ca="1">ROUND(IF(J47="钢混",J57/J50,1-(1-2%)*(J50-J57)/J50),3)</f>
        <v>0.25900000000000001</v>
      </c>
      <c r="K55" s="1437" t="s">
        <v>841</v>
      </c>
      <c r="L55" s="1438"/>
      <c r="O55" s="1403" t="s">
        <v>811</v>
      </c>
      <c r="P55" s="1404" t="s">
        <v>812</v>
      </c>
      <c r="Q55" s="1405" t="s">
        <v>813</v>
      </c>
      <c r="R55" s="1405" t="s">
        <v>814</v>
      </c>
    </row>
    <row r="56" spans="1:18" s="1376" customFormat="1" ht="25.5" thickTop="1" thickBot="1">
      <c r="A56" s="949">
        <v>2</v>
      </c>
      <c r="B56" s="950" t="s">
        <v>704</v>
      </c>
      <c r="C56" s="229">
        <f ca="1">C13</f>
        <v>49086</v>
      </c>
      <c r="D56" s="1439"/>
      <c r="E56" s="1440"/>
      <c r="F56" s="1432"/>
      <c r="I56" s="1441" t="s">
        <v>842</v>
      </c>
      <c r="J56" s="1442" t="s">
        <v>3861</v>
      </c>
      <c r="K56" s="1413" t="s">
        <v>843</v>
      </c>
      <c r="L56" s="1416" t="str">
        <f ca="1">IF(L48&lt;J51,"——",L48-J53)</f>
        <v>——</v>
      </c>
      <c r="O56" s="1410" t="s">
        <v>403</v>
      </c>
      <c r="P56" s="1411" t="s">
        <v>817</v>
      </c>
      <c r="Q56" s="1412">
        <f ca="1">C40+J29</f>
        <v>41525</v>
      </c>
      <c r="R56" s="1412" t="s">
        <v>818</v>
      </c>
    </row>
    <row r="57" spans="1:18" s="1376" customFormat="1" ht="24.75" thickBot="1">
      <c r="A57" s="1443"/>
      <c r="B57" s="942" t="s">
        <v>767</v>
      </c>
      <c r="C57" s="235">
        <f ca="1">C29</f>
        <v>50604</v>
      </c>
      <c r="D57" s="1444"/>
      <c r="E57" s="1445"/>
      <c r="F57" s="1446"/>
      <c r="I57" s="1447" t="s">
        <v>844</v>
      </c>
      <c r="J57" s="1448">
        <f ca="1">IF(OR(M47="住宅",J51&lt;L48,J56="是"),"——",J51-L48)</f>
        <v>15.54</v>
      </c>
      <c r="K57" s="1413" t="s">
        <v>845</v>
      </c>
      <c r="L57" s="1416" t="str">
        <f ca="1">IF(L48&lt;J51,"——",IF(L55="比较法",L49,IF(L55="基准地价",L50,L51)))</f>
        <v>——</v>
      </c>
      <c r="O57" s="1410" t="s">
        <v>404</v>
      </c>
      <c r="P57" s="1411" t="s">
        <v>846</v>
      </c>
      <c r="Q57" s="1412">
        <f ca="1">L60</f>
        <v>0</v>
      </c>
      <c r="R57" s="1412" t="s">
        <v>847</v>
      </c>
    </row>
    <row r="58" spans="1:18" s="1376" customFormat="1" ht="24.75" thickBot="1">
      <c r="A58" s="312" t="s">
        <v>393</v>
      </c>
      <c r="B58" s="950" t="s">
        <v>714</v>
      </c>
      <c r="C58" s="313">
        <f ca="1">ROUND(C59+C64+C65+C66,0)</f>
        <v>214</v>
      </c>
      <c r="D58" s="952" t="s">
        <v>715</v>
      </c>
      <c r="E58" s="953"/>
      <c r="F58" s="954"/>
      <c r="I58" s="1447" t="s">
        <v>848</v>
      </c>
      <c r="J58" s="1449">
        <f ca="1">IF(J55&lt;0.4,0.4,J55)</f>
        <v>0.4</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8">
        <f ca="1">ROUND(IF(AND(项目基本情况!B11="自然人",项目基本情况!B10="北京市"),C49*F59/(1+'数据-取费表'!C42),C60+C61+C62),0)</f>
        <v>13</v>
      </c>
      <c r="D59" s="955" t="s">
        <v>720</v>
      </c>
      <c r="E59" s="956" t="s">
        <v>721</v>
      </c>
      <c r="F59" s="2307" t="str">
        <f>IF(项目基本情况!B11="企业","——",IF('数据-取费表'!B10="住宅",IF(F49*F50*F51/12/(1+'数据-取费表'!F30)&gt;100000,4%,2.5%),IF(F49*F50*F51/12/(1+'数据-取费表'!F30)&gt;100000,12%,7%)))</f>
        <v>——</v>
      </c>
      <c r="I59" s="1447" t="s">
        <v>851</v>
      </c>
      <c r="J59" s="1448">
        <f ca="1">IF(OR(M47="住宅",J51&lt;L48,J56="是"),"——",ROUND(C29*J58,0))</f>
        <v>20242</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IF(项目基本情况!B11="自然人","——",ROUND(C48*F60/(1+'数据-取费表'!C42),2))</f>
        <v>0</v>
      </c>
      <c r="D60" s="956" t="s">
        <v>724</v>
      </c>
      <c r="E60" s="942" t="s">
        <v>712</v>
      </c>
      <c r="F60" s="328">
        <f t="shared" ref="F60:F66" si="0">F32</f>
        <v>5.6000000000000001E-2</v>
      </c>
      <c r="I60" s="1450" t="s">
        <v>853</v>
      </c>
      <c r="J60" s="1451">
        <f ca="1">IF(OR(M47="住宅",J51&lt;L48,J56="是"),"0",ROUND(J59/(1+J52)^J53,0))</f>
        <v>939</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IF(项目基本情况!B11="自然人","——",IF(D61="按租金收入计税",ROUND(C49*F61/(1+'数据-取费表'!C42),2),IF(D61="按房产原值计税",ROUND(C57*F61*0.7,2),INDIRECT("'数据-取费表'!Aj"&amp;$G$1))))</f>
        <v>0</v>
      </c>
      <c r="D61" s="1362" t="s">
        <v>3340</v>
      </c>
      <c r="E61" s="942" t="s">
        <v>783</v>
      </c>
      <c r="F61" s="319">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IF(项目基本情况!B11="自然人","——",ROUND(F62*F63/10000,2))</f>
        <v>13.25</v>
      </c>
      <c r="D62" s="957" t="s">
        <v>786</v>
      </c>
      <c r="E62" s="942" t="s">
        <v>732</v>
      </c>
      <c r="F62" s="322">
        <f t="shared" si="0"/>
        <v>12</v>
      </c>
      <c r="I62" s="1454" t="s">
        <v>858</v>
      </c>
      <c r="J62" s="1455" t="s">
        <v>859</v>
      </c>
      <c r="K62" s="1455" t="s">
        <v>860</v>
      </c>
      <c r="L62" s="1455" t="s">
        <v>861</v>
      </c>
      <c r="M62" s="1456" t="s">
        <v>862</v>
      </c>
      <c r="O62" s="1410" t="s">
        <v>409</v>
      </c>
      <c r="P62" s="1411" t="s">
        <v>863</v>
      </c>
      <c r="Q62" s="1412">
        <f ca="1">Q56+Q57</f>
        <v>41525</v>
      </c>
      <c r="R62" s="1412" t="s">
        <v>410</v>
      </c>
    </row>
    <row r="63" spans="1:18" s="1376" customFormat="1" ht="13.5" thickBot="1">
      <c r="A63" s="323"/>
      <c r="B63" s="948"/>
      <c r="C63" s="26"/>
      <c r="D63" s="958"/>
      <c r="E63" s="942" t="s">
        <v>736</v>
      </c>
      <c r="F63" s="300">
        <f t="shared" ca="1" si="0"/>
        <v>11043.93</v>
      </c>
      <c r="I63" s="1454" t="s">
        <v>864</v>
      </c>
      <c r="J63" s="1455">
        <v>70</v>
      </c>
      <c r="K63" s="1455">
        <v>50</v>
      </c>
      <c r="L63" s="1455">
        <v>80</v>
      </c>
      <c r="M63" s="1457">
        <v>0.02</v>
      </c>
      <c r="O63" s="1395" t="s">
        <v>865</v>
      </c>
      <c r="P63" s="1373"/>
      <c r="Q63" s="1373"/>
      <c r="R63" s="1373"/>
    </row>
    <row r="64" spans="1:18" s="1376" customFormat="1" ht="13.5" thickBot="1">
      <c r="A64" s="974" t="s">
        <v>402</v>
      </c>
      <c r="B64" s="942" t="s">
        <v>790</v>
      </c>
      <c r="C64" s="21">
        <f ca="1">ROUND(C57*F64,2)</f>
        <v>151.81</v>
      </c>
      <c r="D64" s="956" t="s">
        <v>791</v>
      </c>
      <c r="E64" s="942" t="s">
        <v>783</v>
      </c>
      <c r="F64" s="325">
        <f t="shared" ca="1" si="0"/>
        <v>3.0000000000000001E-3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ROUND(C56*F65,2)</f>
        <v>49.09</v>
      </c>
      <c r="D65" s="956" t="s">
        <v>743</v>
      </c>
      <c r="E65" s="942" t="s">
        <v>744</v>
      </c>
      <c r="F65" s="327">
        <f t="shared" ca="1" si="0"/>
        <v>1E-3</v>
      </c>
      <c r="I65" s="1454" t="s">
        <v>867</v>
      </c>
      <c r="J65" s="1455">
        <v>40</v>
      </c>
      <c r="K65" s="1455">
        <v>30</v>
      </c>
      <c r="L65" s="1455">
        <v>50</v>
      </c>
      <c r="M65" s="1457">
        <v>0.02</v>
      </c>
      <c r="O65" s="1410" t="s">
        <v>403</v>
      </c>
      <c r="P65" s="1411" t="s">
        <v>868</v>
      </c>
      <c r="Q65" s="1412">
        <f ca="1">C40+J29</f>
        <v>41525</v>
      </c>
      <c r="R65" s="1412" t="s">
        <v>818</v>
      </c>
    </row>
    <row r="66" spans="1:18" s="1376" customFormat="1" ht="16.5" thickBot="1">
      <c r="A66" s="974" t="s">
        <v>793</v>
      </c>
      <c r="B66" s="942" t="s">
        <v>728</v>
      </c>
      <c r="C66" s="21">
        <f ca="1">ROUND(C48*F66,2)</f>
        <v>0</v>
      </c>
      <c r="D66" s="956" t="s">
        <v>794</v>
      </c>
      <c r="E66" s="942" t="s">
        <v>712</v>
      </c>
      <c r="F66" s="309">
        <f t="shared" ca="1" si="0"/>
        <v>3.0000000000000001E-3</v>
      </c>
      <c r="O66" s="1410" t="s">
        <v>404</v>
      </c>
      <c r="P66" s="1411" t="s">
        <v>846</v>
      </c>
      <c r="Q66" s="1412">
        <f ca="1">L60</f>
        <v>0</v>
      </c>
      <c r="R66" s="1412" t="s">
        <v>869</v>
      </c>
    </row>
    <row r="67" spans="1:18" s="1376" customFormat="1" ht="16.5" thickBot="1">
      <c r="A67" s="949" t="s">
        <v>394</v>
      </c>
      <c r="B67" s="959" t="s">
        <v>752</v>
      </c>
      <c r="C67" s="313">
        <f ca="1">C48-C58</f>
        <v>-214</v>
      </c>
      <c r="D67" s="955" t="s">
        <v>753</v>
      </c>
      <c r="E67" s="960"/>
      <c r="F67" s="961"/>
      <c r="O67" s="1420" t="s">
        <v>405</v>
      </c>
      <c r="P67" s="1411" t="s">
        <v>850</v>
      </c>
      <c r="Q67" s="1458">
        <f ca="1">L51</f>
        <v>-34263</v>
      </c>
      <c r="R67" s="1412" t="s">
        <v>870</v>
      </c>
    </row>
    <row r="68" spans="1:18" s="1376" customFormat="1" ht="16.5" thickBot="1">
      <c r="A68" s="939" t="s">
        <v>395</v>
      </c>
      <c r="B68" s="940" t="s">
        <v>774</v>
      </c>
      <c r="C68" s="298">
        <f ca="1">ROUND(C67*(1-((1+F70)/(1+F68))^F69)/(F68-F70),0)</f>
        <v>-3490</v>
      </c>
      <c r="D68" s="957" t="s">
        <v>758</v>
      </c>
      <c r="E68" s="942" t="s">
        <v>759</v>
      </c>
      <c r="F68" s="309">
        <f ca="1">F40</f>
        <v>5.5E-2</v>
      </c>
      <c r="O68" s="1420" t="s">
        <v>406</v>
      </c>
      <c r="P68" s="1459" t="s">
        <v>871</v>
      </c>
      <c r="Q68" s="1412">
        <f ca="1">ROUND(Q69-Q70*Q71,0)</f>
        <v>-1672</v>
      </c>
      <c r="R68" s="1412" t="s">
        <v>414</v>
      </c>
    </row>
    <row r="69" spans="1:18" s="1376" customFormat="1" ht="13.5" thickBot="1">
      <c r="A69" s="943"/>
      <c r="B69" s="944"/>
      <c r="C69" s="303"/>
      <c r="D69" s="962" t="s">
        <v>762</v>
      </c>
      <c r="E69" s="942" t="s">
        <v>763</v>
      </c>
      <c r="F69" s="330">
        <f ca="1">F41</f>
        <v>42.46</v>
      </c>
      <c r="O69" s="1420" t="s">
        <v>411</v>
      </c>
      <c r="P69" s="1459" t="s">
        <v>872</v>
      </c>
      <c r="Q69" s="1412">
        <f ca="1">C39</f>
        <v>1764</v>
      </c>
      <c r="R69" s="1412" t="s">
        <v>818</v>
      </c>
    </row>
    <row r="70" spans="1:18" s="1376" customFormat="1" ht="13.5" thickBot="1">
      <c r="A70" s="946"/>
      <c r="B70" s="947"/>
      <c r="C70" s="307"/>
      <c r="D70" s="958"/>
      <c r="E70" s="942" t="s">
        <v>766</v>
      </c>
      <c r="F70" s="1046"/>
      <c r="O70" s="1420" t="s">
        <v>412</v>
      </c>
      <c r="P70" s="1459" t="s">
        <v>873</v>
      </c>
      <c r="Q70" s="1412">
        <f ca="1">C13</f>
        <v>49086</v>
      </c>
      <c r="R70" s="1412" t="s">
        <v>818</v>
      </c>
    </row>
    <row r="71" spans="1:18" s="1376" customFormat="1" ht="13.5" thickBot="1">
      <c r="A71" s="963" t="s">
        <v>396</v>
      </c>
      <c r="B71" s="964" t="s">
        <v>776</v>
      </c>
      <c r="C71" s="333">
        <f ca="1">ROUND(C68*10000/F71,0)</f>
        <v>-674</v>
      </c>
      <c r="D71" s="965" t="s">
        <v>777</v>
      </c>
      <c r="E71" s="966" t="s">
        <v>778</v>
      </c>
      <c r="F71" s="336">
        <f ca="1">F43</f>
        <v>51763.15</v>
      </c>
      <c r="O71" s="1420" t="s">
        <v>413</v>
      </c>
      <c r="P71" s="1459" t="s">
        <v>874</v>
      </c>
      <c r="Q71" s="1423">
        <f ca="1">C76</f>
        <v>7.0000000000000007E-2</v>
      </c>
      <c r="R71" s="1412"/>
    </row>
    <row r="72" spans="1:18" s="1376" customFormat="1" ht="13.5" thickBot="1">
      <c r="B72" s="722"/>
      <c r="C72" s="722"/>
      <c r="O72" s="1420" t="s">
        <v>407</v>
      </c>
      <c r="P72" s="1411" t="s">
        <v>852</v>
      </c>
      <c r="Q72" s="1423">
        <f>L52</f>
        <v>0</v>
      </c>
      <c r="R72" s="1412"/>
    </row>
    <row r="73" spans="1:18" ht="16.5" thickBot="1">
      <c r="A73" s="1376"/>
      <c r="B73" s="722"/>
      <c r="C73" s="722"/>
      <c r="D73" s="1376"/>
      <c r="E73" s="1376"/>
      <c r="F73" s="1376"/>
      <c r="O73" s="1420" t="s">
        <v>408</v>
      </c>
      <c r="P73" s="1411" t="s">
        <v>855</v>
      </c>
      <c r="Q73" s="1412" t="e">
        <f ca="1">L58</f>
        <v>#DIV/0!</v>
      </c>
      <c r="R73" s="1412" t="s">
        <v>856</v>
      </c>
    </row>
    <row r="74" spans="1:18" ht="13.5" thickBot="1">
      <c r="A74" s="1376"/>
      <c r="B74" s="270"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37" t="s">
        <v>795</v>
      </c>
      <c r="C75" s="338">
        <f ca="1">ROUND(C13*C76,0)</f>
        <v>3436</v>
      </c>
      <c r="D75" s="1376"/>
      <c r="E75" s="1376"/>
      <c r="F75" s="1376"/>
      <c r="K75" s="1394"/>
      <c r="L75" s="1376"/>
      <c r="O75" s="1410" t="s">
        <v>409</v>
      </c>
      <c r="P75" s="1411" t="s">
        <v>838</v>
      </c>
      <c r="Q75" s="1412">
        <f ca="1">Q65+Q66</f>
        <v>41525</v>
      </c>
      <c r="R75" s="1412" t="s">
        <v>410</v>
      </c>
    </row>
    <row r="76" spans="1:18">
      <c r="B76" s="339" t="s">
        <v>796</v>
      </c>
      <c r="C76" s="340">
        <f ca="1">INDIRECT("'数据-取费表'!j"&amp;$G$1)</f>
        <v>7.0000000000000007E-2</v>
      </c>
      <c r="I76" s="1376"/>
      <c r="J76" s="1376"/>
      <c r="K76" s="1394"/>
      <c r="L76" s="1376"/>
    </row>
    <row r="77" spans="1:18">
      <c r="B77" s="341" t="s">
        <v>797</v>
      </c>
      <c r="C77" s="342"/>
      <c r="I77" s="1376"/>
      <c r="J77" s="1376"/>
      <c r="K77" s="1394"/>
      <c r="L77" s="1376"/>
    </row>
    <row r="78" spans="1:18">
      <c r="B78" s="267" t="s">
        <v>798</v>
      </c>
      <c r="C78" s="343"/>
    </row>
    <row r="79" spans="1:18">
      <c r="B79" s="337" t="s">
        <v>799</v>
      </c>
      <c r="C79" s="271">
        <f ca="1">1-C80</f>
        <v>-0.94799999999999995</v>
      </c>
    </row>
    <row r="80" spans="1:18">
      <c r="B80" s="337" t="s">
        <v>800</v>
      </c>
      <c r="C80" s="271">
        <f ca="1">ROUND(C75/C39,3)</f>
        <v>1.948</v>
      </c>
    </row>
    <row r="81" spans="2:3">
      <c r="B81" s="267" t="s">
        <v>801</v>
      </c>
      <c r="C81" s="235"/>
    </row>
    <row r="82" spans="2:3">
      <c r="B82" s="270" t="s">
        <v>802</v>
      </c>
      <c r="C82" s="272">
        <f ca="1">1-C83</f>
        <v>-0.18199999999999994</v>
      </c>
    </row>
    <row r="83" spans="2:3">
      <c r="B83" s="270" t="s">
        <v>803</v>
      </c>
      <c r="C83" s="271">
        <f ca="1">ROUND(C13/C40,3)</f>
        <v>1.1819999999999999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82" t="s">
        <v>2843</v>
      </c>
      <c r="B1" s="3882"/>
      <c r="C1" s="3882"/>
      <c r="D1" s="3882"/>
      <c r="E1" s="3882"/>
      <c r="F1" s="3882"/>
      <c r="G1" s="3883"/>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80" t="s">
        <v>2870</v>
      </c>
      <c r="B3" s="3222"/>
      <c r="C3" s="3223" t="s">
        <v>2815</v>
      </c>
      <c r="D3" s="3223" t="s">
        <v>2871</v>
      </c>
      <c r="E3" s="3223" t="s">
        <v>2817</v>
      </c>
      <c r="F3" s="3223" t="s">
        <v>2872</v>
      </c>
      <c r="G3" s="3223" t="s">
        <v>2635</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 thickBot="1">
      <c r="A4" s="3881"/>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84" t="s">
        <v>3185</v>
      </c>
      <c r="B1" s="3884"/>
    </row>
    <row r="2" spans="1:7" ht="14.25" thickBot="1">
      <c r="A2" s="3247"/>
      <c r="B2" s="3247"/>
    </row>
    <row r="3" spans="1:7" ht="14.25" thickBot="1">
      <c r="A3" s="3247"/>
      <c r="B3" s="3247"/>
      <c r="C3" s="3248" t="s">
        <v>2815</v>
      </c>
      <c r="D3" s="3248" t="s">
        <v>2871</v>
      </c>
      <c r="E3" s="3248" t="s">
        <v>2817</v>
      </c>
      <c r="F3" s="3248" t="s">
        <v>2872</v>
      </c>
      <c r="G3" s="3248" t="s">
        <v>2635</v>
      </c>
    </row>
    <row r="4" spans="1:7" ht="14.2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4.2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4.2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4.2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4.2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4.2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4.2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4.2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4.2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4.2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4.2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85" t="s">
        <v>3236</v>
      </c>
      <c r="B1" s="3885"/>
      <c r="C1" s="3885"/>
      <c r="D1" s="3885"/>
      <c r="E1" s="3885"/>
      <c r="F1" s="3886"/>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3">
        <f>基准地价修正!G23</f>
        <v>45401</v>
      </c>
      <c r="B1" s="3202" t="s">
        <v>3375</v>
      </c>
      <c r="C1" s="3203"/>
      <c r="D1" s="3203"/>
      <c r="E1" s="3203"/>
      <c r="F1" s="3203"/>
      <c r="G1" s="3203"/>
      <c r="H1" s="3203"/>
      <c r="I1" s="3203"/>
      <c r="J1" s="3157"/>
      <c r="K1" s="3203" t="s">
        <v>454</v>
      </c>
      <c r="L1" s="3203"/>
      <c r="M1" s="3203"/>
      <c r="N1" s="3203"/>
      <c r="O1" s="3203"/>
      <c r="P1" s="3203"/>
      <c r="Q1" s="3157"/>
      <c r="R1" s="3887" t="s">
        <v>456</v>
      </c>
      <c r="S1" s="3888"/>
      <c r="T1" s="3888"/>
      <c r="U1" s="3888"/>
      <c r="V1" s="3888"/>
      <c r="W1" s="3888"/>
      <c r="X1" s="3157"/>
      <c r="Y1" s="3887" t="s">
        <v>457</v>
      </c>
      <c r="Z1" s="3888"/>
      <c r="AA1" s="3888"/>
      <c r="AB1" s="3888"/>
      <c r="AC1" s="3888"/>
      <c r="AD1" s="3888"/>
    </row>
    <row r="2" spans="1:30" s="3135" customFormat="1" ht="14.25" thickBot="1">
      <c r="B2" s="3136"/>
      <c r="C2" s="3137"/>
      <c r="D2" s="3138" t="s">
        <v>2814</v>
      </c>
      <c r="E2" s="3139" t="s">
        <v>2815</v>
      </c>
      <c r="F2" s="3139" t="s">
        <v>2816</v>
      </c>
      <c r="G2" s="3139" t="s">
        <v>2817</v>
      </c>
      <c r="H2" s="3139" t="s">
        <v>2818</v>
      </c>
      <c r="I2" s="3139" t="s">
        <v>2635</v>
      </c>
      <c r="J2" s="3140"/>
      <c r="K2" s="3138" t="s">
        <v>2814</v>
      </c>
      <c r="L2" s="3139" t="s">
        <v>2815</v>
      </c>
      <c r="M2" s="3139" t="s">
        <v>2816</v>
      </c>
      <c r="N2" s="3139" t="s">
        <v>2817</v>
      </c>
      <c r="O2" s="3139" t="s">
        <v>2819</v>
      </c>
      <c r="P2" s="3139" t="s">
        <v>2635</v>
      </c>
      <c r="Q2" s="3140"/>
      <c r="R2" s="3138" t="s">
        <v>2814</v>
      </c>
      <c r="S2" s="3139" t="s">
        <v>2815</v>
      </c>
      <c r="T2" s="3139" t="s">
        <v>2816</v>
      </c>
      <c r="U2" s="3139" t="s">
        <v>2820</v>
      </c>
      <c r="V2" s="3139" t="s">
        <v>2821</v>
      </c>
      <c r="W2" s="3139" t="s">
        <v>2635</v>
      </c>
      <c r="X2" s="3140"/>
      <c r="Y2" s="3138" t="s">
        <v>2814</v>
      </c>
      <c r="Z2" s="3139" t="s">
        <v>2815</v>
      </c>
      <c r="AA2" s="3139" t="s">
        <v>2816</v>
      </c>
      <c r="AB2" s="3139" t="s">
        <v>2822</v>
      </c>
      <c r="AC2" s="3139" t="s">
        <v>2821</v>
      </c>
      <c r="AD2" s="3139" t="s">
        <v>2635</v>
      </c>
    </row>
    <row r="3" spans="1:30" s="3153" customFormat="1" ht="12.75">
      <c r="A3" s="3141" t="s">
        <v>2823</v>
      </c>
      <c r="B3" s="3142"/>
      <c r="C3" s="3143"/>
      <c r="D3" s="3143">
        <f>ROUND(AVERAGEIF(D4:D18,"&lt;&gt;0"),2)</f>
        <v>0.73</v>
      </c>
      <c r="E3" s="3143">
        <f t="shared" ref="E3:H3" si="0">ROUND(AVERAGEIF(E4:E18,"&lt;&gt;0"),2)</f>
        <v>0.4</v>
      </c>
      <c r="F3" s="3143">
        <f t="shared" si="0"/>
        <v>0.2</v>
      </c>
      <c r="G3" s="3143">
        <f t="shared" si="0"/>
        <v>0.78</v>
      </c>
      <c r="H3" s="3143">
        <f t="shared" si="0"/>
        <v>0.63</v>
      </c>
      <c r="I3" s="3143">
        <f>F3</f>
        <v>0.2</v>
      </c>
      <c r="J3" s="3144"/>
      <c r="K3" s="3145">
        <f>ROUND(AVERAGEIF(K4:K18,"&lt;&gt;0"),4)</f>
        <v>7.3000000000000001E-3</v>
      </c>
      <c r="L3" s="3146">
        <f t="shared" ref="L3:O3" si="1">ROUND(AVERAGEIF(L4:L18,"&lt;&gt;0"),4)</f>
        <v>4.0000000000000001E-3</v>
      </c>
      <c r="M3" s="3146">
        <f t="shared" si="1"/>
        <v>2E-3</v>
      </c>
      <c r="N3" s="3146">
        <f t="shared" si="1"/>
        <v>7.7999999999999996E-3</v>
      </c>
      <c r="O3" s="3146">
        <f t="shared" si="1"/>
        <v>6.3E-3</v>
      </c>
      <c r="P3" s="3146">
        <f>M3</f>
        <v>2E-3</v>
      </c>
      <c r="Q3" s="3144"/>
      <c r="R3" s="3147">
        <f>ROUND(SUMPRODUCT(PRODUCT(1+K4:K18)),4)</f>
        <v>1.0908</v>
      </c>
      <c r="S3" s="3148">
        <f t="shared" ref="S3:V3" si="2">ROUND(SUMPRODUCT(PRODUCT(1+L4:L18)),4)</f>
        <v>1.0488</v>
      </c>
      <c r="T3" s="3148">
        <f t="shared" si="2"/>
        <v>1.024</v>
      </c>
      <c r="U3" s="3148">
        <f t="shared" si="2"/>
        <v>1.0980000000000001</v>
      </c>
      <c r="V3" s="3148">
        <f t="shared" si="2"/>
        <v>1.0779000000000001</v>
      </c>
      <c r="W3" s="3147">
        <f>T3</f>
        <v>1.024</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197" t="s">
        <v>3378</v>
      </c>
      <c r="B5" s="3169">
        <v>2024</v>
      </c>
      <c r="C5" s="3170">
        <v>2</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1.0804</v>
      </c>
      <c r="S5" s="3175">
        <f>ROUND(IF(项目基本情况!$B$8="出让",SUMPRODUCT(PRODUCT(1+L5:$L$18)),SUMPRODUCT(PRODUCT(1+L5:$L$17))),4)</f>
        <v>1.0471999999999999</v>
      </c>
      <c r="T5" s="3175">
        <f>ROUND(IF(项目基本情况!$B$8="出让",SUMPRODUCT(PRODUCT(1+M5:$M$18)),SUMPRODUCT(PRODUCT(1+M5:$M$17))),4)</f>
        <v>1.0266</v>
      </c>
      <c r="U5" s="3175">
        <f>ROUND(IF(项目基本情况!$B$8="出让",SUMPRODUCT(PRODUCT(1+N5:$N$18)),SUMPRODUCT(PRODUCT(1+N5:$N$17))),4)</f>
        <v>1.0859000000000001</v>
      </c>
      <c r="V5" s="3175">
        <f>ROUND(IF(项目基本情况!$B$8="出让",SUMPRODUCT(PRODUCT(1+O5:$O$18)),SUMPRODUCT(PRODUCT(1+O5:$O$17))),4)</f>
        <v>1.0741000000000001</v>
      </c>
      <c r="W5" s="3175">
        <f>T5</f>
        <v>1.0266</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197" t="s">
        <v>3379</v>
      </c>
      <c r="B6" s="3169">
        <v>2024</v>
      </c>
      <c r="C6" s="3170">
        <v>1</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1.0804</v>
      </c>
      <c r="S6" s="3175">
        <f>ROUND(IF(项目基本情况!$B$8="出让",SUMPRODUCT(PRODUCT(1+L6:$L$18)),SUMPRODUCT(PRODUCT(1+L6:$L$17))),4)</f>
        <v>1.0471999999999999</v>
      </c>
      <c r="T6" s="3175">
        <f>ROUND(IF(项目基本情况!$B$8="出让",SUMPRODUCT(PRODUCT(1+M6:$M$18)),SUMPRODUCT(PRODUCT(1+M6:$M$17))),4)</f>
        <v>1.0266</v>
      </c>
      <c r="U6" s="3175">
        <f>ROUND(IF(项目基本情况!$B$8="出让",SUMPRODUCT(PRODUCT(1+N6:$N$18)),SUMPRODUCT(PRODUCT(1+N6:$N$17))),4)</f>
        <v>1.0859000000000001</v>
      </c>
      <c r="V6" s="3175">
        <f>ROUND(IF(项目基本情况!$B$8="出让",SUMPRODUCT(PRODUCT(1+O6:$O$18)),SUMPRODUCT(PRODUCT(1+O6:$O$17))),4)</f>
        <v>1.0741000000000001</v>
      </c>
      <c r="W6" s="3175">
        <f t="shared" ref="W6" si="14">T6</f>
        <v>1.0266</v>
      </c>
      <c r="X6" s="3173"/>
      <c r="Y6" s="3176"/>
      <c r="Z6" s="3176"/>
      <c r="AA6" s="3176"/>
      <c r="AB6" s="3176"/>
      <c r="AC6" s="3176"/>
      <c r="AD6" s="3176"/>
    </row>
    <row r="7" spans="1:30" s="3187" customFormat="1" ht="12.75">
      <c r="A7" s="3178" t="s">
        <v>3381</v>
      </c>
      <c r="B7" s="3179">
        <v>2023</v>
      </c>
      <c r="C7" s="3180">
        <v>4</v>
      </c>
      <c r="D7" s="3181">
        <v>0.19</v>
      </c>
      <c r="E7" s="3181">
        <v>0.24</v>
      </c>
      <c r="F7" s="3181">
        <v>-0.16</v>
      </c>
      <c r="G7" s="3181">
        <v>0.17</v>
      </c>
      <c r="H7" s="3182">
        <v>0.61</v>
      </c>
      <c r="I7" s="3183">
        <f>F7</f>
        <v>-0.16</v>
      </c>
      <c r="J7" s="3184"/>
      <c r="K7" s="3185">
        <f t="shared" si="5"/>
        <v>1.9E-3</v>
      </c>
      <c r="L7" s="3186">
        <f t="shared" si="5"/>
        <v>2.3999999999999998E-3</v>
      </c>
      <c r="M7" s="3186">
        <f t="shared" si="5"/>
        <v>-1.6000000000000001E-3</v>
      </c>
      <c r="N7" s="3186">
        <f t="shared" si="5"/>
        <v>1.7000000000000001E-3</v>
      </c>
      <c r="O7" s="3186">
        <f t="shared" si="5"/>
        <v>6.0999999999999995E-3</v>
      </c>
      <c r="P7" s="3186">
        <f t="shared" ref="P7" si="15">M7</f>
        <v>-1.6000000000000001E-3</v>
      </c>
      <c r="Q7" s="3184"/>
      <c r="R7" s="3184">
        <f>ROUND(IF(项目基本情况!$B$8="出让",SUMPRODUCT(PRODUCT(1+K7:$K$18)),SUMPRODUCT(PRODUCT(1+K7:$K$17))),4)</f>
        <v>1.0804</v>
      </c>
      <c r="S7" s="3184">
        <f>ROUND(IF(项目基本情况!$B$8="出让",SUMPRODUCT(PRODUCT(1+L7:$L$18)),SUMPRODUCT(PRODUCT(1+L7:$L$17))),4)</f>
        <v>1.0471999999999999</v>
      </c>
      <c r="T7" s="3184">
        <f>ROUND(IF(项目基本情况!$B$8="出让",SUMPRODUCT(PRODUCT(1+M7:$M$18)),SUMPRODUCT(PRODUCT(1+M7:$M$17))),4)</f>
        <v>1.0266</v>
      </c>
      <c r="U7" s="3184">
        <f>ROUND(IF(项目基本情况!$B$8="出让",SUMPRODUCT(PRODUCT(1+N7:$N$18)),SUMPRODUCT(PRODUCT(1+N7:$N$17))),4)</f>
        <v>1.0859000000000001</v>
      </c>
      <c r="V7" s="3184">
        <f>ROUND(IF(项目基本情况!$B$8="出让",SUMPRODUCT(PRODUCT(1+O7:$O$18)),SUMPRODUCT(PRODUCT(1+O7:$O$17))),4)</f>
        <v>1.0741000000000001</v>
      </c>
      <c r="W7" s="3184">
        <f t="shared" ref="W7" si="16">T7</f>
        <v>1.0266</v>
      </c>
      <c r="X7" s="3184"/>
      <c r="Y7" s="3186"/>
      <c r="Z7" s="3186"/>
      <c r="AA7" s="3186"/>
      <c r="AB7" s="3186"/>
      <c r="AC7" s="3186"/>
      <c r="AD7" s="3186"/>
    </row>
    <row r="8" spans="1:30" s="3177" customFormat="1" ht="12.75">
      <c r="A8" s="3168" t="s">
        <v>3382</v>
      </c>
      <c r="B8" s="3169">
        <v>2023</v>
      </c>
      <c r="C8" s="3170">
        <v>3</v>
      </c>
      <c r="D8" s="3171">
        <v>0.25</v>
      </c>
      <c r="E8" s="3171">
        <v>0.5</v>
      </c>
      <c r="F8" s="3171">
        <v>0.31</v>
      </c>
      <c r="G8" s="3171">
        <v>0.21</v>
      </c>
      <c r="H8" s="3188">
        <v>0.43</v>
      </c>
      <c r="I8" s="3172">
        <f t="shared" si="4"/>
        <v>0.31</v>
      </c>
      <c r="J8" s="3173"/>
      <c r="K8" s="3174">
        <f t="shared" ref="K8:K10" si="17">D8/100</f>
        <v>2.5000000000000001E-3</v>
      </c>
      <c r="L8" s="3164">
        <f t="shared" ref="L8:L10" si="18">E8/100</f>
        <v>5.0000000000000001E-3</v>
      </c>
      <c r="M8" s="3164">
        <f t="shared" ref="M8:M10" si="19">F8/100</f>
        <v>3.0999999999999999E-3</v>
      </c>
      <c r="N8" s="3164">
        <f t="shared" ref="N8:N10" si="20">G8/100</f>
        <v>2.0999999999999999E-3</v>
      </c>
      <c r="O8" s="3164">
        <f t="shared" ref="O8:O10" si="21">H8/100</f>
        <v>4.3E-3</v>
      </c>
      <c r="P8" s="3164">
        <f t="shared" ref="P8:P10" si="22">M8</f>
        <v>3.0999999999999999E-3</v>
      </c>
      <c r="Q8" s="3173"/>
      <c r="R8" s="3175">
        <f>ROUND(IF(项目基本情况!$B$8="出让",SUMPRODUCT(PRODUCT(1+K8:$K$18)),SUMPRODUCT(PRODUCT(1+K8:$K$17))),4)</f>
        <v>1.0783</v>
      </c>
      <c r="S8" s="3175">
        <f>ROUND(IF(项目基本情况!$B$8="出让",SUMPRODUCT(PRODUCT(1+L8:$L$18)),SUMPRODUCT(PRODUCT(1+L8:$L$17))),4)</f>
        <v>1.0447</v>
      </c>
      <c r="T8" s="3175">
        <f>ROUND(IF(项目基本情况!$B$8="出让",SUMPRODUCT(PRODUCT(1+M8:$M$18)),SUMPRODUCT(PRODUCT(1+M8:$M$17))),4)</f>
        <v>1.0282</v>
      </c>
      <c r="U8" s="3175">
        <f>ROUND(IF(项目基本情况!$B$8="出让",SUMPRODUCT(PRODUCT(1+N8:$N$18)),SUMPRODUCT(PRODUCT(1+N8:$N$17))),4)</f>
        <v>1.0841000000000001</v>
      </c>
      <c r="V8" s="3175">
        <f>ROUND(IF(项目基本情况!$B$8="出让",SUMPRODUCT(PRODUCT(1+O8:$O$18)),SUMPRODUCT(PRODUCT(1+O8:$O$17))),4)</f>
        <v>1.0674999999999999</v>
      </c>
      <c r="W8" s="3175">
        <f t="shared" ref="W8:W9" si="23">T8</f>
        <v>1.0282</v>
      </c>
      <c r="X8" s="3173"/>
      <c r="Y8" s="3176"/>
      <c r="Z8" s="3176"/>
      <c r="AA8" s="3176"/>
      <c r="AB8" s="3176"/>
      <c r="AC8" s="3176"/>
      <c r="AD8" s="3176"/>
    </row>
    <row r="9" spans="1:30" s="3177" customFormat="1" ht="12.75">
      <c r="A9" s="3168" t="s">
        <v>3374</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3373</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3372</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3368</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3359</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2824</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2825</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2826</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2827</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2828</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3370</v>
      </c>
    </row>
    <row r="21" spans="1:30" s="3001" customFormat="1">
      <c r="I21" s="3200" t="s">
        <v>2829</v>
      </c>
    </row>
    <row r="22" spans="1:30" s="3001" customFormat="1"/>
    <row r="23" spans="1:30" s="3201" customFormat="1" ht="12.75">
      <c r="B23" s="3202" t="s">
        <v>3376</v>
      </c>
      <c r="C23" s="3203"/>
      <c r="D23" s="3203"/>
      <c r="E23" s="3203"/>
      <c r="F23" s="3203"/>
      <c r="G23" s="3203"/>
      <c r="H23" s="3203"/>
      <c r="I23" s="3203"/>
      <c r="J23" s="3157"/>
      <c r="K23" s="3203" t="s">
        <v>2830</v>
      </c>
      <c r="L23" s="3203"/>
      <c r="M23" s="3203"/>
      <c r="N23" s="3203"/>
      <c r="O23" s="3203"/>
      <c r="P23" s="3203"/>
      <c r="Q23" s="3157"/>
      <c r="R23" s="3887" t="s">
        <v>2831</v>
      </c>
      <c r="S23" s="3888"/>
      <c r="T23" s="3888"/>
      <c r="U23" s="3888"/>
      <c r="V23" s="3888"/>
      <c r="W23" s="3888"/>
      <c r="X23" s="3157"/>
      <c r="Y23" s="3887" t="s">
        <v>2832</v>
      </c>
      <c r="Z23" s="3888"/>
      <c r="AA23" s="3888"/>
      <c r="AB23" s="3888"/>
      <c r="AC23" s="3888"/>
      <c r="AD23" s="3888"/>
    </row>
    <row r="24" spans="1:30" s="3135" customFormat="1" ht="14.25" thickBot="1">
      <c r="B24" s="3136"/>
      <c r="C24" s="3137"/>
      <c r="D24" s="3138" t="s">
        <v>2833</v>
      </c>
      <c r="E24" s="3139" t="s">
        <v>2834</v>
      </c>
      <c r="F24" s="3139" t="s">
        <v>2835</v>
      </c>
      <c r="G24" s="3139" t="s">
        <v>2836</v>
      </c>
      <c r="H24" s="3139"/>
      <c r="I24" s="3139" t="s">
        <v>2837</v>
      </c>
      <c r="J24" s="3140"/>
      <c r="K24" s="3138" t="s">
        <v>2833</v>
      </c>
      <c r="L24" s="3139" t="s">
        <v>2834</v>
      </c>
      <c r="M24" s="3139" t="s">
        <v>2835</v>
      </c>
      <c r="N24" s="3139" t="s">
        <v>2836</v>
      </c>
      <c r="O24" s="3139"/>
      <c r="P24" s="3139" t="s">
        <v>2837</v>
      </c>
      <c r="Q24" s="3140"/>
      <c r="R24" s="3138" t="s">
        <v>2833</v>
      </c>
      <c r="S24" s="3139" t="s">
        <v>2834</v>
      </c>
      <c r="T24" s="3139" t="s">
        <v>2835</v>
      </c>
      <c r="U24" s="3139" t="s">
        <v>2836</v>
      </c>
      <c r="V24" s="3139"/>
      <c r="W24" s="3139" t="s">
        <v>2837</v>
      </c>
      <c r="X24" s="3140"/>
      <c r="Y24" s="3138" t="s">
        <v>2833</v>
      </c>
      <c r="Z24" s="3139" t="s">
        <v>2834</v>
      </c>
      <c r="AA24" s="3139" t="s">
        <v>2835</v>
      </c>
      <c r="AB24" s="3139" t="s">
        <v>2836</v>
      </c>
      <c r="AC24" s="3139"/>
      <c r="AD24" s="3139" t="s">
        <v>2837</v>
      </c>
    </row>
    <row r="25" spans="1:30" s="3153" customFormat="1" ht="12.75">
      <c r="A25" s="3141" t="s">
        <v>2838</v>
      </c>
      <c r="B25" s="3142"/>
      <c r="C25" s="3143"/>
      <c r="D25" s="3143"/>
      <c r="E25" s="3143">
        <f t="shared" ref="E25:G25" si="32">ROUND(AVERAGEIF(E26:E40,"&lt;&gt;0"),2)</f>
        <v>0.39</v>
      </c>
      <c r="F25" s="3143">
        <f t="shared" si="32"/>
        <v>0.28000000000000003</v>
      </c>
      <c r="G25" s="3143">
        <f t="shared" si="32"/>
        <v>0.67</v>
      </c>
      <c r="H25" s="3143"/>
      <c r="I25" s="3143">
        <f>F25</f>
        <v>0.28000000000000003</v>
      </c>
      <c r="J25" s="3144"/>
      <c r="K25" s="3145"/>
      <c r="L25" s="3146">
        <f t="shared" ref="L25:N25" si="33">ROUND(AVERAGEIF(L26:L40,"&lt;&gt;0"),4)</f>
        <v>3.8999999999999998E-3</v>
      </c>
      <c r="M25" s="3146">
        <f t="shared" si="33"/>
        <v>2.8E-3</v>
      </c>
      <c r="N25" s="3146">
        <f t="shared" si="33"/>
        <v>6.7000000000000002E-3</v>
      </c>
      <c r="O25" s="3146"/>
      <c r="P25" s="3146">
        <f>M25</f>
        <v>2.8E-3</v>
      </c>
      <c r="Q25" s="3144"/>
      <c r="R25" s="3147"/>
      <c r="S25" s="3148">
        <f>ROUND(SUMPRODUCT(PRODUCT(1+L26:L40)),4)</f>
        <v>1.0476000000000001</v>
      </c>
      <c r="T25" s="3148">
        <f t="shared" ref="T25:U25" si="34">ROUND(SUMPRODUCT(PRODUCT(1+M26:M40)),4)</f>
        <v>1.0346</v>
      </c>
      <c r="U25" s="3148">
        <f t="shared" si="34"/>
        <v>1.0831999999999999</v>
      </c>
      <c r="V25" s="3148"/>
      <c r="W25" s="3147">
        <f>T25</f>
        <v>1.0346</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197" t="s">
        <v>3378</v>
      </c>
      <c r="B27" s="3169">
        <v>2024</v>
      </c>
      <c r="C27" s="3170">
        <v>2</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1.0439000000000001</v>
      </c>
      <c r="T27" s="3175">
        <f>ROUND(IF(项目基本情况!$B$8="出让",SUMPRODUCT(PRODUCT(1+M27:M$40)),SUMPRODUCT(PRODUCT(1+M27:M$39))),4)</f>
        <v>1.0297000000000001</v>
      </c>
      <c r="U27" s="3175">
        <f>ROUND(IF(项目基本情况!$B$8="出让",SUMPRODUCT(PRODUCT(1+N27:N$40)),SUMPRODUCT(PRODUCT(1+N27:N$39))),4)</f>
        <v>1.0727</v>
      </c>
      <c r="V27" s="3175"/>
      <c r="W27" s="3175">
        <f>T27</f>
        <v>1.0297000000000001</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197" t="s">
        <v>3379</v>
      </c>
      <c r="B28" s="3169">
        <v>2024</v>
      </c>
      <c r="C28" s="3170">
        <v>1</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1.0439000000000001</v>
      </c>
      <c r="T28" s="3175">
        <f>ROUND(IF(项目基本情况!$B$8="出让",SUMPRODUCT(PRODUCT(1+M28:M$40)),SUMPRODUCT(PRODUCT(1+M28:M$39))),4)</f>
        <v>1.0297000000000001</v>
      </c>
      <c r="U28" s="3175">
        <f>ROUND(IF(项目基本情况!$B$8="出让",SUMPRODUCT(PRODUCT(1+N28:N$40)),SUMPRODUCT(PRODUCT(1+N28:N$39))),4)</f>
        <v>1.0727</v>
      </c>
      <c r="V28" s="3175"/>
      <c r="W28" s="3175">
        <f t="shared" ref="W28" si="43">T28</f>
        <v>1.0297000000000001</v>
      </c>
      <c r="X28" s="3173"/>
      <c r="Y28" s="3176"/>
      <c r="Z28" s="3204"/>
      <c r="AA28" s="3206"/>
      <c r="AB28" s="3176"/>
      <c r="AC28" s="3205"/>
      <c r="AD28" s="3176"/>
    </row>
    <row r="29" spans="1:30" s="3187" customFormat="1" ht="12.75">
      <c r="A29" s="3178" t="s">
        <v>3383</v>
      </c>
      <c r="B29" s="3179">
        <v>2023</v>
      </c>
      <c r="C29" s="3180">
        <v>4</v>
      </c>
      <c r="D29" s="3181"/>
      <c r="E29" s="3181">
        <v>7.0000000000000007E-2</v>
      </c>
      <c r="F29" s="3181">
        <v>0.09</v>
      </c>
      <c r="G29" s="3181">
        <v>0.03</v>
      </c>
      <c r="H29" s="3182"/>
      <c r="I29" s="3183">
        <f t="shared" si="38"/>
        <v>0.09</v>
      </c>
      <c r="J29" s="3184"/>
      <c r="K29" s="3185"/>
      <c r="L29" s="3186">
        <f t="shared" si="37"/>
        <v>7.000000000000001E-4</v>
      </c>
      <c r="M29" s="3186">
        <f t="shared" si="37"/>
        <v>8.9999999999999998E-4</v>
      </c>
      <c r="N29" s="3186">
        <f t="shared" si="37"/>
        <v>2.9999999999999997E-4</v>
      </c>
      <c r="O29" s="3186"/>
      <c r="P29" s="3186">
        <f t="shared" ref="P29" si="44">M29</f>
        <v>8.9999999999999998E-4</v>
      </c>
      <c r="Q29" s="3184"/>
      <c r="R29" s="3184"/>
      <c r="S29" s="3184">
        <f>ROUND(IF(项目基本情况!$B$8="出让",SUMPRODUCT(PRODUCT(1+L29:L$40)),SUMPRODUCT(PRODUCT(1+L29:L$39))),4)</f>
        <v>1.0439000000000001</v>
      </c>
      <c r="T29" s="3184">
        <f>ROUND(IF(项目基本情况!$B$8="出让",SUMPRODUCT(PRODUCT(1+M29:M$40)),SUMPRODUCT(PRODUCT(1+M29:M$39))),4)</f>
        <v>1.0297000000000001</v>
      </c>
      <c r="U29" s="3184">
        <f>ROUND(IF(项目基本情况!$B$8="出让",SUMPRODUCT(PRODUCT(1+N29:N$40)),SUMPRODUCT(PRODUCT(1+N29:N$39))),4)</f>
        <v>1.0727</v>
      </c>
      <c r="V29" s="3184"/>
      <c r="W29" s="3184">
        <f t="shared" ref="W29" si="45">T29</f>
        <v>1.0297000000000001</v>
      </c>
      <c r="X29" s="3184"/>
      <c r="Y29" s="3186"/>
      <c r="Z29" s="3207"/>
      <c r="AA29" s="3208"/>
      <c r="AB29" s="3186"/>
      <c r="AC29" s="3209"/>
      <c r="AD29" s="3186"/>
    </row>
    <row r="30" spans="1:30" s="3177" customFormat="1" ht="12.75">
      <c r="A30" s="3168" t="s">
        <v>3382</v>
      </c>
      <c r="B30" s="3169">
        <v>2023</v>
      </c>
      <c r="C30" s="3170">
        <v>3</v>
      </c>
      <c r="D30" s="3171"/>
      <c r="E30" s="3171">
        <v>0.35</v>
      </c>
      <c r="F30" s="3171">
        <v>0.17</v>
      </c>
      <c r="G30" s="3171">
        <v>0.52</v>
      </c>
      <c r="H30" s="3188"/>
      <c r="I30" s="3172">
        <f t="shared" si="36"/>
        <v>0.17</v>
      </c>
      <c r="J30" s="3173"/>
      <c r="K30" s="3174"/>
      <c r="L30" s="3164">
        <f t="shared" ref="L30:L32" si="46">E30/100</f>
        <v>3.4999999999999996E-3</v>
      </c>
      <c r="M30" s="3164">
        <f t="shared" ref="M30:M32" si="47">F30/100</f>
        <v>1.7000000000000001E-3</v>
      </c>
      <c r="N30" s="3164">
        <f t="shared" ref="N30:N32" si="48">G30/100</f>
        <v>5.1999999999999998E-3</v>
      </c>
      <c r="O30" s="3164"/>
      <c r="P30" s="3164">
        <f t="shared" ref="P30:P32" si="49">M30</f>
        <v>1.7000000000000001E-3</v>
      </c>
      <c r="Q30" s="3173"/>
      <c r="R30" s="3175"/>
      <c r="S30" s="3175">
        <f>ROUND(IF(项目基本情况!$B$8="出让",SUMPRODUCT(PRODUCT(1+L30:L$40)),SUMPRODUCT(PRODUCT(1+L30:L$39))),4)</f>
        <v>1.0431999999999999</v>
      </c>
      <c r="T30" s="3175">
        <f>ROUND(IF(项目基本情况!$B$8="出让",SUMPRODUCT(PRODUCT(1+M30:M$40)),SUMPRODUCT(PRODUCT(1+M30:M$39))),4)</f>
        <v>1.0286999999999999</v>
      </c>
      <c r="U30" s="3175">
        <f>ROUND(IF(项目基本情况!$B$8="出让",SUMPRODUCT(PRODUCT(1+N30:N$40)),SUMPRODUCT(PRODUCT(1+N30:N$39))),4)</f>
        <v>1.0723</v>
      </c>
      <c r="V30" s="3175"/>
      <c r="W30" s="3175">
        <f t="shared" ref="W30:W32" si="50">T30</f>
        <v>1.0286999999999999</v>
      </c>
      <c r="X30" s="3173"/>
      <c r="Y30" s="3176"/>
      <c r="Z30" s="3204"/>
      <c r="AA30" s="3206"/>
      <c r="AB30" s="3176"/>
      <c r="AC30" s="3205"/>
      <c r="AD30" s="3176"/>
    </row>
    <row r="31" spans="1:30" s="3177" customFormat="1" ht="12.75">
      <c r="A31" s="3168" t="s">
        <v>3377</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3373</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3372</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3369</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3359</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2839</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2840</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2841</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2842</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2828</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3371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77" t="str">
        <f>IF(项目基本情况!B9="房地产市场价值","估价结果一览表","结果表-2")</f>
        <v>结果表-2</v>
      </c>
      <c r="B1" s="3577"/>
      <c r="C1" s="3577"/>
      <c r="D1" s="3577"/>
      <c r="E1" s="3577"/>
      <c r="F1" s="3577"/>
      <c r="G1" s="3577"/>
      <c r="H1" s="3577"/>
      <c r="I1" s="3577"/>
    </row>
    <row r="2" spans="1:9" ht="30" customHeight="1" thickTop="1">
      <c r="A2" s="3578" t="s">
        <v>928</v>
      </c>
      <c r="B2" s="3578" t="s">
        <v>929</v>
      </c>
      <c r="C2" s="3578" t="s">
        <v>930</v>
      </c>
      <c r="D2" s="3578" t="str">
        <f>结果表!D116</f>
        <v>出让国有建设用地使用权价值</v>
      </c>
      <c r="E2" s="3578"/>
      <c r="F2" s="3578" t="str">
        <f>结果表!F116</f>
        <v>在建建筑物价值</v>
      </c>
      <c r="G2" s="3578"/>
      <c r="H2" s="3578" t="str">
        <f>IF(项目基本情况!B9="房地产市场价值","房地产市场价值","房地产价值")</f>
        <v>房地产价值</v>
      </c>
      <c r="I2" s="3578"/>
    </row>
    <row r="3" spans="1:9" ht="15">
      <c r="A3" s="3573"/>
      <c r="B3" s="3573"/>
      <c r="C3" s="3573"/>
      <c r="D3" s="846" t="s">
        <v>925</v>
      </c>
      <c r="E3" s="846" t="s">
        <v>931</v>
      </c>
      <c r="F3" s="846" t="s">
        <v>925</v>
      </c>
      <c r="G3" s="846" t="s">
        <v>926</v>
      </c>
      <c r="H3" s="846" t="s">
        <v>925</v>
      </c>
      <c r="I3" s="846" t="s">
        <v>926</v>
      </c>
    </row>
    <row r="4" spans="1:9" ht="30">
      <c r="A4" s="1497" t="str">
        <f>项目基本情况!S2</f>
        <v>北京市丰台区四合庄路6号院1-3号楼房地产</v>
      </c>
      <c r="B4" s="846">
        <f>项目基本情况!C17</f>
        <v>103664.12</v>
      </c>
      <c r="C4" s="846">
        <f>项目基本情况!C18</f>
        <v>22117.26</v>
      </c>
      <c r="D4" s="846">
        <f ca="1">结果表!D118</f>
        <v>35495</v>
      </c>
      <c r="E4" s="846">
        <f ca="1">结果表!E118</f>
        <v>6839</v>
      </c>
      <c r="F4" s="846">
        <f ca="1">结果表!F118</f>
        <v>133530</v>
      </c>
      <c r="G4" s="846">
        <f ca="1">结果表!G118</f>
        <v>25728</v>
      </c>
      <c r="H4" s="846">
        <f ca="1">结果表!H118</f>
        <v>169025</v>
      </c>
      <c r="I4" s="846">
        <f ca="1">结果表!I118</f>
        <v>32567</v>
      </c>
    </row>
    <row r="5" spans="1:9" ht="30" customHeight="1">
      <c r="A5" s="3573" t="s">
        <v>927</v>
      </c>
      <c r="B5" s="3573"/>
      <c r="C5" s="3573"/>
      <c r="D5" s="3573" t="str">
        <f ca="1">结果表!D119</f>
        <v>叁亿伍仟肆佰玖拾伍万元整</v>
      </c>
      <c r="E5" s="3573"/>
      <c r="F5" s="3573" t="str">
        <f ca="1">结果表!F119</f>
        <v>壹拾叁亿叁仟伍佰叁拾万元整</v>
      </c>
      <c r="G5" s="3573"/>
      <c r="H5" s="3573" t="str">
        <f ca="1">结果表!H119</f>
        <v>壹拾陆亿玖仟零贰拾伍万元整</v>
      </c>
      <c r="I5" s="3573"/>
    </row>
    <row r="6" spans="1:9" ht="15.75">
      <c r="A6" s="3572" t="str">
        <f>结果表!A120</f>
        <v>估价师知悉的法定优先受偿款</v>
      </c>
      <c r="B6" s="3572"/>
      <c r="C6" s="3572"/>
      <c r="D6" s="3572">
        <f>结果表!D120</f>
        <v>0</v>
      </c>
      <c r="E6" s="3572"/>
      <c r="F6" s="3572"/>
      <c r="G6" s="3572"/>
      <c r="H6" s="3572"/>
      <c r="I6" s="3572"/>
    </row>
    <row r="7" spans="1:9" ht="15">
      <c r="A7" s="3573" t="s">
        <v>927</v>
      </c>
      <c r="B7" s="3573"/>
      <c r="C7" s="3573"/>
      <c r="D7" s="3574" t="str">
        <f>结果表!D121</f>
        <v>零元整</v>
      </c>
      <c r="E7" s="3575"/>
      <c r="F7" s="3575"/>
      <c r="G7" s="3575"/>
      <c r="H7" s="3575"/>
      <c r="I7" s="3576"/>
    </row>
    <row r="8" spans="1:9" ht="15.75">
      <c r="A8" s="3572" t="str">
        <f>结果表!A122</f>
        <v>房地产抵押价值</v>
      </c>
      <c r="B8" s="3572"/>
      <c r="C8" s="3572"/>
      <c r="D8" s="3572">
        <f ca="1">结果表!D122</f>
        <v>169025</v>
      </c>
      <c r="E8" s="3572"/>
      <c r="F8" s="3572"/>
      <c r="G8" s="3572"/>
      <c r="H8" s="3572"/>
      <c r="I8" s="3572"/>
    </row>
    <row r="9" spans="1:9" ht="15">
      <c r="A9" s="3573" t="s">
        <v>927</v>
      </c>
      <c r="B9" s="3573"/>
      <c r="C9" s="3573"/>
      <c r="D9" s="3573" t="str">
        <f ca="1">结果表!D123</f>
        <v>壹拾陆亿玖仟零贰拾伍万元整</v>
      </c>
      <c r="E9" s="3573"/>
      <c r="F9" s="3573"/>
      <c r="G9" s="3573"/>
      <c r="H9" s="3573"/>
      <c r="I9" s="3573"/>
    </row>
    <row r="10" spans="1:9" ht="15.75">
      <c r="A10" s="3572" t="str">
        <f>结果表!A124</f>
        <v/>
      </c>
      <c r="B10" s="3572"/>
      <c r="C10" s="3572"/>
      <c r="D10" s="3572" t="str">
        <f>结果表!D124</f>
        <v>——</v>
      </c>
      <c r="E10" s="3572"/>
      <c r="F10" s="3572"/>
      <c r="G10" s="3572"/>
      <c r="H10" s="3572"/>
      <c r="I10" s="3572"/>
    </row>
    <row r="11" spans="1:9" ht="15">
      <c r="A11" s="3573" t="s">
        <v>927</v>
      </c>
      <c r="B11" s="3573"/>
      <c r="C11" s="3573"/>
      <c r="D11" s="3573" t="e">
        <f>结果表!D125</f>
        <v>#VALUE!</v>
      </c>
      <c r="E11" s="3573"/>
      <c r="F11" s="3573"/>
      <c r="G11" s="3573"/>
      <c r="H11" s="3573"/>
      <c r="I11" s="3573"/>
    </row>
    <row r="12" spans="1:9" ht="15.75">
      <c r="A12" s="3572" t="str">
        <f>结果表!A126</f>
        <v/>
      </c>
      <c r="B12" s="3572"/>
      <c r="C12" s="3572"/>
      <c r="D12" s="3572" t="str">
        <f>结果表!D126</f>
        <v>——</v>
      </c>
      <c r="E12" s="3572"/>
      <c r="F12" s="3572"/>
      <c r="G12" s="3572"/>
      <c r="H12" s="3572"/>
      <c r="I12" s="3572"/>
    </row>
    <row r="13" spans="1:9" ht="15.75" thickBot="1">
      <c r="A13" s="3570" t="s">
        <v>927</v>
      </c>
      <c r="B13" s="3570"/>
      <c r="C13" s="3570"/>
      <c r="D13" s="3570" t="e">
        <f>结果表!D127</f>
        <v>#VALUE!</v>
      </c>
      <c r="E13" s="3570"/>
      <c r="F13" s="3570"/>
      <c r="G13" s="3570"/>
      <c r="H13" s="3570"/>
      <c r="I13" s="3570"/>
    </row>
    <row r="14" spans="1:9" ht="15" thickTop="1">
      <c r="A14" s="3571" t="s">
        <v>932</v>
      </c>
      <c r="B14" s="3571"/>
      <c r="C14" s="3571"/>
      <c r="D14" s="3571"/>
      <c r="E14" s="3571"/>
      <c r="F14" s="3571"/>
      <c r="G14" s="3571"/>
      <c r="H14" s="3571"/>
      <c r="I14" s="3571"/>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94" t="s">
        <v>452</v>
      </c>
      <c r="C1" s="3894"/>
      <c r="D1" s="3894"/>
      <c r="E1" s="3894"/>
      <c r="F1" s="3894"/>
      <c r="G1" s="3893" t="s">
        <v>453</v>
      </c>
      <c r="H1" s="3893"/>
      <c r="I1" s="3893"/>
      <c r="J1" s="3893"/>
      <c r="K1" s="3893"/>
      <c r="L1" s="3893"/>
      <c r="N1" s="3893" t="s">
        <v>454</v>
      </c>
      <c r="O1" s="3893"/>
      <c r="P1" s="3893"/>
      <c r="Q1" s="3893"/>
      <c r="S1" s="3893" t="s">
        <v>455</v>
      </c>
      <c r="T1" s="3893"/>
      <c r="U1" s="3893"/>
      <c r="V1" s="3893"/>
      <c r="X1" s="3892" t="s">
        <v>456</v>
      </c>
      <c r="Y1" s="3893"/>
      <c r="Z1" s="3893"/>
      <c r="AA1" s="3893"/>
      <c r="AB1" s="3893"/>
      <c r="AD1" s="3892" t="s">
        <v>457</v>
      </c>
      <c r="AE1" s="3893"/>
      <c r="AF1" s="3893"/>
      <c r="AG1" s="3893"/>
      <c r="AH1" s="3893"/>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3367</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28">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3364</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28">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3365</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28">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3366</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28">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2440</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7">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2317</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22">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2316</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21">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2315</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805">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2312</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804">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2311</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801">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90">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90"/>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90"/>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99"/>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895">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90"/>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90"/>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99"/>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95">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90"/>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90"/>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91"/>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89">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90"/>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90"/>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91"/>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89">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90"/>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90"/>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91"/>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96">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97"/>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97"/>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98"/>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89">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90"/>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90"/>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91"/>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89">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90">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90">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91">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89">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90">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90">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91">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89">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90">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90">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91">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89">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90">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90">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91">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89">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90">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90">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91">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89">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90">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90">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91">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89">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90">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90">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91">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89">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90">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90">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91">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89">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90">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90">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91">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89">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90">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90">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91">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45401</v>
      </c>
      <c r="D1" s="1294" t="s">
        <v>603</v>
      </c>
      <c r="E1" s="1289">
        <f>'数据-取费表'!B22</f>
        <v>3</v>
      </c>
      <c r="F1" s="1294" t="s">
        <v>604</v>
      </c>
      <c r="G1" s="1290">
        <f ca="1">INDIRECT("d"&amp;$K$1)/100</f>
        <v>3.4500000000000003E-2</v>
      </c>
      <c r="H1" s="1294" t="s">
        <v>634</v>
      </c>
      <c r="I1" s="1290">
        <f ca="1">F4/100</f>
        <v>1.4999999999999999E-2</v>
      </c>
      <c r="J1" s="1295">
        <f>IF(C1&gt;C13,0,MATCH(C1,C$13:C$111,-1))+IF(SUMIF(C13:C111,C1,D13:D111)=0,13,12)</f>
        <v>13</v>
      </c>
      <c r="K1" s="1295">
        <f ca="1">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13">
        <v>45159</v>
      </c>
      <c r="D13" s="2814">
        <v>3.45</v>
      </c>
      <c r="E13" s="2814">
        <f>D13</f>
        <v>3.45</v>
      </c>
      <c r="F13" s="2814">
        <f>D13</f>
        <v>3.45</v>
      </c>
      <c r="G13" s="2814">
        <f>D13</f>
        <v>3.45</v>
      </c>
      <c r="H13" s="2814">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8"/>
      <c r="C14" s="2810">
        <v>45097</v>
      </c>
      <c r="D14" s="2809">
        <v>3.55</v>
      </c>
      <c r="E14" s="2809">
        <f>D14</f>
        <v>3.55</v>
      </c>
      <c r="F14" s="2809">
        <f>D14</f>
        <v>3.55</v>
      </c>
      <c r="G14" s="2809">
        <f>D14</f>
        <v>3.55</v>
      </c>
      <c r="H14" s="2809">
        <v>4.2</v>
      </c>
      <c r="I14" s="2814"/>
      <c r="J14" s="2814"/>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8"/>
      <c r="C15" s="2810">
        <v>44795</v>
      </c>
      <c r="D15" s="2809">
        <v>3.65</v>
      </c>
      <c r="E15" s="2809">
        <v>3.65</v>
      </c>
      <c r="F15" s="2809">
        <v>3.65</v>
      </c>
      <c r="G15" s="2809">
        <v>3.65</v>
      </c>
      <c r="H15" s="2809">
        <v>4.3</v>
      </c>
      <c r="I15" s="2814"/>
      <c r="J15" s="2814"/>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8"/>
      <c r="C16" s="2810">
        <v>44701</v>
      </c>
      <c r="D16" s="2809">
        <v>3.7</v>
      </c>
      <c r="E16" s="2809">
        <f>D16</f>
        <v>3.7</v>
      </c>
      <c r="F16" s="2809">
        <f>D16</f>
        <v>3.7</v>
      </c>
      <c r="G16" s="2809">
        <f>D16</f>
        <v>3.7</v>
      </c>
      <c r="H16" s="2809">
        <v>4.45</v>
      </c>
      <c r="I16" s="2814"/>
      <c r="J16" s="2814"/>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8"/>
      <c r="C17" s="2810">
        <v>44581</v>
      </c>
      <c r="D17" s="2809">
        <v>3.7</v>
      </c>
      <c r="E17" s="2809">
        <f>D17</f>
        <v>3.7</v>
      </c>
      <c r="F17" s="2809">
        <f>D17</f>
        <v>3.7</v>
      </c>
      <c r="G17" s="2809">
        <f>D17</f>
        <v>3.7</v>
      </c>
      <c r="H17" s="2809">
        <v>4.5999999999999996</v>
      </c>
      <c r="I17" s="2814"/>
      <c r="J17" s="2814"/>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76"/>
      <c r="B19" s="2809"/>
      <c r="C19" s="2810">
        <v>43941</v>
      </c>
      <c r="D19" s="2809">
        <v>3.85</v>
      </c>
      <c r="E19" s="2809">
        <v>3.85</v>
      </c>
      <c r="F19" s="2809">
        <v>3.85</v>
      </c>
      <c r="G19" s="2809">
        <v>3.85</v>
      </c>
      <c r="H19" s="2809">
        <v>4.6500000000000004</v>
      </c>
      <c r="I19" s="2809"/>
      <c r="J19" s="2809"/>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9"/>
      <c r="C20" s="2810">
        <v>43881</v>
      </c>
      <c r="D20" s="2809">
        <v>4.05</v>
      </c>
      <c r="E20" s="2809">
        <v>4.05</v>
      </c>
      <c r="F20" s="2809">
        <v>4.05</v>
      </c>
      <c r="G20" s="2809">
        <v>4.05</v>
      </c>
      <c r="H20" s="2809">
        <v>4.75</v>
      </c>
      <c r="I20" s="2809"/>
      <c r="J20" s="2809"/>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9"/>
      <c r="C21" s="2810">
        <v>43789</v>
      </c>
      <c r="D21" s="2809">
        <v>4.1500000000000004</v>
      </c>
      <c r="E21" s="2809">
        <v>4.1500000000000004</v>
      </c>
      <c r="F21" s="2809">
        <v>4.1500000000000004</v>
      </c>
      <c r="G21" s="2809">
        <v>4.1500000000000004</v>
      </c>
      <c r="H21" s="2809">
        <v>4.8</v>
      </c>
      <c r="I21" s="2809"/>
      <c r="J21" s="2809"/>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9"/>
      <c r="C22" s="2810">
        <v>43728</v>
      </c>
      <c r="D22" s="2809">
        <v>4.2</v>
      </c>
      <c r="E22" s="2809">
        <v>4.2</v>
      </c>
      <c r="F22" s="2809">
        <v>4.2</v>
      </c>
      <c r="G22" s="2809">
        <v>4.2</v>
      </c>
      <c r="H22" s="2809">
        <v>4.8499999999999996</v>
      </c>
      <c r="I22" s="2809"/>
      <c r="J22" s="2809"/>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15"/>
      <c r="B23" s="2808" t="s">
        <v>2313</v>
      </c>
      <c r="C23" s="2811">
        <v>43697</v>
      </c>
      <c r="D23" s="2812">
        <v>4.25</v>
      </c>
      <c r="E23" s="2812">
        <v>4.25</v>
      </c>
      <c r="F23" s="2812">
        <v>4.25</v>
      </c>
      <c r="G23" s="2812">
        <v>4.25</v>
      </c>
      <c r="H23" s="2812">
        <v>4.8499999999999996</v>
      </c>
      <c r="I23" s="2812"/>
      <c r="J23" s="2812"/>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16"/>
      <c r="C24" s="2817">
        <v>42301</v>
      </c>
      <c r="D24" s="2818">
        <v>4.3499999999999996</v>
      </c>
      <c r="E24" s="2818">
        <v>4.3499999999999996</v>
      </c>
      <c r="F24" s="2818">
        <v>4.75</v>
      </c>
      <c r="G24" s="2818">
        <v>4.75</v>
      </c>
      <c r="H24" s="2818">
        <v>4.9000000000000004</v>
      </c>
      <c r="I24" s="2818"/>
      <c r="J24" s="2818"/>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85" t="s">
        <v>949</v>
      </c>
      <c r="B1" s="3585"/>
      <c r="C1" s="3585"/>
      <c r="D1" s="3585"/>
    </row>
    <row r="2" spans="1:4" ht="18">
      <c r="A2" s="3586" t="s">
        <v>933</v>
      </c>
      <c r="B2" s="3586"/>
      <c r="C2" s="3586"/>
      <c r="D2" s="3586"/>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吴薇</v>
      </c>
      <c r="B5" s="1503">
        <f ca="1">项目基本情况!E4</f>
        <v>1419970001</v>
      </c>
      <c r="C5" s="1506"/>
      <c r="D5" s="1505" t="s">
        <v>938</v>
      </c>
    </row>
    <row r="6" spans="1:4" ht="18">
      <c r="A6" s="3586" t="s">
        <v>939</v>
      </c>
      <c r="B6" s="3586"/>
      <c r="C6" s="3586"/>
      <c r="D6" s="3586"/>
    </row>
    <row r="7" spans="1:4" ht="18.75">
      <c r="A7" s="1501" t="s">
        <v>934</v>
      </c>
      <c r="B7" s="1503" t="s">
        <v>940</v>
      </c>
      <c r="C7" s="1501" t="s">
        <v>936</v>
      </c>
      <c r="D7" s="1501" t="s">
        <v>937</v>
      </c>
    </row>
    <row r="8" spans="1:4" ht="56.25" customHeight="1">
      <c r="A8" s="1507" t="s">
        <v>390</v>
      </c>
      <c r="B8" s="1507" t="s">
        <v>0</v>
      </c>
      <c r="C8" s="1504"/>
      <c r="D8" s="1505" t="s">
        <v>938</v>
      </c>
    </row>
    <row r="9" spans="1:4">
      <c r="A9" s="671"/>
      <c r="B9" s="671"/>
      <c r="C9" s="671"/>
      <c r="D9" s="671"/>
    </row>
    <row r="10" spans="1:4" ht="18.75">
      <c r="A10" s="1508" t="s">
        <v>941</v>
      </c>
      <c r="B10" s="671"/>
      <c r="C10" s="671"/>
      <c r="D10" s="671"/>
    </row>
    <row r="11" spans="1:4" ht="30" customHeight="1">
      <c r="A11" s="3587" t="s">
        <v>942</v>
      </c>
      <c r="B11" s="3579"/>
      <c r="C11" s="3579"/>
      <c r="D11" s="3579"/>
    </row>
    <row r="12" spans="1:4" ht="15.75">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4"/>
      <c r="C12" s="3584"/>
      <c r="D12" s="3584"/>
    </row>
    <row r="13" spans="1:4" ht="30" customHeight="1">
      <c r="A13" s="35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4"/>
      <c r="C13" s="3584"/>
      <c r="D13" s="3584"/>
    </row>
    <row r="14" spans="1:4" ht="15.75" customHeight="1">
      <c r="A14" s="3579" t="str">
        <f>IF(项目基本情况!B8="抵押","4.本次评估估价师所知悉的法定优先受偿款情况说明如下：","——")</f>
        <v>4.本次评估估价师所知悉的法定优先受偿款情况说明如下：</v>
      </c>
      <c r="B14" s="3584"/>
      <c r="C14" s="3584"/>
      <c r="D14" s="3584"/>
    </row>
    <row r="15" spans="1:4" ht="42" customHeight="1">
      <c r="A15" s="35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9"/>
      <c r="C15" s="3579"/>
      <c r="D15" s="3579"/>
    </row>
    <row r="16" spans="1:4" ht="30" customHeight="1">
      <c r="A16" s="3581" t="s">
        <v>943</v>
      </c>
      <c r="B16" s="3581"/>
      <c r="C16" s="3581"/>
      <c r="D16" s="3581"/>
    </row>
    <row r="17" spans="1:4" ht="144" customHeight="1">
      <c r="A17" s="3581" t="s">
        <v>944</v>
      </c>
      <c r="B17" s="3581"/>
      <c r="C17" s="3581"/>
      <c r="D17" s="3581"/>
    </row>
    <row r="18" spans="1:4" ht="15.75" customHeight="1">
      <c r="A18" s="3579" t="str">
        <f>IF(项目基本情况!B8="抵押",结果表!K120,"——")</f>
        <v>故，本次评估不存在估价师知悉的法定优先受偿款</v>
      </c>
      <c r="B18" s="3579"/>
      <c r="C18" s="3579"/>
      <c r="D18" s="3579"/>
    </row>
    <row r="19" spans="1:4" ht="46.5" customHeight="1">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spans="1:4" ht="57.75" customHeight="1">
      <c r="A20" s="35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9"/>
      <c r="C20" s="3579"/>
      <c r="D20" s="3579"/>
    </row>
    <row r="21" spans="1:4" ht="57.75" customHeight="1">
      <c r="A21" s="35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2"/>
      <c r="C21" s="3582"/>
      <c r="D21" s="3582"/>
    </row>
    <row r="22" spans="1:4" ht="18.75" customHeight="1">
      <c r="A22" s="3583" t="s">
        <v>945</v>
      </c>
      <c r="B22" s="3583"/>
      <c r="C22" s="3583"/>
      <c r="D22" s="3583"/>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80">
        <v>42551</v>
      </c>
      <c r="D31" s="35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593" t="s">
        <v>956</v>
      </c>
      <c r="B15" s="3588" t="s">
        <v>109</v>
      </c>
      <c r="C15" s="3589"/>
    </row>
    <row r="16" spans="1:7" ht="13.5">
      <c r="A16" s="3594"/>
      <c r="B16" s="3588" t="s">
        <v>42</v>
      </c>
      <c r="C16" s="3589"/>
    </row>
    <row r="17" spans="1:3" ht="13.5">
      <c r="A17" s="3594"/>
      <c r="B17" s="3591" t="s">
        <v>957</v>
      </c>
      <c r="C17" s="1524" t="s">
        <v>956</v>
      </c>
    </row>
    <row r="18" spans="1:3" ht="13.5">
      <c r="A18" s="3594"/>
      <c r="B18" s="3591"/>
      <c r="C18" s="1524" t="s">
        <v>958</v>
      </c>
    </row>
    <row r="19" spans="1:3" ht="13.5">
      <c r="A19" s="3594"/>
      <c r="B19" s="3591"/>
      <c r="C19" s="1524" t="s">
        <v>959</v>
      </c>
    </row>
    <row r="20" spans="1:3" ht="13.5">
      <c r="A20" s="3595"/>
      <c r="B20" s="3590" t="s">
        <v>960</v>
      </c>
      <c r="C20" s="3589"/>
    </row>
    <row r="21" spans="1:3" ht="13.5">
      <c r="A21" s="1525" t="s">
        <v>961</v>
      </c>
      <c r="B21" s="1526"/>
      <c r="C21" s="1527"/>
    </row>
    <row r="22" spans="1:3" ht="13.5">
      <c r="A22" s="3592" t="s">
        <v>962</v>
      </c>
      <c r="B22" s="3590" t="s">
        <v>963</v>
      </c>
      <c r="C22" s="3589"/>
    </row>
    <row r="23" spans="1:3" ht="13.5">
      <c r="A23" s="3592"/>
      <c r="B23" s="3590" t="s">
        <v>964</v>
      </c>
      <c r="C23" s="3589"/>
    </row>
    <row r="24" spans="1:3" ht="13.5">
      <c r="A24" s="3592"/>
      <c r="B24" s="3590" t="s">
        <v>965</v>
      </c>
      <c r="C24" s="3589"/>
    </row>
    <row r="25" spans="1:3" ht="13.5">
      <c r="A25" s="3592"/>
      <c r="B25" s="3591" t="s">
        <v>966</v>
      </c>
      <c r="C25" s="1524" t="s">
        <v>967</v>
      </c>
    </row>
    <row r="26" spans="1:3" ht="13.5">
      <c r="A26" s="3592"/>
      <c r="B26" s="3591"/>
      <c r="C26" s="1524" t="s">
        <v>968</v>
      </c>
    </row>
    <row r="27" spans="1:3" ht="13.5">
      <c r="A27" s="3592"/>
      <c r="B27" s="3591"/>
      <c r="C27" s="1524" t="s">
        <v>969</v>
      </c>
    </row>
    <row r="28" spans="1:3" ht="13.5">
      <c r="A28" s="3592"/>
      <c r="B28" s="3591"/>
      <c r="C28" s="1524" t="s">
        <v>970</v>
      </c>
    </row>
    <row r="29" spans="1:3" ht="13.5">
      <c r="A29" s="3592"/>
      <c r="B29" s="3591"/>
      <c r="C29" s="1524" t="s">
        <v>971</v>
      </c>
    </row>
    <row r="30" spans="1:3" ht="13.5">
      <c r="A30" s="3592"/>
      <c r="B30" s="3591"/>
      <c r="C30" s="1524" t="s">
        <v>972</v>
      </c>
    </row>
    <row r="31" spans="1:3" ht="13.5">
      <c r="A31" s="3592"/>
      <c r="B31" s="3591"/>
      <c r="C31" s="1524" t="s">
        <v>973</v>
      </c>
    </row>
    <row r="32" spans="1:3" ht="13.5">
      <c r="A32" s="3592"/>
      <c r="B32" s="3591"/>
      <c r="C32" s="1524" t="s">
        <v>974</v>
      </c>
    </row>
    <row r="33" spans="1:3" ht="13.5">
      <c r="A33" s="3592"/>
      <c r="B33" s="3591"/>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45404</v>
      </c>
      <c r="C2" s="2332" t="s">
        <v>2140</v>
      </c>
      <c r="D2" s="2332"/>
      <c r="E2" s="2332"/>
      <c r="F2" s="2328"/>
      <c r="G2" s="2328"/>
      <c r="H2" s="2328"/>
    </row>
    <row r="3" spans="1:8" ht="24" customHeight="1">
      <c r="A3" s="2333" t="s">
        <v>2141</v>
      </c>
      <c r="B3" s="2334" t="s">
        <v>2142</v>
      </c>
      <c r="C3" s="2334" t="s">
        <v>2143</v>
      </c>
      <c r="D3" s="2335" t="s">
        <v>2144</v>
      </c>
      <c r="E3" s="2336" t="s">
        <v>2145</v>
      </c>
      <c r="F3" s="1296" t="s">
        <v>2146</v>
      </c>
      <c r="G3" s="2334" t="s">
        <v>2143</v>
      </c>
      <c r="H3" s="2335" t="s">
        <v>2147</v>
      </c>
    </row>
    <row r="4" spans="1:8" ht="24" customHeight="1">
      <c r="A4" s="1296" t="s">
        <v>2148</v>
      </c>
      <c r="B4" s="1296">
        <f ca="1">IF(C4&lt;B2,"已过期",1119970066)</f>
        <v>1119970066</v>
      </c>
      <c r="C4" s="2337">
        <v>45937</v>
      </c>
      <c r="D4" s="2338" t="str">
        <f ca="1">A4&amp;"（注册号："&amp;B4&amp;"）"</f>
        <v>梁津（注册号：1119970066）</v>
      </c>
      <c r="E4" s="2339" t="s">
        <v>2148</v>
      </c>
      <c r="F4" s="1296">
        <f ca="1">IF(G4&lt;B2,"已过期",96010014)</f>
        <v>96010014</v>
      </c>
      <c r="G4" s="2340">
        <v>47118</v>
      </c>
      <c r="H4" s="2341" t="str">
        <f ca="1">E4&amp;"（注册号："&amp;F4&amp;"）"</f>
        <v>梁津（注册号：96010014）</v>
      </c>
    </row>
    <row r="5" spans="1:8" ht="24" customHeight="1">
      <c r="A5" s="1296" t="s">
        <v>2149</v>
      </c>
      <c r="B5" s="1296">
        <f ca="1">IF(C5&lt;B2,"已过期",1119970111)</f>
        <v>1119970111</v>
      </c>
      <c r="C5" s="2337">
        <v>45937</v>
      </c>
      <c r="D5" s="2338" t="str">
        <f t="shared" ref="D5:D15" ca="1" si="0">A5&amp;"（注册号："&amp;B5&amp;"）"</f>
        <v>叶凌（注册号：1119970111）</v>
      </c>
      <c r="E5" s="2339" t="s">
        <v>2149</v>
      </c>
      <c r="F5" s="1296">
        <f ca="1">IF(G5&lt;B2,"已过期",94010078)</f>
        <v>94010078</v>
      </c>
      <c r="G5" s="2340">
        <v>46387</v>
      </c>
      <c r="H5" s="2341" t="str">
        <f t="shared" ref="H5:H16" ca="1" si="1">E5&amp;"（注册号："&amp;F5&amp;"）"</f>
        <v>叶凌（注册号：94010078）</v>
      </c>
    </row>
    <row r="6" spans="1:8" ht="24" customHeight="1">
      <c r="A6" s="1296" t="s">
        <v>2150</v>
      </c>
      <c r="B6" s="1296">
        <f ca="1">IF(C6&lt;B2,"已过期",1120050019)</f>
        <v>1120050019</v>
      </c>
      <c r="C6" s="2337">
        <v>45410</v>
      </c>
      <c r="D6" s="2338" t="str">
        <f t="shared" ca="1" si="0"/>
        <v>王鹏（注册号：1120050019）</v>
      </c>
      <c r="E6" s="2339" t="s">
        <v>2150</v>
      </c>
      <c r="F6" s="1296">
        <f ca="1">IF(G6&lt;B2,"已过期",2002110030)</f>
        <v>2002110030</v>
      </c>
      <c r="G6" s="2340">
        <v>46387</v>
      </c>
      <c r="H6" s="2341" t="str">
        <f t="shared" ca="1" si="1"/>
        <v>王鹏（注册号：2002110030）</v>
      </c>
    </row>
    <row r="7" spans="1:8" ht="24" customHeight="1">
      <c r="A7" s="1296" t="s">
        <v>2151</v>
      </c>
      <c r="B7" s="1296">
        <f ca="1">IF(C7&lt;B2,"已过期",1120000080)</f>
        <v>1120000080</v>
      </c>
      <c r="C7" s="2337">
        <v>45937</v>
      </c>
      <c r="D7" s="2338" t="str">
        <f t="shared" ca="1" si="0"/>
        <v>欧红伟（注册号：1120000080）</v>
      </c>
      <c r="E7" s="2339" t="s">
        <v>2151</v>
      </c>
      <c r="F7" s="1296">
        <f ca="1">IF(G7&lt;B2,"已过期",2000110082)</f>
        <v>2000110082</v>
      </c>
      <c r="G7" s="2340">
        <v>46387</v>
      </c>
      <c r="H7" s="2341" t="str">
        <f t="shared" ca="1" si="1"/>
        <v>欧红伟（注册号：2000110082）</v>
      </c>
    </row>
    <row r="8" spans="1:8" ht="24" customHeight="1">
      <c r="A8" s="1296" t="s">
        <v>2152</v>
      </c>
      <c r="B8" s="1296">
        <f ca="1">IF(C8&lt;B2,"已过期",1419970001)</f>
        <v>1419970001</v>
      </c>
      <c r="C8" s="2337">
        <v>45937</v>
      </c>
      <c r="D8" s="2338" t="str">
        <f t="shared" ca="1" si="0"/>
        <v>吴薇（注册号：1419970001）</v>
      </c>
      <c r="E8" s="2339" t="s">
        <v>2152</v>
      </c>
      <c r="F8" s="1296">
        <f ca="1">IF(G8&lt;B2,"已过期",2002110125)</f>
        <v>2002110125</v>
      </c>
      <c r="G8" s="2340">
        <v>47118</v>
      </c>
      <c r="H8" s="2341" t="str">
        <f t="shared" ca="1" si="1"/>
        <v>吴薇（注册号：2002110125）</v>
      </c>
    </row>
    <row r="9" spans="1:8" ht="24" customHeight="1">
      <c r="A9" s="1296" t="s">
        <v>2153</v>
      </c>
      <c r="B9" s="1296">
        <f ca="1">IF(C9&lt;B2,"已过期",1120060040)</f>
        <v>1120060040</v>
      </c>
      <c r="C9" s="2342">
        <v>45592</v>
      </c>
      <c r="D9" s="2338" t="str">
        <f t="shared" ca="1" si="0"/>
        <v>陈颖（注册号：1120060040）</v>
      </c>
      <c r="E9" s="2339" t="s">
        <v>2153</v>
      </c>
      <c r="F9" s="1296">
        <f ca="1">IF(G9&lt;B2,"已过期",2004110096)</f>
        <v>2004110096</v>
      </c>
      <c r="G9" s="2340">
        <v>47118</v>
      </c>
      <c r="H9" s="2341" t="str">
        <f t="shared" ca="1" si="1"/>
        <v>陈颖（注册号：2004110096）</v>
      </c>
    </row>
    <row r="10" spans="1:8" ht="24" customHeight="1">
      <c r="A10" s="1296" t="s">
        <v>2154</v>
      </c>
      <c r="B10" s="1296">
        <f ca="1">IF(C10&lt;B2,"已过期",1120100036)</f>
        <v>1120100036</v>
      </c>
      <c r="C10" s="2342">
        <v>45752</v>
      </c>
      <c r="D10" s="2338" t="str">
        <f t="shared" ca="1" si="0"/>
        <v>崔锴（注册号：1120100036）</v>
      </c>
      <c r="E10" s="2339" t="s">
        <v>2154</v>
      </c>
      <c r="F10" s="1296">
        <f ca="1">IF(G10&lt;B2,"已过期",2010110070)</f>
        <v>2010110070</v>
      </c>
      <c r="G10" s="2340">
        <v>47907</v>
      </c>
      <c r="H10" s="2341" t="str">
        <f t="shared" ca="1" si="1"/>
        <v>崔锴（注册号：2010110070）</v>
      </c>
    </row>
    <row r="11" spans="1:8" ht="24" customHeight="1">
      <c r="A11" s="1296" t="s">
        <v>2155</v>
      </c>
      <c r="B11" s="1296">
        <f ca="1">IF(C11&lt;B2,"已过期",1120070131)</f>
        <v>1120070131</v>
      </c>
      <c r="C11" s="2337">
        <v>45937</v>
      </c>
      <c r="D11" s="2338" t="str">
        <f t="shared" ca="1" si="0"/>
        <v>郑燚（注册号：1120070131）</v>
      </c>
      <c r="E11" s="2339" t="s">
        <v>2155</v>
      </c>
      <c r="F11" s="1296">
        <f ca="1">IF(G11&lt;B2,"已过期",2014110011)</f>
        <v>2014110011</v>
      </c>
      <c r="G11" s="2340">
        <v>49302</v>
      </c>
      <c r="H11" s="2341" t="str">
        <f t="shared" ca="1" si="1"/>
        <v>郑燚（注册号：2014110011）</v>
      </c>
    </row>
    <row r="12" spans="1:8" ht="24" customHeight="1">
      <c r="A12" s="1296" t="s">
        <v>2156</v>
      </c>
      <c r="B12" s="1296">
        <f ca="1">IF(C12&lt;B2,"已过期",1120040230)</f>
        <v>1120040230</v>
      </c>
      <c r="C12" s="2342">
        <v>45937</v>
      </c>
      <c r="D12" s="2338" t="str">
        <f t="shared" ca="1" si="0"/>
        <v>苏海（注册号：1120040230）</v>
      </c>
      <c r="E12" s="2339" t="s">
        <v>2156</v>
      </c>
      <c r="F12" s="1296">
        <f ca="1">IF(G12&lt;B2,"已过期",98030020)</f>
        <v>98030020</v>
      </c>
      <c r="G12" s="2340">
        <v>47118</v>
      </c>
      <c r="H12" s="2341" t="str">
        <f t="shared" ca="1" si="1"/>
        <v>苏海（注册号：98030020）</v>
      </c>
    </row>
    <row r="13" spans="1:8" ht="24" customHeight="1">
      <c r="A13" s="1296" t="s">
        <v>2157</v>
      </c>
      <c r="B13" s="1296" t="str">
        <f ca="1">IF(C13&lt;B2,"已过期",1120020033)</f>
        <v>已过期</v>
      </c>
      <c r="C13" s="2337">
        <v>45375</v>
      </c>
      <c r="D13" s="2338" t="str">
        <f t="shared" ca="1" si="0"/>
        <v>刘敬东（注册号：已过期）</v>
      </c>
      <c r="E13" s="2339" t="s">
        <v>2157</v>
      </c>
      <c r="F13" s="1296">
        <f ca="1">IF(G13&lt;B2,"已过期",2000110137)</f>
        <v>2000110137</v>
      </c>
      <c r="G13" s="2340">
        <v>46387</v>
      </c>
      <c r="H13" s="2341" t="str">
        <f t="shared" ca="1" si="1"/>
        <v>刘敬东（注册号：2000110137）</v>
      </c>
    </row>
    <row r="14" spans="1:8" ht="24" customHeight="1">
      <c r="A14" s="1296" t="s">
        <v>2158</v>
      </c>
      <c r="B14" s="1296" t="str">
        <f ca="1">IF(C14&lt;B2,"已过期",1119980106)</f>
        <v>已过期</v>
      </c>
      <c r="C14" s="2342">
        <v>44969</v>
      </c>
      <c r="D14" s="2338" t="str">
        <f t="shared" ca="1" si="0"/>
        <v>刘俊财（注册号：已过期）</v>
      </c>
      <c r="E14" s="2339" t="s">
        <v>2158</v>
      </c>
      <c r="F14" s="1296">
        <f ca="1">IF(G14&lt;B2,"已过期",96010063)</f>
        <v>96010063</v>
      </c>
      <c r="G14" s="2340">
        <v>47483</v>
      </c>
      <c r="H14" s="2341" t="str">
        <f t="shared" ca="1" si="1"/>
        <v>刘俊财（注册号：96010063）</v>
      </c>
    </row>
    <row r="15" spans="1:8" ht="24" customHeight="1">
      <c r="A15" s="1296" t="s">
        <v>2441</v>
      </c>
      <c r="B15" s="1296">
        <v>1120210056</v>
      </c>
      <c r="C15" s="2342">
        <v>45410</v>
      </c>
      <c r="D15" s="2338" t="str">
        <f t="shared" si="0"/>
        <v>宁小鳗（注册号：1120210056）</v>
      </c>
      <c r="E15" s="2339" t="s">
        <v>2159</v>
      </c>
      <c r="F15" s="1296">
        <f ca="1">IF(G15&lt;B2,"已过期",2011110090)</f>
        <v>2011110090</v>
      </c>
      <c r="G15" s="2340">
        <v>48302</v>
      </c>
      <c r="H15" s="2341" t="str">
        <f t="shared" ca="1" si="1"/>
        <v>赵雯（注册号：2011110090）</v>
      </c>
    </row>
    <row r="16" spans="1:8" s="2344" customFormat="1" ht="24" customHeight="1">
      <c r="A16" s="1296"/>
      <c r="B16" s="1296"/>
      <c r="C16" s="1296"/>
      <c r="D16" s="2338" t="str">
        <f>A16&amp;"（注册号："&amp;B16&amp;"）"</f>
        <v>（注册号：）</v>
      </c>
      <c r="E16" s="2339"/>
      <c r="F16" s="1296"/>
      <c r="G16" s="1296"/>
      <c r="H16" s="2343" t="str">
        <f t="shared" si="1"/>
        <v>（注册号：）</v>
      </c>
    </row>
    <row r="17" spans="1:8" ht="24" customHeight="1">
      <c r="A17" s="3596" t="s">
        <v>2160</v>
      </c>
      <c r="B17" s="3596"/>
      <c r="C17" s="3596"/>
      <c r="D17" s="3596"/>
      <c r="E17" s="3596"/>
      <c r="F17" s="3596"/>
      <c r="G17" s="3596"/>
      <c r="H17" s="3596"/>
    </row>
    <row r="18" spans="1:8" ht="24" customHeight="1">
      <c r="A18" s="3597" t="s">
        <v>2161</v>
      </c>
      <c r="B18" s="3597"/>
      <c r="C18" s="3597"/>
      <c r="D18" s="2335"/>
      <c r="E18" s="3598" t="s">
        <v>2162</v>
      </c>
      <c r="F18" s="3597"/>
      <c r="G18" s="3597"/>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2442</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租赁</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Sheet1</vt:lpstr>
      <vt:lpstr>大宗案例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结果表下</vt:lpstr>
      <vt:lpstr>基准地价修正</vt:lpstr>
      <vt:lpstr>修正</vt:lpstr>
      <vt:lpstr>容积率修正</vt:lpstr>
      <vt:lpstr>成本法（废）</vt:lpstr>
      <vt:lpstr>成本法</vt:lpstr>
      <vt:lpstr>收益法下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结果表下!Print_Area</vt:lpstr>
      <vt:lpstr>收益法!Print_Area</vt:lpstr>
      <vt:lpstr>'收益法 (元)'!Print_Area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2024-04-22T07:59:18Z</dcterms:modified>
</cp:coreProperties>
</file>