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98C414EA-5C61-4C34-ACF8-DCDDF63DC68C}" xr6:coauthVersionLast="47" xr6:coauthVersionMax="47" xr10:uidLastSave="{00000000-0000-0000-0000-000000000000}"/>
  <bookViews>
    <workbookView xWindow="-108" yWindow="-108" windowWidth="23256" windowHeight="1257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92" i="82" l="1"/>
  <c r="B14" i="74"/>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C33" i="82"/>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I10" i="33"/>
  <c r="G10" i="33"/>
  <c r="E10" i="33"/>
  <c r="C10" i="33"/>
  <c r="C33" i="33"/>
  <c r="I7" i="33"/>
  <c r="G7" i="33"/>
  <c r="E7" i="33"/>
  <c r="F19" i="6"/>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2" i="82" l="1"/>
  <c r="B3" i="82"/>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R5" i="3" s="1"/>
  <c r="BT13" i="3"/>
  <c r="BT14" i="3"/>
  <c r="BT15" i="3"/>
  <c r="BT16" i="3"/>
  <c r="BT5" i="3" s="1"/>
  <c r="BT17" i="3"/>
  <c r="BM14" i="3"/>
  <c r="BM15" i="3"/>
  <c r="BM16" i="3"/>
  <c r="BM17" i="3"/>
  <c r="BO13" i="3"/>
  <c r="BO14" i="3"/>
  <c r="BO15" i="3"/>
  <c r="BO5" i="3" s="1"/>
  <c r="BO16" i="3"/>
  <c r="BO17" i="3"/>
  <c r="BN13" i="3"/>
  <c r="BN14" i="3"/>
  <c r="BN15" i="3"/>
  <c r="BN16" i="3"/>
  <c r="BN17" i="3"/>
  <c r="BN5"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G5" i="3" s="1"/>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F9" i="67"/>
  <c r="E7" i="76"/>
  <c r="F42" i="67"/>
  <c r="M6" i="67"/>
  <c r="E11" i="76"/>
  <c r="F37" i="15"/>
  <c r="F4" i="73"/>
  <c r="M23" i="67"/>
  <c r="M26" i="67"/>
  <c r="F7" i="67"/>
  <c r="F40" i="67"/>
  <c r="M24" i="67"/>
  <c r="E8" i="76"/>
  <c r="B12" i="76"/>
  <c r="M9" i="67"/>
  <c r="AO13" i="1"/>
  <c r="B10" i="76"/>
  <c r="F26" i="67"/>
  <c r="B8" i="76"/>
  <c r="F16" i="67"/>
  <c r="F7" i="15"/>
  <c r="D6" i="73"/>
  <c r="E2" i="68"/>
  <c r="F5" i="73"/>
  <c r="L48" i="67"/>
  <c r="F3" i="73"/>
  <c r="L47" i="67"/>
  <c r="J15" i="67"/>
  <c r="B13" i="76"/>
  <c r="F8" i="67"/>
  <c r="E9" i="76"/>
  <c r="B9" i="76"/>
  <c r="E13" i="76"/>
  <c r="M8" i="67"/>
  <c r="M28" i="15"/>
  <c r="F13" i="67"/>
  <c r="F37" i="67"/>
  <c r="F6" i="73"/>
  <c r="F7" i="73"/>
  <c r="F6" i="67"/>
  <c r="E10" i="76"/>
  <c r="F16" i="15"/>
  <c r="M28" i="67"/>
  <c r="C76" i="67"/>
  <c r="M22" i="67"/>
  <c r="E2" i="69"/>
  <c r="F36" i="67"/>
  <c r="M29" i="67"/>
  <c r="B7" i="76"/>
  <c r="B11" i="76"/>
  <c r="F38" i="67"/>
  <c r="E12" i="76"/>
  <c r="F43" i="67"/>
  <c r="U37" i="33" l="1"/>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U15"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F40" i="15"/>
  <c r="F36" i="15"/>
  <c r="M9" i="15"/>
  <c r="D7" i="73"/>
  <c r="D3" i="73"/>
  <c r="M8" i="15"/>
  <c r="D5" i="73"/>
  <c r="F43" i="15"/>
  <c r="L47" i="15"/>
  <c r="F26" i="15"/>
  <c r="L48" i="15"/>
  <c r="C16" i="67"/>
  <c r="C16" i="15"/>
  <c r="C76" i="15"/>
  <c r="F42" i="15"/>
  <c r="F13" i="15"/>
  <c r="M23" i="15"/>
  <c r="F6" i="15"/>
  <c r="J15" i="15"/>
  <c r="F38" i="15"/>
  <c r="D4" i="73"/>
  <c r="M22" i="15"/>
  <c r="M6" i="15"/>
  <c r="F9" i="15"/>
  <c r="M24" i="15"/>
  <c r="M26" i="15"/>
  <c r="F8" i="15"/>
  <c r="M29" i="15"/>
  <c r="W27" i="33" l="1"/>
  <c r="S14" i="33"/>
  <c r="AA14" i="33"/>
  <c r="AC14" i="33"/>
  <c r="W14" i="33"/>
  <c r="AC9" i="33"/>
  <c r="W9" i="33"/>
  <c r="U27" i="33"/>
  <c r="W25" i="33"/>
  <c r="AA25" i="33"/>
  <c r="S25" i="33"/>
  <c r="AA15" i="33"/>
  <c r="S15" i="33"/>
  <c r="K16" i="1"/>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336" i="3"/>
  <c r="E111" i="3"/>
  <c r="E162" i="3"/>
  <c r="E538" i="3"/>
  <c r="E586" i="3"/>
  <c r="E347" i="3"/>
  <c r="E204" i="3"/>
  <c r="E485" i="3"/>
  <c r="E572"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AE6" i="1"/>
  <c r="Q60" i="15" l="1"/>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F41" i="67"/>
  <c r="M27" i="67"/>
  <c r="F69" i="67" l="1"/>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11" l="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L51" i="15"/>
  <c r="D2" i="34"/>
  <c r="D2" i="35"/>
  <c r="D19" i="9"/>
  <c r="D2" i="37"/>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11" i="1"/>
  <c r="AO9" i="1"/>
  <c r="AO12" i="1"/>
  <c r="D35" i="9"/>
  <c r="AO8" i="1"/>
  <c r="AO10" i="1"/>
  <c r="AO6" i="1"/>
  <c r="AO7" i="1"/>
  <c r="C20" i="9"/>
  <c r="D20" i="9"/>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<sst xmlns="http://schemas.openxmlformats.org/spreadsheetml/2006/main" count="8347" uniqueCount="3492">
  <si>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</si>
  <si>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</si>
  <si>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</si>
  <si>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</si>
  <si>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</si>
  <si>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</si>
  <si>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</si>
  <si>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</si>
  <si>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</si>
  <si>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</si>
  <si>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</si>
  <si>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</si>
  <si>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</si>
  <si>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</si>
  <si>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</si>
  <si>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</si>
  <si>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</si>
  <si>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</si>
  <si>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</si>
  <si>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</si>
  <si>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</si>
  <si>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</si>
  <si>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</si>
  <si>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</si>
  <si>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</si>
  <si>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</si>
  <si>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</si>
  <si>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</si>
  <si>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</si>
  <si>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</si>
  <si>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</si>
  <si>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</si>
  <si>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</si>
  <si>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</si>
  <si>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</si>
  <si>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</si>
  <si>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</si>
  <si>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</si>
  <si>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</si>
  <si>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</si>
  <si>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</si>
  <si>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</si>
  <si>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</si>
  <si>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</si>
  <si>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</si>
  <si>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</si>
  <si>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</si>
  <si>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</si>
  <si>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</si>
  <si>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</si>
  <si>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</si>
  <si>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</si>
  <si>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</si>
  <si>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</si>
  <si>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</si>
  <si>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</si>
  <si>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</si>
  <si>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</si>
  <si>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</si>
  <si>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</si>
  <si>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</si>
  <si>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</si>
  <si>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</si>
  <si>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</si>
  <si>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</si>
  <si>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</si>
  <si>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</si>
  <si>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</si>
  <si>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</si>
  <si>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</si>
  <si>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</si>
  <si>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</si>
  <si>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</si>
  <si>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</si>
  <si>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</si>
  <si>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</si>
  <si>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</si>
  <si>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</si>
  <si>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</si>
  <si>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</si>
  <si>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</si>
  <si>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</si>
  <si>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</si>
  <si>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</si>
  <si>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</si>
  <si>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</si>
  <si>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</si>
  <si>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</si>
  <si>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</si>
  <si>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</si>
  <si>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</si>
  <si>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</si>
  <si>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</si>
  <si>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</si>
  <si>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</si>
  <si>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</si>
  <si>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</si>
  <si>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</si>
  <si>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</si>
  <si>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</si>
  <si>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</si>
  <si>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</si>
  <si>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</si>
  <si>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</si>
  <si>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</si>
  <si>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</si>
  <si>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</si>
  <si>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</si>
  <si>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</si>
  <si>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</si>
  <si>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</si>
  <si>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</si>
  <si>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</si>
  <si>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</si>
  <si>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</si>
  <si>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</si>
  <si>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</si>
  <si>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</si>
  <si>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</si>
  <si>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</si>
  <si>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</si>
  <si>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</si>
  <si>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</si>
  <si>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</si>
  <si>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</si>
  <si>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</si>
  <si>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</si>
  <si>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</si>
  <si>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</si>
  <si>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</si>
  <si>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</si>
  <si>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</si>
  <si>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</si>
  <si>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</si>
  <si>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</si>
  <si>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</si>
  <si>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</si>
  <si>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</si>
  <si>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</si>
  <si>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</si>
  <si>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</si>
  <si>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</si>
  <si>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</si>
  <si>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</si>
  <si>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</si>
  <si>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</si>
  <si>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</si>
  <si>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</si>
  <si>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</si>
  <si>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</si>
  <si>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</si>
  <si>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</si>
  <si>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</si>
  <si>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</si>
  <si>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</si>
  <si>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</si>
  <si>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</si>
  <si>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</si>
  <si>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</si>
  <si>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</si>
  <si>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</si>
  <si>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</si>
  <si>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</si>
  <si>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</si>
  <si>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</si>
  <si>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</si>
  <si>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</si>
  <si>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</si>
  <si>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</si>
  <si>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</si>
  <si>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</si>
  <si>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</si>
  <si>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</si>
  <si>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</si>
  <si>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</si>
  <si>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</si>
  <si>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</si>
  <si>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</si>
  <si>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</si>
  <si>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</si>
  <si>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</si>
  <si>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</si>
  <si>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</si>
  <si>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</si>
  <si>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</si>
  <si>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</si>
  <si>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</si>
  <si>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</si>
  <si>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</si>
  <si>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</si>
  <si>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</si>
  <si>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</si>
  <si>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</si>
  <si>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</si>
  <si>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</si>
  <si>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</si>
  <si>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</si>
  <si>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</si>
  <si>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</si>
  <si>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</si>
  <si>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</si>
  <si>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</si>
  <si>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</si>
  <si>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</si>
  <si>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</si>
  <si>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</si>
  <si>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</si>
  <si>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</si>
  <si>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</si>
  <si>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</si>
  <si>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</si>
  <si>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</si>
  <si>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</si>
  <si>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</si>
  <si>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</si>
  <si>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</si>
  <si>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</si>
  <si>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</si>
  <si>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</si>
  <si>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</si>
  <si>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</si>
  <si>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</si>
  <si>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</si>
  <si>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</si>
  <si>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</si>
  <si>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</si>
  <si>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</si>
  <si>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</si>
  <si>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</si>
  <si>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</si>
  <si>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</si>
  <si>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</si>
  <si>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</si>
  <si>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</si>
  <si>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</si>
  <si>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</si>
  <si>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</si>
  <si>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</si>
  <si>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</si>
  <si>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</si>
  <si>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</si>
  <si>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</si>
  <si>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</si>
  <si>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</si>
  <si>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</si>
  <si>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</si>
  <si>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</si>
  <si>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</si>
  <si>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</si>
  <si>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</si>
  <si>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</si>
  <si>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</si>
  <si>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</si>
  <si>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</si>
  <si>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</si>
  <si>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</si>
  <si>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</si>
  <si>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</si>
  <si>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</si>
  <si>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</si>
  <si>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</si>
  <si>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</si>
  <si>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</si>
  <si>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</si>
  <si>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</si>
  <si>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</si>
  <si>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</si>
  <si>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</si>
  <si>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</si>
  <si>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</si>
  <si>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</si>
  <si>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</si>
  <si>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</si>
  <si>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</si>
  <si>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</si>
  <si>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</si>
  <si>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</si>
  <si>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</si>
  <si>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</si>
  <si>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</si>
  <si>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</si>
  <si>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</si>
  <si>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</si>
  <si>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</si>
  <si>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</si>
  <si>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</si>
  <si>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</si>
  <si>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</si>
  <si>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</si>
  <si>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</si>
  <si>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</si>
  <si>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</si>
  <si>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</si>
  <si>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</si>
  <si>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</si>
  <si>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</si>
  <si>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</si>
  <si>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</si>
  <si>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</si>
  <si>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</si>
  <si>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</si>
  <si>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</si>
  <si>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</si>
  <si>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</si>
  <si>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</si>
  <si>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</si>
  <si>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</si>
  <si>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</si>
  <si>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</si>
  <si>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</si>
  <si>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</si>
  <si>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</si>
  <si>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</si>
  <si>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</si>
  <si>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</si>
  <si>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</si>
  <si>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</si>
  <si>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</si>
  <si>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</si>
  <si>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</si>
  <si>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</si>
  <si>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</si>
  <si>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</si>
  <si>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</si>
  <si>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</si>
  <si>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</si>
  <si>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</si>
  <si>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</si>
  <si>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</si>
  <si>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</si>
  <si>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</si>
  <si>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</si>
  <si>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</si>
  <si>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</si>
  <si>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</si>
  <si>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</si>
  <si>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</si>
  <si>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</si>
  <si>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</si>
  <si>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</si>
  <si>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</si>
  <si>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</si>
  <si>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</si>
  <si>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</si>
  <si>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</si>
  <si>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</si>
  <si>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</si>
  <si>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</si>
  <si>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</si>
  <si>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</si>
  <si>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</si>
  <si>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</si>
  <si>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</si>
  <si>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</si>
  <si>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</si>
  <si>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</si>
  <si>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</si>
  <si>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</si>
  <si>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</si>
  <si>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</si>
  <si>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</si>
  <si>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</si>
  <si>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</si>
  <si>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</si>
  <si>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</si>
  <si>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</si>
  <si>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</si>
  <si>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</si>
  <si>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</si>
  <si>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</si>
  <si>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</si>
  <si>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</si>
  <si>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</si>
  <si>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</si>
  <si>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</si>
  <si>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</si>
  <si>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</si>
  <si>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</si>
  <si>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</si>
  <si>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</si>
  <si>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</si>
  <si>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</si>
  <si>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</si>
  <si>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</si>
  <si>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</si>
  <si>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</si>
  <si>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</si>
  <si>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</si>
  <si>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</si>
  <si>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</si>
  <si>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</si>
  <si>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</si>
  <si>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</si>
  <si>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</si>
  <si>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</si>
  <si>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</si>
  <si>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</si>
  <si>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</si>
  <si>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</si>
  <si>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</si>
  <si>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</si>
  <si>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</si>
  <si>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</si>
  <si>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</si>
  <si>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</si>
  <si>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</si>
  <si>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</si>
  <si>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</si>
  <si>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</si>
  <si>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</si>
  <si>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</si>
  <si>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</si>
  <si>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</si>
  <si>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</si>
  <si>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</si>
  <si>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</si>
  <si>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</si>
  <si>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</si>
  <si>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</si>
  <si>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</si>
  <si>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</si>
  <si>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</si>
  <si>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</si>
  <si>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</si>
  <si>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</si>
  <si>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</si>
  <si>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</si>
  <si>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</si>
  <si>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</si>
  <si>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</si>
  <si>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</si>
  <si>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</si>
  <si>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</si>
  <si>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</si>
  <si>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</si>
  <si>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</si>
  <si>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</si>
  <si>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</si>
  <si>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</si>
  <si>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</si>
  <si>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</si>
  <si>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</si>
  <si>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</si>
  <si>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</si>
  <si>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</si>
  <si>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</si>
  <si>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</si>
  <si>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</si>
  <si>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</si>
  <si>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</si>
  <si>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</si>
  <si>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</si>
  <si>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</si>
  <si>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</si>
  <si>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</si>
  <si>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</si>
  <si>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</si>
  <si>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</si>
  <si>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</si>
  <si>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</si>
  <si>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</si>
  <si>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</si>
  <si>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</si>
  <si>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</si>
  <si>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</si>
  <si>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</si>
  <si>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</si>
  <si>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</si>
  <si>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</si>
  <si>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</si>
  <si>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</si>
  <si>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</si>
  <si>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</si>
  <si>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</si>
  <si>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</si>
  <si>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</si>
  <si>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</si>
  <si>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</si>
  <si>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</si>
  <si>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</si>
  <si>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</si>
  <si>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</si>
  <si>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</si>
  <si>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</si>
  <si>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</si>
  <si>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</si>
  <si>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</si>
  <si>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</si>
  <si>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</si>
  <si>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</si>
  <si>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</si>
  <si>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</si>
  <si>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</si>
  <si>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</si>
  <si>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</si>
  <si>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</si>
  <si>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</si>
  <si>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</si>
  <si>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</si>
  <si>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</si>
  <si>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</si>
  <si>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</si>
  <si>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</si>
  <si>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</si>
  <si>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</si>
  <si>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</si>
  <si>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</si>
  <si>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</si>
  <si>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</si>
  <si>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</si>
  <si>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</si>
  <si>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</si>
  <si>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</si>
  <si>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</si>
  <si>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</si>
  <si>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</si>
  <si>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</si>
  <si>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</si>
  <si>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</si>
  <si>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</si>
  <si>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</si>
  <si>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</si>
  <si>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</si>
  <si>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</si>
  <si>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</si>
  <si>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</si>
  <si>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</si>
  <si>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</si>
  <si>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</si>
  <si>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</si>
  <si>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</si>
  <si>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</si>
  <si>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</si>
  <si>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</si>
  <si>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</si>
  <si>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</si>
  <si>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</si>
  <si>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</si>
  <si>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</si>
  <si>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</si>
  <si>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</si>
  <si>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</si>
  <si>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</si>
  <si>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</si>
  <si>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</si>
  <si>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</si>
  <si>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</si>
  <si>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</si>
  <si>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</si>
  <si>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</si>
  <si>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</si>
  <si>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</si>
  <si>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</si>
  <si>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</si>
  <si>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</si>
  <si>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</si>
  <si>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</si>
  <si>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</si>
  <si>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</si>
  <si>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</si>
  <si>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</si>
  <si>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</si>
  <si>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</si>
  <si>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</si>
  <si>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</si>
  <si>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</si>
  <si>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</si>
  <si>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</si>
  <si>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</si>
  <si>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</si>
  <si>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</si>
  <si>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</si>
  <si>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</si>
  <si>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</si>
  <si>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</si>
  <si>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</si>
  <si>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</si>
  <si>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</si>
  <si>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</si>
  <si>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</si>
  <si>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</si>
  <si>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</si>
  <si>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</si>
  <si>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</si>
  <si>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</si>
  <si>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</si>
  <si>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</si>
  <si>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</si>
  <si>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</si>
  <si>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</si>
  <si>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</si>
  <si>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</si>
  <si>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</si>
  <si>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</si>
  <si>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</si>
  <si>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</si>
  <si>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</si>
  <si>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</si>
  <si>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</si>
  <si>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</si>
  <si>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</si>
  <si>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</si>
  <si>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</si>
  <si>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</si>
  <si>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</si>
  <si>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</si>
  <si>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</si>
  <si>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</si>
  <si>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</si>
  <si>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</si>
  <si>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</si>
  <si>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</si>
  <si>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</si>
  <si>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</si>
  <si>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</si>
  <si>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</si>
  <si>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</si>
  <si>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</si>
  <si>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</si>
  <si>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</si>
  <si>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</si>
  <si>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</si>
  <si>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</si>
  <si>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</si>
  <si>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</si>
  <si>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</si>
  <si>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</si>
  <si>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</si>
  <si>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</si>
  <si>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</si>
  <si>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</si>
  <si>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</si>
  <si>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</si>
  <si>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</si>
  <si>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</si>
  <si>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</si>
  <si>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</si>
  <si>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</si>
  <si>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</si>
  <si>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</si>
  <si>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</si>
  <si>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</si>
  <si>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</si>
  <si>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</si>
  <si>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</si>
  <si>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</si>
  <si>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</si>
  <si>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</si>
  <si>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</si>
  <si>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</si>
  <si>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</si>
  <si>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</si>
  <si>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</si>
  <si>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</si>
  <si>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</si>
  <si>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</si>
  <si>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</si>
  <si>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</si>
  <si>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</si>
  <si>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</si>
  <si>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</si>
  <si>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</si>
  <si>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</si>
  <si>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</si>
  <si>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</si>
  <si>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</si>
  <si>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</si>
  <si>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</si>
  <si>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</si>
  <si>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</si>
  <si>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</si>
  <si>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</si>
  <si>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</si>
  <si>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</si>
  <si>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</si>
  <si>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</si>
  <si>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</si>
  <si>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</si>
  <si>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</si>
  <si>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</si>
  <si>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</si>
  <si>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</si>
  <si>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</si>
  <si>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</si>
  <si>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</si>
  <si>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</si>
  <si>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</si>
  <si>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</si>
  <si>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</si>
  <si>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</si>
  <si>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</si>
  <si>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</si>
  <si>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</si>
  <si>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</si>
  <si>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</si>
  <si>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</si>
  <si>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</si>
  <si>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</si>
  <si>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</si>
  <si>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</si>
  <si>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</si>
  <si>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</si>
  <si>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</si>
  <si>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</si>
  <si>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</si>
  <si>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</si>
  <si>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</si>
  <si>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</si>
  <si>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</si>
  <si>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</si>
  <si>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</si>
  <si>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</si>
  <si>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</si>
  <si>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</si>
  <si>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</si>
  <si>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</si>
  <si>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</si>
  <si>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</si>
  <si>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</si>
  <si>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</si>
  <si>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</si>
  <si>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</si>
  <si>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</si>
  <si>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</si>
  <si>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</si>
  <si>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</si>
  <si>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</si>
  <si>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</si>
  <si>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</si>
  <si>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</si>
  <si>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</si>
  <si>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</si>
  <si>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</si>
  <si>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</si>
  <si>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</si>
  <si>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</si>
  <si>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</si>
  <si>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</si>
  <si>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</si>
  <si>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</si>
  <si>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</si>
  <si>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</si>
  <si>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</si>
  <si>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</si>
  <si>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</si>
  <si>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</si>
  <si>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</si>
  <si>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</si>
  <si>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</si>
  <si>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</si>
  <si>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</si>
  <si>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</si>
  <si>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</si>
  <si>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</si>
  <si>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</si>
  <si>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</si>
  <si>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</si>
  <si>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</si>
  <si>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</si>
  <si>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</si>
  <si>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</si>
  <si>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</si>
  <si>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</si>
  <si>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</si>
  <si>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</si>
  <si>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</si>
  <si>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</si>
  <si>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</si>
  <si>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</si>
  <si>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</si>
  <si>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</si>
  <si>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</si>
  <si>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</si>
  <si>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</si>
  <si>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</si>
  <si>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</si>
  <si>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</si>
  <si>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</si>
  <si>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</si>
  <si>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</si>
  <si>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</si>
  <si>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</si>
  <si>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</si>
  <si>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</si>
  <si>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</si>
  <si>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</si>
  <si>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</si>
  <si>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</si>
  <si>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</si>
  <si>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</si>
  <si>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</si>
  <si>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</si>
  <si>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</si>
  <si>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</si>
  <si>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</si>
  <si>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</si>
  <si>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</si>
  <si>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</si>
  <si>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</si>
  <si>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</si>
  <si>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</si>
  <si>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</si>
  <si>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</si>
  <si>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</si>
  <si>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</si>
  <si>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</si>
  <si>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</si>
  <si>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</si>
  <si>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</si>
  <si>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</si>
  <si>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</si>
  <si>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</si>
  <si>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</si>
  <si>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</si>
  <si>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</si>
  <si>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</si>
  <si>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</si>
  <si>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</si>
  <si>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</si>
  <si>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</si>
  <si>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</si>
  <si>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</si>
  <si>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</si>
  <si>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</si>
  <si>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</si>
  <si>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</si>
  <si>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</si>
  <si>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</si>
  <si>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</si>
  <si>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</si>
  <si>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</si>
  <si>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</si>
  <si>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</si>
  <si>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</si>
  <si>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</si>
  <si>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</si>
  <si>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</si>
  <si>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</si>
  <si>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</si>
  <si>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</si>
  <si>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</si>
  <si>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</si>
  <si>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</si>
  <si>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</si>
  <si>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</si>
  <si>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</si>
  <si>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</si>
  <si>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</si>
  <si>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</si>
  <si>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</si>
  <si>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</si>
  <si>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</si>
  <si>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</si>
  <si>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</si>
  <si>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</si>
  <si>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</si>
  <si>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</si>
  <si>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</si>
  <si>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</si>
  <si>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</si>
  <si>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</si>
  <si>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</si>
  <si>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</si>
  <si>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</si>
  <si>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</si>
  <si>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</si>
  <si>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</si>
  <si>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</si>
  <si>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</si>
  <si>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</si>
  <si>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</si>
  <si>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</si>
  <si>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</si>
  <si>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</si>
  <si>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</si>
  <si>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</si>
  <si>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</si>
  <si>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</si>
  <si>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</si>
  <si>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</si>
  <si>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</si>
  <si>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</si>
  <si>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</si>
  <si>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</si>
  <si>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</si>
  <si>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</si>
  <si>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</si>
  <si>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</si>
  <si>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</si>
  <si>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</si>
  <si>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</si>
  <si>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</si>
  <si>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</si>
  <si>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</si>
  <si>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</si>
  <si>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</si>
  <si>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</si>
  <si>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</si>
  <si>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</si>
  <si>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</si>
  <si>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</si>
  <si>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</si>
  <si>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</si>
  <si>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</si>
  <si>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</si>
  <si>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</si>
  <si>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</si>
  <si>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</si>
  <si>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</si>
  <si>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</si>
  <si>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</si>
  <si>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</si>
  <si>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</si>
  <si>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</si>
  <si>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</si>
  <si>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</si>
  <si>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</si>
  <si>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</si>
  <si>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</si>
  <si>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</si>
  <si>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</si>
  <si>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</si>
  <si>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</si>
  <si>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</si>
  <si>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</si>
  <si>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</si>
  <si>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</si>
  <si>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</si>
  <si>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</si>
  <si>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</si>
  <si>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</si>
  <si>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</si>
  <si>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</si>
  <si>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</si>
  <si>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</si>
  <si>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</si>
  <si>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</si>
  <si>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</si>
  <si>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</si>
  <si>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</si>
  <si>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</si>
  <si>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</si>
  <si>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</si>
  <si>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</si>
  <si>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</si>
  <si>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</si>
  <si>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</si>
  <si>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</si>
  <si>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</si>
  <si>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</si>
  <si>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</si>
  <si>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</si>
  <si>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</si>
  <si>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</si>
  <si>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</si>
  <si>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</si>
  <si>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</si>
  <si>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</si>
  <si>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</si>
  <si>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</si>
  <si>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</si>
  <si>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</si>
  <si>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</si>
  <si>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</si>
  <si>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</si>
  <si>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</si>
  <si>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</si>
  <si>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</si>
  <si>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</si>
  <si>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</si>
  <si>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</si>
  <si>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</si>
  <si>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</si>
  <si>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</si>
  <si>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</si>
  <si>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</si>
  <si>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</si>
  <si>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</si>
  <si>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</si>
  <si>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</si>
  <si>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</si>
  <si>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</si>
  <si>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</si>
  <si>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</si>
  <si>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</si>
  <si>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</si>
  <si>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</si>
  <si>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</si>
  <si>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</si>
  <si>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</si>
  <si>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</si>
  <si>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</si>
  <si>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</si>
  <si>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</si>
  <si>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</si>
  <si>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</si>
  <si>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</si>
  <si>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</si>
  <si>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</si>
  <si>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</si>
  <si>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</si>
  <si>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</si>
  <si>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</si>
  <si>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</si>
  <si>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</si>
  <si>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</si>
  <si>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</si>
  <si>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</si>
  <si>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</si>
  <si>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</si>
  <si>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</si>
  <si>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</si>
  <si>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</si>
  <si>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</si>
  <si>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</si>
  <si>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</si>
  <si>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</si>
  <si>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</si>
  <si>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</si>
  <si>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</si>
  <si>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</si>
  <si>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</si>
  <si>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</si>
  <si>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</si>
  <si>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</si>
  <si>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</si>
  <si>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</si>
  <si>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</si>
  <si>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</si>
  <si>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</si>
  <si>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</si>
  <si>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</si>
  <si>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</si>
  <si>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</si>
  <si>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</si>
  <si>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</si>
  <si>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</si>
  <si>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</si>
  <si>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</si>
  <si>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</si>
  <si>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</si>
  <si>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</si>
  <si>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</si>
  <si>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</si>
  <si>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</si>
  <si>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</si>
  <si>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</si>
  <si>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</si>
  <si>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</si>
  <si>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</si>
  <si>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</si>
  <si>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</si>
  <si>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</si>
  <si>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</si>
  <si>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</si>
  <si>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</si>
  <si>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</si>
  <si>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</si>
  <si>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</si>
  <si>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</si>
  <si>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</si>
  <si>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</si>
  <si>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</si>
  <si>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</si>
  <si>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</si>
  <si>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</si>
  <si>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</si>
  <si>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</si>
  <si>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</si>
  <si>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</si>
  <si>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</si>
  <si>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</si>
  <si>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</si>
  <si>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</si>
  <si>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</si>
  <si>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</si>
  <si>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</si>
  <si>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</si>
  <si>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</si>
  <si>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</si>
  <si>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</si>
  <si>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</si>
  <si>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</si>
  <si>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</si>
  <si>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</si>
  <si>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</si>
  <si>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</si>
  <si>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</si>
  <si>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</si>
  <si>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</si>
  <si>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</si>
  <si>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</si>
  <si>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</si>
  <si>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</si>
  <si>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</si>
  <si>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</si>
  <si>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</si>
  <si>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</si>
  <si>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</si>
  <si>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</si>
  <si>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</si>
  <si>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</si>
  <si>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</si>
  <si>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</si>
  <si>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</si>
  <si>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</si>
  <si>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</si>
  <si>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</si>
  <si>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</si>
  <si>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</si>
  <si>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</si>
  <si>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</si>
  <si>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</si>
  <si>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</si>
  <si>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</si>
  <si>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</si>
  <si>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</si>
  <si>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</si>
  <si>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</si>
  <si>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</si>
  <si>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</si>
  <si>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</si>
  <si>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</si>
  <si>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</si>
  <si>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</si>
  <si>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</si>
  <si>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</si>
  <si>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</si>
  <si>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</si>
  <si>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</si>
  <si>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</si>
  <si>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</si>
  <si>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</si>
  <si>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</si>
  <si>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</si>
  <si>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</si>
  <si>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</si>
  <si>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</si>
  <si>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</si>
  <si>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</si>
  <si>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</si>
  <si>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</si>
  <si>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</si>
  <si>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</si>
  <si>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</si>
  <si>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</si>
  <si>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</si>
  <si>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</si>
  <si>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</si>
  <si>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</si>
  <si>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</si>
  <si>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</si>
  <si>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</si>
  <si>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</si>
  <si>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</si>
  <si>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</si>
  <si>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</si>
  <si>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</si>
  <si>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</si>
  <si>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</si>
  <si>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</si>
  <si>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</si>
  <si>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</si>
  <si>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</si>
  <si>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</si>
  <si>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</si>
  <si>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</si>
  <si>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</si>
  <si>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</si>
  <si>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</si>
  <si>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</si>
  <si>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</si>
  <si>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</si>
  <si>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</si>
  <si>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</si>
  <si>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</si>
  <si>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</si>
  <si>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</si>
  <si>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</si>
  <si>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</si>
  <si>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</si>
  <si>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</si>
  <si>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</si>
  <si>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</si>
  <si>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</si>
  <si>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</si>
  <si>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</si>
  <si>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</si>
  <si>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</si>
  <si>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</si>
  <si>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</si>
  <si>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</si>
  <si>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</si>
  <si>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</si>
  <si>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</si>
  <si>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</si>
  <si>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</si>
  <si>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</si>
  <si>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</si>
  <si>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</si>
  <si>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</si>
  <si>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</si>
  <si>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</si>
  <si>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</si>
  <si>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</si>
  <si>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</si>
  <si>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</si>
  <si>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</si>
  <si>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</si>
  <si>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</si>
  <si>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</si>
  <si>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</si>
  <si>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</si>
  <si>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</si>
  <si>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</si>
  <si>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</si>
  <si>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</si>
  <si>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</si>
  <si>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</si>
  <si>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</si>
  <si>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</si>
  <si>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</si>
  <si>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</si>
  <si>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</si>
  <si>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</si>
  <si>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</si>
  <si>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</si>
  <si>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</si>
  <si>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</si>
  <si>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</si>
  <si>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</si>
  <si>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</si>
  <si>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</si>
  <si>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</si>
  <si>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</si>
  <si>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</si>
  <si>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</si>
  <si>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</si>
  <si>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</si>
  <si>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</si>
  <si>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</si>
  <si>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</si>
  <si>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</si>
  <si>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</si>
  <si>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</si>
  <si>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</si>
  <si>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</si>
  <si>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</si>
  <si>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</si>
  <si>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</si>
  <si>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</si>
  <si>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</si>
  <si>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</si>
  <si>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</si>
  <si>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</si>
  <si>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</si>
  <si>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</si>
  <si>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</si>
  <si>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</si>
  <si>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</si>
  <si>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</si>
  <si>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</si>
  <si>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</si>
  <si>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</si>
  <si>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</si>
  <si>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</si>
  <si>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</si>
  <si>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</si>
  <si>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</si>
  <si>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</si>
  <si>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</si>
  <si>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</si>
  <si>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</si>
  <si>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</si>
  <si>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</si>
  <si>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</si>
  <si>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</si>
  <si>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</si>
  <si>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</si>
  <si>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</si>
  <si>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</si>
  <si>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</si>
  <si>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</si>
  <si>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</si>
  <si>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</si>
  <si>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</si>
  <si>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</si>
  <si>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</si>
  <si>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</si>
  <si>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</si>
  <si>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</si>
  <si>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</si>
  <si>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</si>
  <si>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</si>
  <si>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</si>
  <si>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</si>
  <si>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</si>
  <si>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</si>
  <si>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</si>
  <si>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</si>
  <si>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</si>
  <si>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</si>
  <si>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</si>
  <si>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</si>
  <si>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</si>
  <si>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</si>
  <si>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</si>
  <si>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</si>
  <si>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</si>
  <si>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</si>
  <si>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</si>
  <si>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</si>
  <si>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</si>
  <si>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</si>
  <si>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</si>
  <si>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</si>
  <si>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</si>
  <si>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</si>
  <si>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</si>
  <si>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</si>
  <si>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</si>
  <si>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</si>
  <si>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</si>
  <si>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</si>
  <si>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</si>
  <si>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</si>
  <si>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</si>
  <si>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</si>
  <si>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</si>
  <si>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</si>
  <si>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</si>
  <si>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</si>
  <si>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</si>
  <si>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</si>
  <si>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</si>
  <si>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</si>
  <si>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</si>
  <si>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</si>
  <si>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</si>
  <si>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</si>
  <si>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</si>
  <si>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</si>
  <si>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</si>
  <si>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</si>
  <si>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</si>
  <si>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</si>
  <si>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</si>
  <si>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</si>
  <si>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</si>
  <si>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</si>
  <si>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</si>
  <si>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</si>
  <si>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</si>
  <si>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</si>
  <si>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</si>
  <si>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</si>
  <si>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</si>
  <si>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</si>
  <si>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</si>
  <si>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</si>
  <si>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</si>
  <si>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</si>
  <si>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</si>
  <si>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</si>
  <si>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</si>
  <si>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</si>
  <si>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</si>
  <si>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</si>
  <si>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</si>
  <si>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</si>
  <si>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</si>
  <si>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</si>
  <si>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</si>
  <si>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</si>
  <si>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</si>
  <si>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</si>
  <si>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</si>
  <si>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</si>
  <si>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</si>
  <si>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</si>
  <si>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</si>
  <si>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</si>
  <si>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</si>
  <si>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</si>
  <si>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</si>
  <si>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</si>
  <si>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</si>
  <si>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</si>
  <si>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</si>
  <si>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</si>
  <si>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</si>
  <si>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</si>
  <si>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</si>
  <si>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</si>
  <si>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</si>
  <si>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</si>
  <si>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</si>
  <si>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</si>
  <si>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</si>
  <si>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</si>
  <si>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</si>
  <si>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</si>
  <si>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</si>
  <si>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</si>
  <si>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</si>
  <si>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</si>
  <si>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</si>
  <si>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</si>
  <si>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</si>
  <si>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</si>
  <si>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</si>
  <si>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</si>
  <si>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</si>
  <si>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</si>
  <si>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</si>
  <si>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</si>
  <si>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</si>
  <si>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</si>
  <si>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</si>
  <si>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</si>
  <si>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</si>
  <si>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</si>
  <si>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</si>
  <si>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</si>
  <si>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</si>
  <si>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</si>
  <si>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</si>
  <si>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</si>
  <si>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</si>
  <si>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</si>
  <si>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</si>
  <si>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</si>
  <si>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</si>
  <si>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</si>
  <si>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</si>
  <si>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</si>
  <si>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</si>
  <si>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</si>
  <si>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</si>
  <si>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</si>
  <si>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</si>
  <si>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</si>
  <si>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</si>
  <si>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</si>
  <si>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</si>
  <si>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</si>
  <si>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</si>
  <si>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</si>
  <si>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</si>
  <si>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</si>
  <si>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</si>
  <si>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</si>
  <si>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</si>
  <si>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</si>
  <si>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</si>
  <si>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</si>
  <si>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</si>
  <si>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</si>
  <si>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</si>
  <si>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</si>
  <si>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</si>
  <si>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</si>
  <si>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</si>
  <si>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</si>
  <si>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</si>
  <si>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</si>
  <si>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</si>
  <si>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</si>
  <si>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</si>
  <si>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</si>
  <si>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</si>
  <si>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</si>
  <si>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</si>
  <si>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</si>
  <si>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</si>
  <si>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</si>
  <si>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</si>
  <si>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</si>
  <si>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</si>
  <si>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</si>
  <si>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</si>
  <si>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</si>
  <si>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</si>
  <si>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</si>
  <si>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</si>
  <si>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</si>
  <si>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</si>
  <si>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</si>
  <si>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</si>
  <si>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</si>
  <si>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</si>
  <si>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</si>
  <si>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</si>
  <si>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</si>
  <si>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</si>
  <si>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</si>
  <si>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</si>
  <si>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</si>
  <si>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</si>
  <si>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</si>
  <si>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</si>
  <si>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</si>
  <si>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</si>
  <si>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</si>
  <si>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</si>
  <si>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</si>
  <si>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</si>
  <si>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</si>
  <si>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</si>
  <si>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</si>
  <si>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</si>
  <si>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</si>
  <si>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</si>
  <si>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</si>
  <si>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</si>
  <si>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</si>
  <si>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</si>
  <si>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</si>
  <si>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</si>
  <si>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</si>
  <si>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</si>
  <si>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</si>
  <si>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</si>
  <si>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</si>
  <si>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</si>
  <si>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</si>
  <si>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</si>
  <si>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</si>
  <si>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</si>
  <si>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</si>
  <si>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</si>
  <si>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</si>
  <si>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</si>
  <si>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</si>
  <si>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</si>
  <si>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</si>
  <si>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</si>
  <si>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</si>
  <si>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</si>
  <si>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</si>
  <si>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</si>
  <si>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</si>
  <si>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</si>
  <si>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</si>
  <si>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</si>
  <si>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</si>
  <si>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</si>
  <si>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</si>
  <si>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</si>
  <si>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</si>
  <si>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</si>
  <si>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</si>
  <si>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</si>
  <si>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</si>
  <si>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</si>
  <si>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</si>
  <si>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</si>
  <si>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</si>
  <si>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</si>
  <si>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</si>
  <si>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</si>
  <si>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</si>
  <si>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</si>
  <si>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</si>
  <si>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</si>
  <si>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</si>
  <si>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</si>
  <si>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</si>
  <si>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</si>
  <si>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</si>
  <si>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</si>
  <si>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</si>
  <si>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</si>
  <si>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</si>
  <si>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</si>
  <si>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</si>
  <si>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</si>
  <si>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</si>
  <si>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</si>
  <si>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</si>
  <si>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</si>
  <si>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</si>
  <si>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</si>
  <si>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</si>
  <si>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</si>
  <si>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</si>
  <si>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</si>
  <si>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</si>
  <si>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</si>
  <si>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</si>
  <si>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</si>
  <si>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</si>
  <si>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</si>
  <si>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</si>
  <si>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</si>
  <si>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</si>
  <si>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</si>
  <si>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</si>
  <si>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</si>
  <si>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</si>
  <si>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</si>
  <si>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</si>
  <si>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</si>
  <si>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</si>
  <si>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</si>
  <si>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</si>
  <si>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</si>
  <si>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</si>
  <si>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</si>
  <si>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</si>
  <si>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</si>
  <si>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</si>
  <si>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</si>
  <si>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</si>
  <si>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</si>
  <si>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</si>
  <si>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</si>
  <si>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</si>
  <si>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</si>
  <si>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</si>
  <si>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</si>
  <si>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</si>
  <si>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</si>
  <si>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</si>
  <si>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</si>
  <si>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</si>
  <si>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</si>
  <si>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</si>
  <si>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</si>
  <si>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</si>
  <si>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</si>
  <si>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</si>
  <si>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</si>
  <si>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</si>
  <si>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</si>
  <si>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</si>
  <si>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</si>
  <si>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</si>
  <si>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</si>
  <si>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</si>
  <si>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</si>
  <si>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</si>
  <si>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</si>
  <si>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</si>
  <si>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</si>
  <si>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</si>
  <si>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</si>
  <si>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</si>
  <si>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</si>
  <si>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</si>
  <si>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</si>
  <si>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</si>
  <si>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</si>
  <si>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</si>
  <si>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</si>
  <si>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</si>
  <si>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</si>
  <si>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</si>
  <si>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</si>
  <si>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</si>
  <si>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</si>
  <si>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</si>
  <si>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</si>
  <si>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</si>
  <si>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</si>
  <si>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</si>
  <si>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</si>
  <si>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</si>
  <si>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</si>
  <si>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</si>
  <si>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</si>
  <si>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</si>
  <si>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</si>
  <si>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</si>
  <si>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</si>
  <si>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</si>
  <si>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</si>
  <si>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</si>
  <si>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</si>
  <si>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</si>
  <si>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</si>
  <si>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</si>
  <si>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</si>
  <si>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</si>
  <si>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</si>
  <si>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</si>
  <si>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</si>
  <si>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</si>
  <si>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</si>
  <si>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</si>
  <si>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</si>
  <si>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</si>
  <si>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</si>
  <si>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</si>
  <si>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</si>
  <si>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</si>
  <si>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</si>
  <si>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</si>
  <si>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</si>
  <si>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</si>
  <si>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</si>
  <si>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</si>
  <si>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</si>
  <si>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</si>
  <si>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</si>
  <si>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</si>
  <si>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</si>
  <si>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</si>
  <si>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</si>
  <si>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</si>
  <si>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</si>
  <si>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</si>
  <si>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</si>
  <si>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</si>
  <si>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</si>
  <si>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</si>
  <si>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</si>
  <si>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</si>
  <si>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</si>
  <si>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</si>
  <si>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</si>
  <si>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</si>
  <si>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</si>
  <si>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</si>
  <si>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</si>
  <si>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</si>
  <si>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</si>
  <si>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</si>
  <si>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</si>
  <si>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</si>
  <si>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</si>
  <si>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</si>
  <si>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</si>
  <si>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</si>
  <si>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</si>
  <si>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</si>
  <si>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</si>
  <si>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</si>
  <si>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</si>
  <si>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</si>
  <si>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</si>
  <si>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</si>
  <si>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</si>
  <si>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</si>
  <si>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</si>
  <si>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</si>
  <si>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</si>
  <si>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</si>
  <si>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</si>
  <si>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</si>
  <si>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</si>
  <si>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</si>
  <si>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</si>
  <si>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</si>
  <si>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</si>
  <si>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</si>
  <si>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</si>
  <si>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</si>
  <si>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</si>
  <si>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</si>
  <si>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</si>
  <si>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</si>
  <si>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</si>
  <si>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</si>
  <si>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</si>
  <si>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</si>
  <si>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</si>
  <si>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</si>
  <si>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</si>
  <si>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</si>
  <si>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</si>
  <si>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</si>
  <si>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</si>
  <si>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</si>
  <si>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</si>
  <si>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</si>
  <si>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</si>
  <si>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</si>
  <si>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</si>
  <si>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</si>
  <si>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</si>
  <si>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</si>
  <si>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</si>
  <si>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</si>
  <si>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</si>
  <si>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</si>
  <si>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</si>
  <si>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</si>
  <si>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</si>
  <si>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</si>
  <si>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</si>
  <si>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</si>
  <si>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</si>
  <si>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</si>
  <si>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</si>
  <si>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</si>
  <si>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</si>
  <si>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</si>
  <si>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</si>
  <si>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</si>
  <si>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</si>
  <si>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</si>
  <si>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</si>
  <si>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</si>
  <si>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</si>
  <si>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</si>
  <si>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</si>
  <si>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</si>
  <si>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</si>
  <si>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</si>
  <si>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</si>
  <si>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</si>
  <si>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</si>
  <si>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</si>
  <si>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</si>
  <si>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</si>
  <si>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</si>
  <si>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</si>
  <si>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</si>
  <si>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</si>
  <si>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</si>
  <si>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</si>
  <si>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</si>
  <si>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</si>
  <si>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</si>
  <si>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</si>
  <si>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</si>
  <si>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</si>
  <si>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</si>
  <si>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</si>
  <si>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</si>
  <si>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</si>
  <si>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</si>
  <si>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</si>
  <si>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</si>
  <si>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</si>
  <si>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</si>
  <si>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</si>
  <si>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</si>
  <si>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</si>
  <si>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</si>
  <si>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</si>
  <si>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</si>
  <si>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</si>
  <si>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</si>
  <si>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</si>
  <si>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</si>
  <si>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</si>
  <si>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</si>
  <si>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</si>
  <si>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</si>
  <si>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</si>
  <si>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</si>
  <si>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</si>
  <si>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</si>
  <si>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</si>
  <si>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</si>
  <si>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</si>
  <si>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</si>
  <si>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</si>
  <si>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</si>
  <si>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</si>
  <si>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</si>
  <si>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</si>
  <si>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</si>
  <si>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</si>
  <si>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</si>
  <si>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</si>
  <si>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</si>
  <si>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</si>
  <si>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</si>
  <si>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</si>
  <si>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</si>
  <si>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</si>
  <si>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</si>
  <si>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</si>
  <si>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</si>
  <si>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</si>
  <si>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</si>
  <si>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</si>
  <si>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</si>
  <si>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</si>
  <si>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</si>
  <si>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</si>
  <si>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</si>
  <si>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</si>
  <si>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</si>
  <si>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</si>
  <si>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</si>
  <si>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</si>
  <si>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</si>
  <si>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</si>
  <si>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</si>
  <si>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</si>
  <si>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</si>
  <si>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</si>
  <si>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</si>
  <si>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</si>
  <si>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</si>
  <si>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</si>
  <si>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</si>
  <si>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</si>
  <si>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</si>
  <si>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</si>
  <si>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</si>
  <si>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</si>
  <si>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</si>
  <si>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</si>
  <si>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</si>
  <si>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</si>
  <si>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</si>
  <si>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</si>
  <si>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</si>
  <si>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</si>
  <si>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</si>
  <si>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</si>
  <si>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</si>
  <si>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</si>
  <si>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</si>
  <si>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</si>
  <si>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</si>
  <si>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</si>
  <si>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</si>
  <si>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</si>
  <si>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</si>
  <si>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</si>
  <si>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</si>
  <si>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</si>
  <si>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</si>
  <si>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</si>
  <si>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</si>
  <si>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</si>
  <si>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</si>
  <si>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</si>
  <si>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</si>
  <si>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</si>
  <si>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</si>
  <si>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</si>
  <si>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</si>
  <si>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</si>
  <si>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</si>
  <si>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</si>
  <si>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</si>
  <si>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</si>
  <si>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</si>
  <si>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</si>
  <si>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</si>
  <si>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</si>
  <si>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</si>
  <si>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</si>
  <si>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</si>
  <si>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</si>
  <si>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</si>
  <si>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</si>
  <si>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</si>
  <si>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</si>
  <si>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</si>
  <si>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</si>
  <si>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</si>
  <si>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</si>
  <si>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</si>
  <si>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</si>
  <si>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</si>
  <si>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</si>
  <si>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</si>
  <si>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</si>
  <si>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</si>
  <si>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</si>
  <si>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</si>
  <si>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</si>
  <si>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</si>
  <si>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</si>
  <si>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</si>
  <si>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</si>
  <si>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</si>
  <si>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</si>
  <si>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</si>
  <si>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</si>
  <si>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</si>
  <si>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</si>
  <si>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</si>
  <si>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</si>
  <si>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</si>
  <si>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</si>
  <si>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</si>
  <si>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</si>
  <si>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</si>
  <si>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</si>
  <si>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</si>
  <si>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</si>
  <si>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</si>
  <si>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</si>
  <si>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</si>
  <si>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</si>
  <si>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</si>
  <si>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</si>
  <si>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</si>
  <si>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</si>
  <si>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</si>
  <si>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</si>
  <si>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</si>
  <si>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</si>
  <si>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</si>
  <si>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</si>
  <si>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</si>
  <si>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</si>
  <si>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</si>
  <si>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</si>
  <si>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</si>
  <si>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</si>
  <si>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</si>
  <si>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</si>
  <si>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</si>
  <si>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</si>
  <si>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</si>
  <si>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</si>
  <si>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</si>
  <si>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</si>
  <si>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</si>
  <si>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</si>
  <si>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</si>
  <si>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</si>
  <si>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</si>
  <si>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</si>
  <si>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</si>
  <si>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</si>
  <si>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</si>
  <si>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</si>
  <si>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</si>
  <si>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</si>
  <si>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</si>
  <si>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</si>
  <si>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</si>
  <si>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</si>
  <si>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</si>
  <si>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</si>
  <si>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</si>
  <si>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</si>
  <si>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</si>
  <si>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</si>
  <si>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</si>
  <si>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</si>
  <si>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</si>
  <si>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</si>
  <si>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</si>
  <si>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</si>
  <si>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</si>
  <si>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</si>
  <si>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</si>
  <si>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</si>
  <si>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</si>
  <si>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</si>
  <si>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</si>
  <si>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</si>
  <si>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</si>
  <si>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</si>
  <si>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</si>
  <si>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</si>
  <si>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</si>
  <si>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</si>
  <si>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</si>
  <si>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</si>
  <si>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</si>
  <si>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</si>
  <si>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</si>
  <si>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</si>
  <si>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</si>
  <si>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</si>
  <si>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</si>
  <si>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</si>
  <si>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</si>
  <si>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</si>
  <si>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</si>
  <si>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</si>
  <si>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</si>
  <si>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</si>
  <si>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</si>
  <si>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</si>
  <si>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</si>
  <si>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</si>
  <si>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</si>
  <si>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</si>
  <si>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</si>
  <si>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</si>
  <si>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</si>
  <si>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</si>
  <si>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</si>
  <si>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</si>
  <si>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</si>
  <si>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</si>
  <si>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</si>
  <si>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</si>
  <si>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</si>
  <si>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</si>
  <si>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</si>
  <si>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</si>
  <si>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</si>
  <si>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</si>
  <si>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</si>
  <si>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</si>
  <si>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</si>
  <si>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</si>
  <si>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</si>
  <si>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</si>
  <si>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</si>
  <si>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</si>
  <si>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</si>
  <si>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</si>
  <si>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</si>
  <si>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</si>
  <si>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</si>
  <si>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</si>
  <si>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</si>
  <si>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</si>
  <si>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</si>
  <si>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</si>
  <si>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</si>
  <si>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</si>
  <si>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</si>
  <si>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</si>
  <si>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</si>
  <si>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</si>
  <si>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</si>
  <si>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</si>
  <si>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</si>
  <si>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</si>
  <si>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</si>
  <si>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</si>
  <si>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</si>
  <si>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</si>
  <si>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</si>
  <si>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</si>
  <si>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</si>
  <si>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</si>
  <si>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</si>
  <si>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</si>
  <si>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</si>
  <si>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</si>
  <si>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</si>
  <si>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</si>
  <si>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</si>
  <si>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</si>
  <si>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</si>
  <si>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</si>
  <si>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</si>
  <si>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</si>
  <si>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</si>
  <si>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</si>
  <si>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</si>
  <si>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</si>
  <si>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</si>
  <si>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</si>
  <si>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</si>
  <si>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</si>
  <si>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</si>
  <si>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</si>
  <si>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</si>
  <si>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</si>
  <si>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</si>
  <si>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</si>
  <si>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</si>
  <si>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</si>
  <si>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</si>
  <si>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</si>
  <si>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</si>
  <si>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</si>
  <si>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</si>
  <si>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</si>
  <si>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</si>
  <si>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</si>
  <si>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</si>
  <si>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</si>
  <si>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</si>
  <si>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</si>
  <si>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</si>
  <si>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</si>
  <si>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</si>
  <si>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</si>
  <si>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</si>
  <si>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</si>
  <si>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</si>
  <si>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</si>
  <si>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</si>
  <si>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</si>
  <si>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</si>
  <si>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</si>
  <si>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</si>
  <si>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</si>
  <si>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</si>
  <si>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</si>
  <si>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</si>
  <si>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</si>
  <si>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</si>
  <si>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</si>
  <si>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</si>
  <si>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</si>
  <si>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</si>
  <si>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</si>
  <si>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</si>
  <si>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</si>
  <si>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</si>
  <si>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</si>
  <si>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</si>
  <si>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</si>
  <si>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</si>
  <si>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</si>
  <si>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</si>
  <si>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</si>
  <si>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</si>
  <si>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</si>
  <si>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</si>
  <si>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</si>
  <si>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</si>
  <si>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</si>
  <si>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</si>
  <si>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</si>
  <si>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</si>
  <si>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</si>
  <si>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</si>
  <si>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</si>
  <si>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</si>
  <si>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</si>
  <si>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</si>
  <si>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</si>
  <si>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</si>
  <si>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</si>
  <si>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</si>
  <si>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</si>
  <si>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</si>
  <si>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</si>
  <si>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</si>
  <si>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</si>
  <si>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</si>
  <si>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</si>
  <si>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</si>
  <si>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</si>
  <si>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</si>
  <si>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</si>
  <si>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</si>
  <si>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</si>
  <si>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</si>
  <si>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</si>
  <si>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</si>
  <si>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</si>
  <si>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</si>
  <si>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</si>
  <si>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</si>
  <si>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</si>
  <si>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</si>
  <si>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</si>
  <si>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</si>
  <si>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</si>
  <si>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</si>
  <si>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</si>
  <si>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</si>
  <si>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</si>
  <si>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</si>
  <si>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</si>
  <si>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</si>
  <si>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</si>
  <si>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</si>
  <si>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</si>
  <si>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</si>
  <si>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</si>
  <si>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</si>
  <si>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</si>
  <si>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</si>
  <si>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</si>
  <si>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</si>
  <si>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</si>
  <si>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</si>
  <si>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</si>
  <si>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</si>
  <si>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</si>
  <si>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</si>
  <si>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</si>
  <si>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</si>
  <si>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</si>
  <si>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</si>
  <si>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</si>
  <si>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</si>
  <si>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</si>
  <si>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</si>
  <si>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</si>
  <si>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</si>
  <si>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</si>
  <si>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</si>
  <si>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</si>
  <si>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</si>
  <si>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</si>
  <si>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</si>
  <si>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</si>
  <si>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</si>
  <si>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</si>
  <si>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</si>
  <si>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</si>
  <si>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</si>
  <si>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</si>
  <si>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</si>
  <si>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</si>
  <si>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</si>
  <si>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</si>
  <si>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</si>
  <si>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</si>
  <si>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</si>
  <si>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</si>
  <si>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</si>
  <si>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</si>
  <si>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</si>
  <si>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</si>
  <si>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</si>
  <si>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</si>
  <si>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</si>
  <si>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</si>
  <si>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</si>
  <si>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</si>
  <si>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</si>
  <si>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</si>
  <si>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</si>
  <si>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</si>
  <si>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</si>
  <si>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</si>
  <si>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</si>
  <si>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</si>
  <si>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</si>
  <si>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</si>
  <si>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</si>
  <si>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</si>
  <si>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</si>
  <si>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</si>
  <si>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</si>
  <si>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</si>
  <si>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</si>
  <si>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</si>
  <si>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</si>
  <si>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</si>
  <si>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</si>
  <si>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</si>
  <si>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</si>
  <si>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</si>
  <si>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</si>
  <si>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</si>
  <si>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</si>
  <si>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</si>
  <si>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</si>
  <si>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</si>
  <si>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</si>
  <si>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</si>
  <si>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</si>
  <si>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</si>
  <si>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</si>
  <si>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</si>
  <si>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</si>
  <si>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</si>
  <si>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</si>
  <si>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</si>
  <si>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</si>
  <si>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</si>
  <si>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</si>
  <si>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</si>
  <si>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</si>
  <si>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</si>
  <si>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</si>
  <si>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</si>
  <si>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</si>
  <si>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</si>
  <si>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</si>
  <si>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</si>
  <si>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</si>
  <si>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</si>
  <si>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</si>
  <si>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</si>
  <si>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</si>
  <si>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</si>
  <si>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</si>
  <si>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</si>
  <si>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</si>
  <si>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</si>
  <si>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</si>
  <si>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</si>
  <si>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</si>
  <si>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</si>
  <si>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</si>
  <si>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</si>
  <si>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</si>
  <si>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</si>
  <si>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</si>
  <si>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</si>
  <si>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</si>
  <si>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</si>
  <si>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</si>
  <si>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</si>
  <si>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</si>
  <si>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</si>
  <si>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</si>
  <si>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</si>
  <si>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</si>
  <si>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</si>
  <si>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</si>
  <si>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</si>
  <si>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</si>
  <si>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</si>
  <si>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</si>
  <si>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</si>
  <si>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</si>
  <si>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</si>
  <si>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</si>
  <si>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</si>
  <si>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</si>
  <si>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</si>
  <si>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</si>
  <si>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</si>
  <si>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</si>
  <si>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</si>
  <si>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</si>
  <si>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</si>
  <si>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</si>
  <si>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</si>
  <si>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</si>
  <si>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</si>
  <si>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</si>
  <si>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</si>
  <si>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</si>
  <si>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</si>
  <si>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</si>
  <si>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</si>
  <si>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</si>
  <si>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</si>
  <si>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</si>
  <si>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</si>
  <si>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</si>
  <si>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</si>
  <si>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</si>
  <si>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</si>
  <si>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</si>
  <si>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</si>
  <si>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</si>
  <si>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</si>
  <si>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</si>
  <si>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</si>
  <si>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</si>
  <si>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</si>
  <si>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</si>
  <si>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</si>
  <si>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</si>
  <si>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</si>
  <si>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</si>
  <si>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</si>
  <si>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</si>
  <si>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</si>
  <si>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</si>
  <si>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</si>
  <si>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</si>
  <si>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</si>
  <si>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</si>
  <si>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</si>
  <si>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</si>
  <si>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</si>
  <si>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</si>
  <si>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</si>
  <si>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</si>
  <si>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</si>
  <si>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</si>
  <si>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</si>
  <si>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</si>
  <si>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</si>
  <si>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</si>
  <si>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</si>
  <si>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</si>
  <si>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</si>
  <si>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</si>
  <si>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</si>
  <si>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</si>
  <si>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</si>
  <si>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</si>
  <si>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</si>
  <si>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</si>
  <si>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</si>
  <si>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</si>
  <si>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</si>
  <si>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</si>
  <si>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</si>
  <si>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</si>
  <si>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</si>
  <si>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</si>
  <si>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</si>
  <si>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</si>
  <si>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</si>
  <si>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</si>
  <si>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</si>
  <si>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</si>
  <si>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</si>
  <si>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</si>
  <si>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</si>
  <si>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</si>
  <si>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</si>
  <si>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</si>
  <si>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</si>
  <si>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</si>
  <si>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</si>
  <si>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</si>
  <si>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</si>
  <si>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</si>
  <si>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</si>
  <si>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</si>
  <si>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</si>
  <si>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</si>
  <si>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</si>
  <si>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</si>
  <si>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</si>
  <si>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</si>
  <si>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</si>
  <si>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</si>
  <si>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</si>
  <si>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</si>
  <si>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</si>
  <si>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</si>
  <si>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</si>
  <si>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</si>
  <si>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</si>
  <si>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</si>
  <si>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</si>
  <si>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</si>
  <si>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</si>
  <si>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</si>
  <si>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</si>
  <si>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</si>
  <si>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</si>
  <si>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</si>
  <si>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</si>
  <si>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</si>
  <si>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</si>
  <si>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</si>
  <si>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</si>
  <si>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</si>
  <si>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</si>
  <si>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</si>
  <si>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</si>
  <si>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</si>
  <si>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</si>
  <si>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</si>
  <si>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</si>
  <si>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</si>
  <si>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</si>
  <si>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</si>
  <si>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</si>
  <si>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</si>
  <si>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</si>
  <si>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</si>
  <si>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</si>
  <si>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</si>
  <si>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</si>
  <si>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</si>
  <si>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</si>
  <si>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</si>
  <si>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</si>
  <si>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</si>
  <si>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</si>
  <si>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</si>
  <si>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</si>
  <si>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</si>
  <si>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</si>
  <si>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</si>
  <si>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</si>
  <si>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</si>
  <si>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</si>
  <si>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</si>
  <si>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</si>
  <si>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</si>
  <si>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</si>
  <si>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</si>
  <si>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</si>
  <si>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</si>
  <si>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</si>
  <si>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</si>
  <si>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</si>
  <si>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</si>
  <si>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</si>
  <si>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</si>
  <si>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</si>
  <si>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</si>
  <si>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</si>
  <si>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</si>
  <si>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</si>
  <si>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</si>
  <si>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</si>
  <si>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</si>
  <si>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</si>
  <si>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</si>
  <si>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</si>
  <si>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</si>
  <si>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</si>
  <si>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</si>
  <si>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</si>
  <si>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</si>
  <si>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</si>
  <si>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</si>
  <si>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</si>
  <si>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</si>
  <si>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</si>
  <si>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</si>
  <si>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</si>
  <si>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</si>
  <si>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</si>
  <si>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</si>
  <si>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</si>
  <si>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</si>
  <si>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</si>
  <si>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</si>
  <si>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</si>
  <si>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</si>
  <si>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</si>
  <si>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</si>
  <si>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</si>
  <si>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</si>
  <si>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</si>
  <si>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</si>
  <si>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</si>
  <si>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</si>
  <si>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</si>
  <si>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</si>
  <si>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</si>
  <si>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</si>
  <si>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</si>
  <si>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</si>
  <si>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</si>
  <si>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</si>
  <si>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</si>
  <si>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</si>
  <si>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</si>
  <si>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</si>
  <si>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</si>
  <si>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</si>
  <si>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</si>
  <si>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</si>
  <si>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</si>
  <si>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</si>
  <si>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</si>
  <si>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</si>
  <si>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</si>
  <si>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</si>
  <si>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</si>
  <si>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</si>
  <si>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</si>
  <si>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</si>
  <si>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</si>
  <si>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</si>
  <si>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</si>
  <si>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</si>
  <si>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</si>
  <si>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</si>
  <si>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</si>
  <si>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</si>
  <si>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</si>
  <si>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</si>
  <si>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</si>
  <si>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</si>
  <si>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</si>
  <si>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</si>
  <si>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</si>
  <si>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</si>
  <si>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</si>
  <si>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</si>
  <si>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</si>
  <si>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</si>
  <si>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</si>
  <si>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</si>
  <si>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</si>
  <si>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</si>
  <si>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</si>
  <si>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</si>
  <si>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</si>
  <si>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</si>
  <si>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</si>
  <si>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</si>
  <si>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</si>
  <si>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</si>
  <si>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</si>
  <si>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</si>
  <si>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</si>
  <si>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</si>
  <si>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</si>
  <si>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</si>
  <si>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</si>
  <si>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</si>
  <si>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</si>
  <si>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</si>
  <si>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</si>
  <si>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</si>
  <si>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</si>
  <si>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</si>
  <si>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</si>
  <si>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</si>
  <si>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</si>
  <si>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</si>
  <si>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</si>
  <si>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</si>
  <si>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</si>
  <si>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</si>
  <si>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</si>
  <si>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</si>
  <si>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</si>
  <si>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</si>
  <si>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</si>
  <si>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</si>
  <si>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</si>
  <si>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</si>
  <si>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</si>
  <si>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</si>
  <si>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</si>
  <si>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</si>
  <si>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</si>
  <si>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</si>
  <si>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</si>
  <si>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</si>
  <si>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</si>
  <si>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</si>
  <si>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</si>
  <si>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</si>
  <si>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</si>
  <si>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</si>
  <si>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</si>
  <si>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</si>
  <si>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</si>
  <si>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</si>
  <si>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</si>
  <si>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</si>
  <si>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</si>
  <si>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</si>
  <si>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</si>
  <si>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</si>
  <si>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</si>
  <si>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</si>
  <si>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</si>
  <si>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</si>
  <si>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</si>
  <si>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</si>
  <si>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</si>
  <si>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</si>
  <si>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</si>
  <si>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</si>
  <si>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</si>
  <si>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</si>
  <si>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</si>
  <si>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</si>
  <si>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</si>
  <si>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</si>
  <si>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</si>
  <si>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</si>
  <si>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</si>
  <si>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</si>
  <si>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</si>
  <si>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</si>
  <si>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</si>
  <si>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</si>
  <si>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</si>
  <si>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</si>
  <si>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</si>
  <si>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</si>
  <si>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</si>
  <si>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</si>
  <si>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</si>
  <si>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</si>
  <si>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</si>
  <si>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</si>
  <si>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</si>
  <si>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</si>
  <si>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</si>
  <si>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</si>
  <si>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</si>
  <si>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</si>
  <si>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</si>
  <si>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</si>
  <si>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</si>
  <si>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</si>
  <si>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</si>
  <si>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</si>
  <si>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</si>
  <si>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</si>
  <si>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</si>
  <si>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</si>
  <si>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</si>
  <si>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</si>
  <si>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</si>
  <si>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</si>
  <si>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</si>
  <si>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</si>
  <si>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</si>
  <si>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</si>
  <si>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</si>
  <si>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</si>
  <si>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</si>
  <si>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</si>
  <si>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</si>
  <si>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</si>
  <si>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</si>
  <si>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</si>
  <si>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</si>
  <si>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</si>
  <si>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</si>
  <si>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</si>
  <si>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</si>
  <si>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</si>
  <si>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</si>
  <si>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</si>
  <si>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</si>
  <si>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</si>
  <si>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</si>
  <si>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</si>
  <si>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</si>
  <si>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</si>
  <si>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</si>
  <si>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</si>
  <si>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</si>
  <si>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</si>
  <si>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</si>
  <si>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</si>
  <si>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</si>
  <si>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</si>
  <si>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</si>
  <si>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</si>
  <si>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</si>
  <si>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</si>
  <si>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</si>
  <si>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</si>
  <si>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</si>
  <si>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</si>
  <si>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</si>
  <si>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</si>
  <si>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</si>
  <si>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</si>
  <si>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</si>
  <si>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</si>
  <si>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</si>
  <si>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</si>
  <si>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</si>
  <si>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</si>
  <si>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</si>
  <si>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</si>
  <si>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</si>
  <si>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</si>
  <si>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</si>
  <si>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</si>
  <si>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</si>
  <si>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</si>
  <si>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</si>
  <si>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</si>
  <si>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</si>
  <si>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</si>
  <si>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</si>
  <si>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</si>
  <si>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</si>
  <si>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</si>
  <si>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</si>
  <si>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</si>
  <si>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</si>
  <si>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</si>
  <si>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</si>
  <si>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</si>
  <si>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</si>
  <si>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</si>
  <si>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</si>
  <si>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</si>
  <si>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</si>
  <si>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</si>
  <si>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</si>
  <si>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</si>
  <si>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</si>
  <si>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</si>
  <si>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</si>
  <si>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</si>
  <si>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</si>
  <si>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</si>
  <si>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</si>
  <si>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</si>
  <si>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</si>
  <si>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</si>
  <si>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</si>
  <si>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</si>
  <si>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</si>
  <si>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</si>
  <si>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</si>
  <si>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</si>
  <si>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</si>
  <si>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</si>
  <si>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</si>
  <si>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</si>
  <si>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</si>
  <si>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</si>
  <si>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</si>
  <si>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</si>
  <si>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</si>
  <si>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</si>
  <si>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</si>
  <si>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</si>
  <si>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</si>
  <si>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</si>
  <si>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</si>
  <si>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</si>
  <si>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</si>
  <si>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</si>
  <si>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</si>
  <si>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</si>
  <si>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</si>
  <si>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</si>
  <si>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</si>
  <si>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</si>
  <si>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</si>
  <si>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</si>
  <si>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</si>
  <si>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</si>
  <si>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</si>
  <si>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</si>
  <si>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</si>
  <si>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</si>
  <si>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</si>
  <si>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</si>
  <si>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</si>
  <si>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</si>
  <si>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</si>
  <si>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</si>
  <si>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</si>
  <si>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</si>
  <si>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</si>
  <si>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</si>
  <si>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</si>
  <si>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</si>
  <si>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</si>
  <si>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</si>
  <si>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</si>
  <si>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</si>
  <si>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</si>
  <si>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</si>
  <si>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</si>
  <si>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</si>
  <si>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</si>
  <si>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</si>
  <si>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</si>
  <si>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</si>
  <si>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</si>
  <si>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</si>
  <si>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</si>
  <si>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</si>
  <si>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</si>
  <si>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</si>
  <si>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</si>
  <si>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</si>
  <si>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</si>
  <si>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</si>
  <si>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</si>
  <si>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</si>
  <si>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</si>
  <si>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</si>
  <si>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</si>
  <si>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</si>
  <si>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</si>
  <si>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</si>
  <si>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</si>
  <si>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</si>
  <si>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</si>
  <si>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</si>
  <si>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</si>
  <si>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</si>
  <si>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</si>
  <si>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</si>
  <si>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</si>
  <si>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</si>
  <si>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</si>
  <si>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</si>
  <si>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</si>
  <si>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</si>
  <si>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</si>
  <si>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</si>
  <si>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</si>
  <si>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</si>
  <si>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</si>
  <si>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</si>
  <si>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</si>
  <si>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</si>
  <si>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</si>
  <si>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</si>
  <si>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</si>
  <si>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</si>
  <si>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</si>
  <si>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</si>
  <si>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</si>
  <si>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</si>
  <si>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</si>
  <si>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</si>
  <si>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</si>
  <si>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</si>
  <si>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</si>
  <si>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</si>
  <si>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</si>
  <si>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</si>
  <si>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</si>
  <si>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</si>
  <si>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</si>
  <si>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</si>
  <si>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</si>
  <si>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</si>
  <si>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</si>
  <si>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</si>
  <si>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</si>
  <si>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</si>
  <si>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</si>
  <si>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</si>
  <si>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</si>
  <si>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</si>
  <si>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</si>
  <si>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</si>
  <si>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</si>
  <si>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</si>
  <si>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</si>
  <si>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</si>
  <si>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</si>
  <si>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</si>
  <si>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</si>
  <si>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</si>
  <si>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</si>
  <si>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</si>
  <si>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</si>
  <si>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</si>
  <si>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</si>
  <si>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</si>
  <si>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</si>
  <si>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</si>
  <si>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</si>
  <si>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</si>
  <si>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</si>
  <si>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</si>
  <si>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</si>
  <si>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</si>
  <si>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</si>
  <si>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</si>
  <si>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</si>
  <si>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</si>
  <si>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</si>
  <si>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</si>
  <si>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</si>
  <si>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</si>
  <si>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</si>
  <si>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</si>
  <si>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</si>
  <si>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</si>
  <si>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</si>
  <si>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</si>
  <si>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</si>
  <si>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</si>
  <si>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</si>
  <si>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</si>
  <si>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</si>
  <si>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</si>
  <si>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</si>
  <si>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</si>
  <si>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</si>
  <si>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</si>
  <si>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</si>
  <si>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</si>
  <si>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</si>
  <si>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</si>
  <si>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</si>
  <si>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</si>
  <si>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</si>
  <si>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</si>
  <si>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</si>
  <si>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</si>
  <si>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</si>
  <si>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</si>
  <si>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</si>
  <si>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</si>
  <si>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</si>
  <si>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</si>
  <si>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</si>
  <si>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</si>
  <si>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</si>
  <si>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</si>
  <si>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</si>
  <si>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</si>
  <si>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</si>
  <si>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</si>
  <si>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</si>
  <si>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</si>
  <si>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</si>
  <si>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</si>
  <si>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</si>
  <si>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</si>
  <si>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</si>
  <si>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</si>
  <si>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</si>
  <si>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</si>
  <si>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</si>
  <si>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</si>
  <si>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</si>
  <si>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</si>
  <si>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</si>
  <si>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</si>
  <si>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</si>
  <si>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</si>
  <si>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</si>
  <si>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</si>
  <si>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</si>
  <si>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</si>
  <si>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</si>
  <si>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</si>
  <si>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</si>
  <si>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</si>
  <si>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</si>
  <si>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</si>
  <si>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</si>
  <si>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</si>
  <si>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</si>
  <si>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</si>
  <si>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</si>
  <si>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</si>
  <si>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</si>
  <si>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</si>
  <si>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</si>
  <si>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</si>
  <si>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</si>
  <si>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</si>
  <si>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</si>
  <si>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</si>
  <si>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</si>
  <si>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</si>
  <si>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</si>
  <si>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</si>
  <si>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</si>
  <si>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</si>
  <si>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</si>
  <si>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</si>
  <si>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</si>
  <si>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</si>
  <si>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</si>
  <si>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</si>
  <si>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</si>
  <si>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</si>
  <si>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</si>
  <si>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</si>
  <si>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</si>
  <si>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</si>
  <si>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</si>
  <si>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</si>
  <si>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</si>
  <si>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</si>
  <si>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</si>
  <si>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</si>
  <si>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</si>
  <si>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</si>
  <si>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</si>
  <si>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</si>
  <si>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</si>
  <si>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</si>
  <si>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</si>
  <si>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</si>
  <si>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</si>
  <si>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</si>
  <si>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</si>
  <si>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</si>
  <si>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</si>
  <si>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</si>
  <si>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</si>
  <si>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</si>
  <si>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</si>
  <si>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</si>
  <si>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</si>
  <si>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</si>
  <si>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</si>
  <si>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</si>
  <si>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</si>
  <si>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</si>
  <si>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</si>
  <si>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</si>
  <si>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</si>
  <si>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</si>
  <si>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</si>
  <si>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</si>
  <si>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</si>
  <si>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</si>
  <si>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</si>
  <si>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</si>
  <si>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</si>
  <si>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</si>
  <si>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</si>
  <si>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</si>
  <si>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</si>
  <si>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</si>
  <si>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</si>
  <si>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</si>
  <si>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</si>
  <si>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</si>
  <si>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</si>
  <si>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</si>
  <si>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</si>
  <si>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</si>
  <si>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</si>
  <si>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</si>
  <si>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</si>
  <si>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</si>
  <si>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</si>
  <si>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</si>
  <si>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</si>
  <si>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</si>
  <si>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</si>
  <si>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</si>
  <si>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</si>
  <si>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</si>
  <si>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</si>
  <si>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</si>
  <si>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</si>
  <si>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</si>
  <si>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</si>
  <si>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</si>
  <si>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</si>
  <si>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</si>
  <si>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</si>
  <si>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</si>
  <si>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</si>
  <si>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</si>
  <si>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</si>
  <si>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</si>
  <si>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</si>
  <si>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</si>
  <si>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</si>
  <si>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</si>
  <si>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</si>
  <si>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</si>
  <si>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</si>
  <si>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</si>
  <si>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</si>
  <si>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</si>
  <si>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</si>
  <si>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</si>
  <si>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</si>
  <si>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</si>
  <si>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</si>
  <si>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</si>
  <si>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</si>
  <si>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</si>
  <si>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</si>
  <si>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</si>
  <si>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</si>
  <si>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</si>
  <si>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</si>
  <si>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</si>
  <si>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</si>
  <si>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</si>
  <si>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</si>
  <si>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</si>
  <si>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</si>
  <si>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</si>
  <si>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</si>
  <si>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</si>
  <si>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</si>
  <si>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</si>
  <si>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</si>
  <si>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</si>
  <si>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</si>
  <si>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</si>
  <si>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</si>
  <si>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</si>
  <si>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</si>
  <si>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</si>
  <si>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</si>
  <si>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</si>
  <si>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</si>
  <si>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</si>
  <si>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</si>
  <si>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</si>
  <si>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</si>
  <si>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</si>
  <si>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</si>
  <si>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</si>
  <si>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</si>
  <si>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</si>
  <si>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</si>
  <si>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</si>
  <si>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</si>
  <si>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</si>
  <si>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</si>
  <si>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</si>
  <si>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</si>
  <si>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</si>
  <si>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</si>
  <si>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</si>
  <si>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</si>
  <si>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</si>
  <si>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</si>
  <si>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</si>
  <si>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</si>
  <si>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</si>
  <si>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</si>
  <si>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</si>
  <si>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</si>
  <si>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</si>
  <si>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</si>
  <si>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</si>
  <si>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</si>
  <si>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</si>
  <si>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</si>
  <si>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</si>
  <si>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</si>
  <si>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</si>
  <si>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</si>
  <si>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</si>
  <si>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</si>
  <si>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</si>
  <si>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</si>
  <si>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</si>
  <si>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</si>
  <si>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</si>
  <si>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</si>
  <si>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</si>
  <si>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</si>
  <si>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</si>
  <si>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</si>
  <si>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</si>
  <si>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</si>
  <si>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</si>
  <si>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</si>
  <si>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</si>
  <si>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</si>
  <si>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</si>
  <si>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</si>
  <si>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</si>
  <si>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</si>
  <si>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</si>
  <si>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</si>
  <si>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</si>
  <si>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</si>
  <si>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</si>
  <si>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</si>
  <si>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</si>
  <si>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</si>
  <si>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</si>
  <si>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</si>
  <si>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</si>
  <si>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</si>
  <si>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</si>
  <si>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</si>
  <si>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</si>
  <si>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</si>
  <si>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</si>
  <si>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</si>
  <si>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</si>
  <si>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</si>
  <si>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</si>
  <si>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</si>
  <si>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</si>
  <si>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</si>
  <si>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</si>
  <si>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</si>
  <si>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</si>
  <si>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</si>
  <si>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</si>
  <si>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</si>
  <si>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</si>
  <si>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</si>
  <si>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</si>
  <si>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</si>
  <si>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</si>
  <si>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</si>
  <si>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</si>
  <si>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</si>
  <si>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</si>
  <si>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</si>
  <si>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</si>
  <si>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</si>
  <si>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</si>
  <si>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</si>
  <si>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</si>
  <si>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</si>
  <si>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</si>
  <si>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</si>
  <si>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</si>
  <si>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</si>
  <si>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</si>
  <si>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</si>
  <si>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</si>
  <si>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</si>
  <si>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</si>
  <si>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</si>
  <si>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</si>
  <si>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</si>
  <si>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</si>
  <si>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</si>
  <si>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</si>
  <si>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</si>
  <si>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</si>
  <si>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</si>
  <si>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</si>
  <si>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</si>
  <si>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</si>
  <si>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</si>
  <si>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</si>
  <si>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</si>
  <si>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</si>
  <si>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</si>
  <si>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</si>
  <si>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</si>
  <si>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</si>
  <si>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</si>
  <si>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</si>
  <si>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</si>
  <si>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</si>
  <si>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</si>
  <si>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</si>
  <si>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</si>
  <si>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</si>
  <si>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</si>
  <si>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</si>
  <si>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</si>
  <si>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</si>
  <si>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</si>
  <si>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</si>
  <si>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</si>
  <si>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</si>
  <si>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</si>
  <si>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</si>
  <si>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</si>
  <si>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</si>
  <si>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</si>
  <si>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</si>
  <si>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</si>
  <si>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</si>
  <si>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</si>
  <si>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</si>
  <si>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</si>
  <si>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</si>
  <si>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</si>
  <si>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</si>
  <si>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</si>
  <si>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</si>
  <si>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</si>
  <si>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</si>
  <si>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</si>
  <si>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</si>
  <si>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</si>
  <si>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</si>
  <si>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</si>
  <si>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</si>
  <si>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</si>
  <si>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</si>
  <si>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</si>
  <si>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</si>
  <si>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</si>
  <si>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</si>
  <si>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</si>
  <si>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</si>
  <si>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</si>
  <si>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</si>
  <si>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</si>
  <si>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</si>
  <si>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</si>
  <si>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</si>
  <si>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</si>
  <si>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</si>
  <si>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</si>
  <si>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</si>
  <si>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</si>
  <si>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</si>
  <si>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</si>
  <si>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</si>
  <si>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商业2-57</t>
  </si>
  <si>
    <t>商业2-57</t>
    <phoneticPr fontId="7" type="noConversion"/>
  </si>
  <si>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</si>
  <si>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</si>
  <si>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</si>
  <si>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</si>
  <si>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</si>
  <si>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</si>
  <si>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</si>
  <si>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</si>
  <si>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</si>
  <si>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</si>
  <si>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</si>
  <si>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</si>
  <si>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</si>
  <si>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</si>
  <si>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</si>
  <si>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</si>
  <si>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</si>
  <si>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</si>
  <si>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</si>
  <si>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</si>
  <si>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</si>
  <si>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</si>
  <si>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</si>
  <si>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</si>
  <si>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</si>
  <si>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2-57</t>
    <phoneticPr fontId="134" type="noConversion"/>
  </si>
  <si>
    <t>阳光上东-安徒生花园底商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</si>
</sst>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cell r="F19">
            <v>110.83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估价对象为北京市房地产，为所有。根据《国有土地使用证》[]，估价对象（分摊）出让国有建设用地使用权面积为0平方米，建筑面积为110.83平方米。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估价对象为北京市房地产,属开发建设的，该项目尚在开发建设中。根据《国有土地使用证》[]，估价对象（分摊）出让国有建设用地使用权面积为0平方米，规划建筑面积为110.83平方米。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411</v>
      </c>
    </row>
    <row r="21" spans="1:2">
      <c r="A21" s="1118" t="s">
        <v>537</v>
      </c>
      <c r="B21" s="1119">
        <f ca="1">'预评函-2'!D7</f>
        <v>37074</v>
      </c>
    </row>
    <row r="22" spans="1:2">
      <c r="A22" s="1118" t="s">
        <v>538</v>
      </c>
      <c r="B22" s="1119" t="str">
        <f ca="1">'预评函-2'!D6</f>
        <v>肆佰壹拾壹万元整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411</v>
      </c>
    </row>
    <row r="31" spans="1:2">
      <c r="A31" s="1118" t="s">
        <v>576</v>
      </c>
      <c r="B31" s="1119">
        <f ca="1">'预评函-2'!D15</f>
        <v>37074</v>
      </c>
    </row>
    <row r="32" spans="1:2">
      <c r="A32" s="1118" t="s">
        <v>543</v>
      </c>
      <c r="B32" s="1119" t="str">
        <f ca="1">'预评函-2'!D14</f>
        <v>肆佰壹拾壹万元整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110.83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345</v>
      </c>
    </row>
    <row r="48" spans="1:2">
      <c r="A48" s="1118" t="s">
        <v>549</v>
      </c>
      <c r="B48" s="1119">
        <f ca="1">'预评函-3'!E4</f>
        <v>31105</v>
      </c>
    </row>
    <row r="49" spans="1:2">
      <c r="A49" s="1118" t="s">
        <v>550</v>
      </c>
      <c r="B49" s="1119" t="str">
        <f ca="1">'预评函-3'!D5</f>
        <v>叁佰肆拾伍万元整</v>
      </c>
    </row>
    <row r="50" spans="1:2">
      <c r="A50" s="1118" t="s">
        <v>574</v>
      </c>
      <c r="B50" s="1119" t="str">
        <f>'预评函-3'!F2</f>
        <v>在建建筑物价值</v>
      </c>
    </row>
    <row r="51" spans="1:2">
      <c r="A51" s="1118" t="s">
        <v>551</v>
      </c>
      <c r="B51" s="1119">
        <f ca="1">'预评函-3'!F4</f>
        <v>66</v>
      </c>
    </row>
    <row r="52" spans="1:2">
      <c r="A52" s="1118" t="s">
        <v>552</v>
      </c>
      <c r="B52" s="1119">
        <f ca="1">'预评函-3'!G4</f>
        <v>5969</v>
      </c>
    </row>
    <row r="53" spans="1:2">
      <c r="A53" s="1118" t="s">
        <v>580</v>
      </c>
      <c r="B53" s="1119" t="str">
        <f ca="1">'预评函-3'!F5</f>
        <v>陆拾陆万元整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5" thickBot="1">
      <c r="A18" s="2772" t="s">
        <v>2511</v>
      </c>
      <c r="B18" s="2773">
        <f>ROUND(B17*F11/F12,2)</f>
        <v>5541.87</v>
      </c>
      <c r="C18" s="2773">
        <f>ROUND(F11/F12,4)</f>
        <v>1.1521999999999999</v>
      </c>
      <c r="D18" s="2774"/>
      <c r="E18" s="2774"/>
      <c r="F18" s="2775"/>
    </row>
    <row r="19" spans="1:14" ht="15" thickBot="1"/>
    <row r="20" spans="1:14" s="2808" customFormat="1" ht="1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C4:S18"/>
  <sheetViews>
    <sheetView topLeftCell="A47" zoomScale="70" zoomScaleNormal="70" workbookViewId="0">
      <selection activeCell="AB75" sqref="AB75"/>
    </sheetView>
  </sheetViews>
  <sheetFormatPr defaultColWidth="9" defaultRowHeight="14.4"/>
  <cols>
    <col min="1" max="2" width="9" style="3162"/>
    <col min="3" max="3" width="25" style="3162" bestFit="1" customWidth="1"/>
    <col min="4" max="4" width="31.21875" style="3162" bestFit="1" customWidth="1"/>
    <col min="5" max="7" width="9" style="3162"/>
    <col min="8" max="8" width="11.6640625" style="3162" bestFit="1" customWidth="1"/>
    <col min="9" max="16384" width="9" style="3162"/>
  </cols>
  <sheetData>
    <row r="4" spans="3:8">
      <c r="C4" s="3162" t="s">
        <v>3407</v>
      </c>
      <c r="D4" s="3162" t="s">
        <v>3408</v>
      </c>
      <c r="E4" s="3162">
        <v>110.83</v>
      </c>
    </row>
    <row r="5" spans="3:8">
      <c r="C5" s="3162" t="s">
        <v>3409</v>
      </c>
      <c r="D5" s="3162" t="s">
        <v>3410</v>
      </c>
      <c r="E5" s="3162">
        <v>84.97</v>
      </c>
    </row>
    <row r="6" spans="3:8">
      <c r="C6" s="3162" t="s">
        <v>3411</v>
      </c>
      <c r="D6" s="3162" t="s">
        <v>3412</v>
      </c>
      <c r="E6" s="3162">
        <v>84.97</v>
      </c>
    </row>
    <row r="7" spans="3:8">
      <c r="C7" s="3162" t="s">
        <v>3413</v>
      </c>
      <c r="D7" s="3162" t="s">
        <v>3414</v>
      </c>
      <c r="E7" s="3162">
        <v>84.9</v>
      </c>
    </row>
    <row r="8" spans="3:8">
      <c r="C8" s="3162" t="s">
        <v>3415</v>
      </c>
      <c r="D8" s="3162" t="s">
        <v>3416</v>
      </c>
      <c r="E8" s="3162">
        <v>71.92</v>
      </c>
    </row>
    <row r="9" spans="3:8">
      <c r="E9" s="3162">
        <f>SUM(E4:E8)</f>
        <v>437.59</v>
      </c>
      <c r="G9" s="3162">
        <f ca="1">结果表!G20</f>
        <v>37074</v>
      </c>
      <c r="H9" s="3162">
        <f ca="1">E9*G9</f>
        <v>16223211.659999998</v>
      </c>
    </row>
    <row r="18" spans="19:19">
      <c r="S18" s="3162" t="s">
        <v>3481</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36" t="s">
        <v>2176</v>
      </c>
      <c r="E8" s="2201" t="s">
        <v>3457</v>
      </c>
      <c r="F8" s="2202"/>
      <c r="G8" s="2441"/>
      <c r="H8" s="2441"/>
      <c r="I8" s="2441"/>
      <c r="J8" s="2244"/>
      <c r="K8" s="2399"/>
      <c r="L8" s="2398"/>
      <c r="M8" s="2398"/>
      <c r="N8" s="2244"/>
      <c r="O8" s="1669"/>
      <c r="P8" s="2244"/>
      <c r="Q8" s="2244"/>
      <c r="R8" s="2244"/>
    </row>
    <row r="9" spans="1:30" ht="13.8" thickBot="1">
      <c r="A9" s="2203" t="s">
        <v>2177</v>
      </c>
      <c r="B9" s="2204" t="s">
        <v>3457</v>
      </c>
      <c r="C9" s="2205"/>
      <c r="D9" s="3237"/>
      <c r="E9" s="2204" t="s">
        <v>43</v>
      </c>
      <c r="F9" s="2206"/>
      <c r="G9" s="2442"/>
      <c r="H9" s="2442"/>
      <c r="I9" s="2442"/>
      <c r="J9" s="2244"/>
      <c r="K9" s="2401"/>
      <c r="L9" s="2398"/>
      <c r="M9" s="2398"/>
      <c r="N9" s="2244"/>
      <c r="O9" s="1669"/>
      <c r="P9" s="2244"/>
      <c r="Q9" s="2244"/>
      <c r="R9" s="2244"/>
    </row>
    <row r="10" spans="1:30" ht="13.8"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43"/>
      <c r="C16" s="3244"/>
      <c r="D16" s="3245"/>
      <c r="E16" s="2221" t="s">
        <v>2193</v>
      </c>
      <c r="F16" s="3246"/>
      <c r="G16" s="3247"/>
      <c r="H16" s="3247"/>
      <c r="I16" s="3248"/>
      <c r="J16" s="2244"/>
      <c r="K16" s="2402"/>
      <c r="L16" s="1669"/>
      <c r="M16" s="1669"/>
      <c r="N16" s="2244"/>
      <c r="O16" s="1669"/>
      <c r="P16" s="2244"/>
      <c r="Q16" s="2244"/>
      <c r="R16" s="2244"/>
    </row>
    <row r="17" spans="1:28">
      <c r="A17" s="305" t="s">
        <v>2194</v>
      </c>
      <c r="B17" s="294" t="s">
        <v>2195</v>
      </c>
      <c r="C17" s="8">
        <f>'数据-汇总表'!E3</f>
        <v>110.83</v>
      </c>
      <c r="D17" s="1255" t="s">
        <v>2196</v>
      </c>
      <c r="E17" s="3249" t="s">
        <v>2197</v>
      </c>
      <c r="F17" s="3250"/>
      <c r="G17" s="3250"/>
      <c r="H17" s="3250"/>
      <c r="I17" s="3251"/>
      <c r="J17" s="2244"/>
      <c r="K17" s="2403"/>
      <c r="L17" s="1669"/>
      <c r="M17" s="1669"/>
      <c r="N17" s="2244"/>
      <c r="O17" s="1669"/>
      <c r="P17" s="2244"/>
      <c r="Q17" s="2244"/>
      <c r="R17" s="2244"/>
      <c r="S17" s="2244"/>
      <c r="T17" s="2244"/>
      <c r="U17" s="2244"/>
      <c r="V17" s="2244"/>
    </row>
    <row r="18" spans="1:28" ht="24.6" thickBot="1">
      <c r="A18" s="2222" t="s">
        <v>2198</v>
      </c>
      <c r="B18" s="1026" t="s">
        <v>2199</v>
      </c>
      <c r="C18" s="2223">
        <f>'数据-汇总表'!D3</f>
        <v>0</v>
      </c>
      <c r="D18" s="1028" t="s">
        <v>2200</v>
      </c>
      <c r="E18" s="3252" t="s">
        <v>2201</v>
      </c>
      <c r="F18" s="3253"/>
      <c r="G18" s="3253"/>
      <c r="H18" s="3253"/>
      <c r="I18" s="3254"/>
      <c r="J18" s="2244"/>
      <c r="K18" s="2403"/>
      <c r="L18" s="1669"/>
      <c r="M18" s="1669"/>
      <c r="N18" s="2244"/>
      <c r="O18" s="1669"/>
      <c r="P18" s="2244"/>
      <c r="Q18" s="2244"/>
      <c r="R18" s="2244"/>
      <c r="S18" s="2244"/>
      <c r="T18" s="2244"/>
      <c r="U18" s="2244"/>
      <c r="V18" s="2244"/>
    </row>
    <row r="19" spans="1:28" ht="37.200000000000003"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9" t="s">
        <v>2205</v>
      </c>
      <c r="C20" s="3240"/>
      <c r="D20" s="3241" t="s">
        <v>2206</v>
      </c>
      <c r="E20" s="3242"/>
      <c r="F20" s="2429" t="s">
        <v>1055</v>
      </c>
      <c r="G20" s="2441"/>
      <c r="H20" s="2441"/>
      <c r="I20" s="2441"/>
      <c r="J20" s="2244"/>
      <c r="K20" s="32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2208</v>
      </c>
      <c r="C21" s="2295" t="s">
        <v>1056</v>
      </c>
      <c r="D21" s="1459" t="s">
        <v>2209</v>
      </c>
      <c r="E21" s="2418" t="s">
        <v>1056</v>
      </c>
      <c r="F21" s="2430"/>
      <c r="G21" s="2441"/>
      <c r="H21" s="2441"/>
      <c r="I21" s="2441"/>
      <c r="J21" s="2244"/>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2210</v>
      </c>
      <c r="C22" s="2295" t="s">
        <v>1057</v>
      </c>
      <c r="D22" s="2441"/>
      <c r="E22" s="2441"/>
      <c r="F22" s="2441"/>
      <c r="G22" s="2441"/>
      <c r="H22" s="2441"/>
      <c r="I22" s="2441"/>
      <c r="J22" s="2244"/>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27"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7"/>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7"/>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8"/>
      <c r="B30" s="294" t="s">
        <v>2217</v>
      </c>
      <c r="C30" s="3229"/>
      <c r="D30" s="3230"/>
      <c r="E30" s="2441"/>
      <c r="F30" s="2441"/>
      <c r="G30" s="2441"/>
      <c r="H30" s="2441"/>
      <c r="I30" s="2441"/>
      <c r="J30" s="2244"/>
      <c r="K30" s="2401"/>
      <c r="L30" s="2398"/>
      <c r="M30" s="2398"/>
      <c r="N30" s="2244"/>
      <c r="O30" s="1669"/>
      <c r="P30" s="2244"/>
      <c r="Q30" s="2244"/>
      <c r="R30" s="2244"/>
      <c r="S30" s="2244"/>
      <c r="T30" s="2244"/>
      <c r="U30" s="2244"/>
      <c r="V30" s="2244"/>
    </row>
    <row r="31" spans="1:28">
      <c r="A31" s="3231"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44"/>
      <c r="V34" s="2244"/>
    </row>
    <row r="35" spans="1:30">
      <c r="A35" s="2235"/>
      <c r="B35" s="3226" t="s">
        <v>2228</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8671875" defaultRowHeight="13.8"/>
  <cols>
    <col min="1" max="1" width="10.6640625" style="1462" customWidth="1"/>
    <col min="2" max="2" width="11" style="1462" customWidth="1"/>
    <col min="3" max="3" width="28.44140625" style="1462" bestFit="1"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110.83</v>
      </c>
      <c r="BA5" s="15">
        <f t="shared" si="1"/>
        <v>110.83</v>
      </c>
      <c r="BB5" s="15">
        <f t="shared" si="1"/>
        <v>110.83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3.2">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3461</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110.83</v>
      </c>
      <c r="BA13" s="13">
        <f>SUM(BB13:BK13)</f>
        <v>110.83</v>
      </c>
      <c r="BB13" s="13">
        <f>IF($D13="是",I13-J13,0)</f>
        <v>110.83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1129</v>
      </c>
      <c r="B1" s="1070"/>
      <c r="C1" s="1070"/>
      <c r="D1" s="1070"/>
      <c r="E1" s="1070"/>
      <c r="F1" s="1070"/>
      <c r="G1" s="1070"/>
      <c r="H1" s="1070"/>
      <c r="I1" s="1070"/>
      <c r="J1" s="1070"/>
      <c r="K1" s="1070"/>
      <c r="L1" s="1070"/>
      <c r="M1" s="1070"/>
      <c r="N1" s="1070"/>
      <c r="O1" s="1070"/>
      <c r="P1" s="1070"/>
    </row>
    <row r="2" spans="1:16" ht="14.4">
      <c r="A2" s="3264" t="s">
        <v>1130</v>
      </c>
      <c r="B2" s="3264"/>
      <c r="C2" s="3264"/>
      <c r="D2" s="747" t="s">
        <v>1106</v>
      </c>
      <c r="E2" s="1522" t="s">
        <v>1107</v>
      </c>
      <c r="F2" s="2438"/>
      <c r="G2" s="2431"/>
      <c r="H2" s="2432"/>
      <c r="I2" s="2145" t="s">
        <v>1131</v>
      </c>
      <c r="J2" s="2438"/>
      <c r="K2" s="2438"/>
      <c r="L2" s="2438"/>
      <c r="M2" s="2438"/>
      <c r="N2" s="2439"/>
      <c r="O2" s="2438"/>
      <c r="P2" s="2438"/>
    </row>
    <row r="3" spans="1:16" ht="15" thickBot="1">
      <c r="A3" s="3265" t="s">
        <v>1104</v>
      </c>
      <c r="B3" s="3265"/>
      <c r="C3" s="3265"/>
      <c r="D3" s="41">
        <f>'数据-基础表'!AY6</f>
        <v>0</v>
      </c>
      <c r="E3" s="41">
        <f>'数据-基础表'!AZ5</f>
        <v>110.83</v>
      </c>
      <c r="F3" s="2438"/>
      <c r="G3" s="42"/>
      <c r="H3" s="43" t="s">
        <v>1105</v>
      </c>
      <c r="I3" s="801" t="e">
        <f>ROUND('数据-基础表'!B3/'数据-基础表'!A3,2)</f>
        <v>#DIV/0!</v>
      </c>
      <c r="J3" s="2438"/>
      <c r="K3" s="2438"/>
      <c r="L3" s="2438"/>
      <c r="M3" s="2438"/>
      <c r="N3" s="2439"/>
      <c r="O3" s="2438"/>
      <c r="P3" s="2438"/>
    </row>
    <row r="4" spans="1:16" ht="14.4">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ht="14.4">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110.83</v>
      </c>
      <c r="F6" s="2438"/>
      <c r="G6" s="1528" t="s">
        <v>1111</v>
      </c>
      <c r="H6" s="45" t="s">
        <v>1112</v>
      </c>
      <c r="I6" s="2434" t="e">
        <f>ROUND(F31/D31,2)</f>
        <v>#DIV/0!</v>
      </c>
      <c r="J6" s="2438"/>
      <c r="K6" s="2438"/>
      <c r="L6" s="2438"/>
      <c r="M6" s="2438"/>
      <c r="N6" s="2438"/>
      <c r="O6" s="2438"/>
      <c r="P6" s="2438"/>
    </row>
    <row r="7" spans="1:16" ht="15" thickBot="1">
      <c r="A7" s="3261"/>
      <c r="B7" s="3262"/>
      <c r="C7" s="3263"/>
      <c r="D7" s="1523" t="s">
        <v>1106</v>
      </c>
      <c r="E7" s="1527" t="s">
        <v>1113</v>
      </c>
      <c r="F7" s="2438"/>
      <c r="G7" s="2435" t="s">
        <v>1114</v>
      </c>
      <c r="H7" s="95"/>
      <c r="I7" s="2436"/>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110.83</v>
      </c>
      <c r="F8" s="2438"/>
      <c r="G8" s="2438"/>
      <c r="H8" s="2438"/>
      <c r="I8" s="2438"/>
      <c r="J8" s="2438"/>
      <c r="K8" s="2438"/>
      <c r="L8" s="2438"/>
      <c r="M8" s="2438"/>
      <c r="N8" s="2438"/>
      <c r="O8" s="2438"/>
      <c r="P8" s="2438"/>
    </row>
    <row r="9" spans="1:16" ht="14.4">
      <c r="A9" s="1528"/>
      <c r="B9" s="1529"/>
      <c r="C9" s="43" t="s">
        <v>1118</v>
      </c>
      <c r="D9" s="43">
        <f t="shared" si="0"/>
        <v>0</v>
      </c>
      <c r="E9" s="47">
        <v>0</v>
      </c>
      <c r="F9" s="2438"/>
      <c r="G9" s="2438"/>
      <c r="H9" s="2438"/>
      <c r="I9" s="2438"/>
      <c r="J9" s="2438"/>
      <c r="K9" s="2438"/>
      <c r="L9" s="2438"/>
      <c r="M9" s="2438"/>
      <c r="N9" s="2438"/>
      <c r="O9" s="2438"/>
      <c r="P9" s="2438"/>
    </row>
    <row r="10" spans="1:16" ht="14.4">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1122</v>
      </c>
      <c r="D16" s="45">
        <f>SUM(D8:D15)</f>
        <v>0</v>
      </c>
      <c r="E16" s="48">
        <f>SUM(E8:E15)</f>
        <v>110.83</v>
      </c>
      <c r="F16" s="2438"/>
      <c r="G16" s="2438"/>
      <c r="H16" s="1530" t="s">
        <v>1134</v>
      </c>
      <c r="I16" s="1531"/>
      <c r="J16" s="1070"/>
      <c r="K16" s="3258" t="s">
        <v>1134</v>
      </c>
      <c r="L16" s="3259"/>
      <c r="M16" s="3259"/>
      <c r="N16" s="3259"/>
      <c r="O16" s="3259"/>
      <c r="P16" s="3260"/>
    </row>
    <row r="17" spans="1:19" ht="14.4">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4.4">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ht="14.4">
      <c r="A19" s="1548"/>
      <c r="B19" s="45" t="s">
        <v>1124</v>
      </c>
      <c r="C19" s="3115" t="s">
        <v>3464</v>
      </c>
      <c r="D19" s="43">
        <f>ROUND($D$3*E19/$E$3,2)</f>
        <v>0</v>
      </c>
      <c r="E19" s="51">
        <f t="shared" ref="E19:E26" si="1">SUM(F19:G19)</f>
        <v>110.83</v>
      </c>
      <c r="F19" s="2557">
        <f>'数据-基础表'!I13</f>
        <v>110.83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110.83</v>
      </c>
    </row>
    <row r="20" spans="1:19" ht="14.4">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1153</v>
      </c>
      <c r="D27" s="1071">
        <f>SUM(D19:D26)</f>
        <v>0</v>
      </c>
      <c r="E27" s="1072">
        <f>IF(SUM(E19:E26)='数据-基础表'!BA5,SUM(E19:E26),IF(F27="地上面积有误","面积有误","地下面积有误"))</f>
        <v>110.83</v>
      </c>
      <c r="F27" s="1071">
        <f>IF(SUM(F19:F26)=E8,SUM(F19:F26),"地上面积有误")</f>
        <v>110.83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110.83</v>
      </c>
    </row>
    <row r="28" spans="1:19" ht="14.4">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1157</v>
      </c>
      <c r="D31" s="642">
        <f>D27+D30</f>
        <v>0</v>
      </c>
      <c r="E31" s="642">
        <f>E27+E30</f>
        <v>110.83</v>
      </c>
      <c r="F31" s="643">
        <f>F27+F30</f>
        <v>110.83</v>
      </c>
      <c r="G31" s="644">
        <f>G27+G30</f>
        <v>0</v>
      </c>
      <c r="H31" s="2438"/>
      <c r="I31" s="2438"/>
      <c r="J31" s="2438"/>
      <c r="K31" s="2438"/>
      <c r="L31" s="2438"/>
      <c r="M31" s="2438"/>
      <c r="N31" s="2438"/>
      <c r="O31" s="2438"/>
      <c r="P31" s="2438"/>
    </row>
    <row r="32" spans="1:19" ht="14.4">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商业2-57</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110.83</v>
      </c>
      <c r="L6" s="3178">
        <v>4500</v>
      </c>
      <c r="M6" s="64">
        <f t="shared" ref="M6:M14" si="0">ROUND(K6*L6/10000,0)</f>
        <v>50</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3466</v>
      </c>
      <c r="AO6" s="50">
        <f ca="1">SUMIF(INDIRECT("'"&amp;AN6&amp;"'"&amp;"!A:A"),"总价",INDIRECT("'"&amp;AN6&amp;"'"&amp;"!B:B"))</f>
        <v>327.84390000000002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110.83</v>
      </c>
      <c r="L16" s="87">
        <f>ROUND(M16*10000/SUM(K6:K14),0)</f>
        <v>4511</v>
      </c>
      <c r="M16" s="87">
        <f>SUM(M6:M14)</f>
        <v>50</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1210</v>
      </c>
      <c r="B19" s="97">
        <v>0</v>
      </c>
      <c r="C19" s="2560" t="s">
        <v>2297</v>
      </c>
      <c r="D19" s="2451"/>
      <c r="E19" s="2438"/>
      <c r="F19" s="2438"/>
      <c r="G19" s="2438"/>
      <c r="H19" s="2438"/>
      <c r="I19" s="2438"/>
      <c r="J19" s="2438"/>
      <c r="K19" s="2449"/>
      <c r="L19" s="2449"/>
      <c r="M19" s="2448"/>
      <c r="N19" s="3177" t="s">
        <v>3478</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1211</v>
      </c>
      <c r="B20" s="98">
        <v>2</v>
      </c>
      <c r="C20" s="2561" t="s">
        <v>2295</v>
      </c>
      <c r="D20" s="2451"/>
      <c r="E20" s="2438"/>
      <c r="F20" s="2438"/>
      <c r="G20" s="2438"/>
      <c r="H20" s="2438"/>
      <c r="I20" s="2438"/>
      <c r="J20" s="2438"/>
      <c r="K20" s="2449"/>
      <c r="L20" s="2449"/>
      <c r="M20" s="2448"/>
      <c r="N20" s="3177" t="s">
        <v>3479</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1212</v>
      </c>
      <c r="B21" s="98">
        <v>2</v>
      </c>
      <c r="C21" s="2438"/>
      <c r="D21" s="2451"/>
      <c r="E21" s="2438"/>
      <c r="F21" s="2438"/>
      <c r="G21" s="2438"/>
      <c r="H21" s="2438"/>
      <c r="I21" s="2438"/>
      <c r="J21" s="2438"/>
      <c r="K21" s="2449"/>
      <c r="L21" s="2449"/>
      <c r="M21" s="2448"/>
      <c r="N21" s="3177" t="s">
        <v>3480</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1221</v>
      </c>
      <c r="B29" s="105">
        <f ca="1">'成本法 (元)'!C10/10000</f>
        <v>2.2166000000000001</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2277</v>
      </c>
      <c r="D2" s="1594"/>
      <c r="E2" s="2259"/>
      <c r="F2" s="2262"/>
      <c r="G2" s="2261" t="s">
        <v>2278</v>
      </c>
      <c r="H2" s="750"/>
      <c r="I2" s="750"/>
      <c r="J2" s="750"/>
      <c r="K2" s="750"/>
      <c r="L2" s="750"/>
      <c r="M2" s="750"/>
      <c r="N2" s="750"/>
      <c r="O2" s="750"/>
      <c r="P2" s="750"/>
      <c r="Q2" s="750"/>
    </row>
    <row r="3" spans="1:29" ht="39.6">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ht="24">
      <c r="A6" s="2247"/>
      <c r="B6" s="315" t="s">
        <v>2259</v>
      </c>
      <c r="C6" s="2270"/>
      <c r="D6" s="2265"/>
      <c r="E6" s="2269"/>
      <c r="F6" s="315" t="s">
        <v>2260</v>
      </c>
      <c r="G6" s="2270" t="s">
        <v>2261</v>
      </c>
      <c r="H6" s="750"/>
      <c r="I6" s="750"/>
      <c r="J6" s="750"/>
      <c r="K6" s="750"/>
      <c r="L6" s="750"/>
      <c r="M6" s="750"/>
      <c r="N6" s="750"/>
      <c r="O6" s="750"/>
      <c r="P6" s="750"/>
      <c r="Q6" s="750"/>
    </row>
    <row r="7" spans="1:29" ht="36.6"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4.4"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2282</v>
      </c>
      <c r="B13" s="2279"/>
      <c r="C13" s="2279"/>
      <c r="D13" s="2278"/>
      <c r="E13" s="2279"/>
      <c r="F13" s="2279"/>
      <c r="G13" s="2279"/>
    </row>
    <row r="14" spans="1:29" ht="14.4" thickBot="1">
      <c r="A14" s="2284"/>
      <c r="B14" s="2284"/>
      <c r="C14" s="2285" t="s">
        <v>2266</v>
      </c>
      <c r="D14" s="2265"/>
      <c r="E14" s="2286"/>
      <c r="F14" s="2286"/>
      <c r="G14" s="2261" t="s">
        <v>2267</v>
      </c>
    </row>
    <row r="15" spans="1:29" ht="39.6">
      <c r="A15" s="2249" t="s">
        <v>2268</v>
      </c>
      <c r="B15" s="2287" t="s">
        <v>2251</v>
      </c>
      <c r="C15" s="2288">
        <f>C3</f>
        <v>0</v>
      </c>
      <c r="D15" s="2265"/>
      <c r="E15" s="2250" t="s">
        <v>2269</v>
      </c>
      <c r="F15" s="2287" t="s">
        <v>2270</v>
      </c>
      <c r="G15" s="2289" t="str">
        <f>G3</f>
        <v>估价对象位于XX开发区，园区建设成熟度XX，产业集聚程度XX</v>
      </c>
    </row>
    <row r="16" spans="1:29" ht="39.6">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39.6">
      <c r="A18" s="2251"/>
      <c r="B18" s="2292" t="s">
        <v>2259</v>
      </c>
      <c r="C18" s="2293">
        <f>C6</f>
        <v>0</v>
      </c>
      <c r="D18" s="2244"/>
      <c r="E18" s="2252"/>
      <c r="F18" s="2292" t="s">
        <v>2262</v>
      </c>
      <c r="G18" s="2293" t="str">
        <f>G7</f>
        <v>该园区内是否有污染型企业，绿化情况，卫生条件，整体环境状况判断</v>
      </c>
    </row>
    <row r="19" spans="1:17" ht="26.4">
      <c r="A19" s="2251"/>
      <c r="B19" s="2292" t="s">
        <v>2272</v>
      </c>
      <c r="C19" s="2294"/>
      <c r="D19" s="2265"/>
      <c r="E19" s="2252"/>
      <c r="F19" s="315" t="s">
        <v>2257</v>
      </c>
      <c r="G19" s="2293" t="str">
        <f>G5</f>
        <v>估价对象所在区域公共配套设施齐备情况</v>
      </c>
    </row>
    <row r="20" spans="1:17" ht="26.4">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4.4"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4.4"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9" sqref="G9"/>
    </sheetView>
  </sheetViews>
  <sheetFormatPr defaultColWidth="9" defaultRowHeight="14.4"/>
  <cols>
    <col min="1" max="1" width="25" style="2300" customWidth="1"/>
    <col min="2" max="9" width="15.77734375" style="2300" customWidth="1"/>
    <col min="10" max="16384" width="9" style="2300"/>
  </cols>
  <sheetData>
    <row r="1" spans="1:11" ht="16.2">
      <c r="A1" s="2299" t="s">
        <v>664</v>
      </c>
      <c r="B1" s="2299">
        <f>SUM(B14:B23)</f>
        <v>110.83</v>
      </c>
      <c r="C1" s="2461"/>
      <c r="D1" s="2461"/>
      <c r="E1" s="2461"/>
      <c r="F1" s="2461"/>
      <c r="G1" s="2462"/>
      <c r="H1" s="2462"/>
      <c r="I1" s="2462"/>
      <c r="J1" s="2462"/>
      <c r="K1" s="2462"/>
    </row>
    <row r="2" spans="1:11" ht="16.2">
      <c r="A2" s="2299" t="s">
        <v>652</v>
      </c>
      <c r="B2" s="2299">
        <f>SUM(C14:C23)</f>
        <v>0</v>
      </c>
      <c r="C2" s="2461"/>
      <c r="D2" s="2461"/>
      <c r="E2" s="2461"/>
      <c r="F2" s="2461"/>
      <c r="G2" s="2462"/>
      <c r="H2" s="2462"/>
      <c r="I2" s="2462"/>
      <c r="J2" s="2462"/>
      <c r="K2" s="2462"/>
    </row>
    <row r="3" spans="1:11" ht="15.6">
      <c r="A3" s="2299" t="s">
        <v>661</v>
      </c>
      <c r="B3" s="2301">
        <f>项目基本情况!D3</f>
        <v>45793</v>
      </c>
      <c r="C3" s="2461"/>
      <c r="D3" s="2461"/>
      <c r="E3" s="2461"/>
      <c r="F3" s="2461"/>
      <c r="G3" s="2462"/>
      <c r="H3" s="2462"/>
      <c r="I3" s="2462"/>
      <c r="J3" s="2462"/>
      <c r="K3" s="2462"/>
    </row>
    <row r="4" spans="1:11" ht="31.2">
      <c r="A4" s="2299" t="s">
        <v>660</v>
      </c>
      <c r="B4" s="2299" t="s">
        <v>659</v>
      </c>
      <c r="C4" s="2299" t="s">
        <v>658</v>
      </c>
      <c r="D4" s="2299" t="s">
        <v>657</v>
      </c>
      <c r="E4" s="2461"/>
      <c r="F4" s="2462"/>
      <c r="G4" s="2462"/>
      <c r="H4" s="2462"/>
      <c r="I4" s="2462"/>
      <c r="J4" s="2462"/>
      <c r="K4" s="2462"/>
    </row>
    <row r="5" spans="1:11" ht="15.6">
      <c r="A5" s="2299" t="s">
        <v>656</v>
      </c>
      <c r="B5" s="2299">
        <f ca="1">SUM(D14:D23)</f>
        <v>410.89109999999999</v>
      </c>
      <c r="C5" s="2299">
        <f ca="1">IF(B5=D14,结果表!H102,ROUND(B5*10000/$B$1,0))</f>
        <v>37074</v>
      </c>
      <c r="D5" s="2299" t="e">
        <f ca="1">ROUND(B5*10000/$B$2,0)</f>
        <v>#DIV/0!</v>
      </c>
      <c r="E5" s="2461"/>
      <c r="F5" s="2461"/>
      <c r="G5" s="2461"/>
      <c r="H5" s="2461"/>
      <c r="I5" s="2461"/>
      <c r="J5" s="2461"/>
      <c r="K5" s="2461"/>
    </row>
    <row r="6" spans="1:11" ht="15.6">
      <c r="A6" s="2299" t="s">
        <v>655</v>
      </c>
      <c r="B6" s="2299">
        <f ca="1">SUM(G14:G23)</f>
        <v>410.89109999999999</v>
      </c>
      <c r="C6" s="2299">
        <f ca="1">IF(B6=G14,结果表!H108,ROUND(B6*10000/$B$1,0))</f>
        <v>37074</v>
      </c>
      <c r="D6" s="2299" t="e">
        <f ca="1">ROUND(B6*10000/$B$2,0)</f>
        <v>#DIV/0!</v>
      </c>
      <c r="E6" s="2461"/>
      <c r="F6" s="2461"/>
      <c r="G6" s="2461"/>
      <c r="H6" s="2461"/>
      <c r="I6" s="2461"/>
      <c r="J6" s="2461"/>
      <c r="K6" s="2461"/>
    </row>
    <row r="7" spans="1:11" ht="15.6">
      <c r="A7" s="2299" t="s">
        <v>663</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654</v>
      </c>
      <c r="B9" s="1243"/>
      <c r="C9" s="2461"/>
      <c r="D9" s="2461"/>
      <c r="E9" s="2461"/>
      <c r="F9" s="2462"/>
      <c r="G9" s="2462"/>
      <c r="H9" s="2462"/>
      <c r="I9" s="2462"/>
      <c r="J9" s="2462"/>
      <c r="K9" s="2462"/>
    </row>
    <row r="10" spans="1:11" ht="15.6">
      <c r="A10" s="2299" t="s">
        <v>653</v>
      </c>
      <c r="B10" s="2299">
        <f>IF(E10="",0,ROUND(B1*(E10*365/G10)/10000,0))</f>
        <v>0</v>
      </c>
      <c r="C10" s="2299" t="s">
        <v>3351</v>
      </c>
      <c r="D10" s="2299" t="s">
        <v>3352</v>
      </c>
      <c r="E10" s="3136"/>
      <c r="F10" s="3140" t="s">
        <v>3353</v>
      </c>
      <c r="G10" s="3137"/>
      <c r="H10" s="2462"/>
      <c r="I10" s="2462"/>
      <c r="J10" s="2462"/>
      <c r="K10" s="2462"/>
    </row>
    <row r="11" spans="1:11" ht="15.6">
      <c r="A11" s="2299" t="s">
        <v>669</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668</v>
      </c>
      <c r="B13" s="2303" t="s">
        <v>665</v>
      </c>
      <c r="C13" s="2303" t="s">
        <v>667</v>
      </c>
      <c r="D13" s="2303" t="s">
        <v>666</v>
      </c>
      <c r="E13" s="2299" t="s">
        <v>658</v>
      </c>
      <c r="F13" s="2299" t="s">
        <v>657</v>
      </c>
      <c r="G13" s="2303" t="s">
        <v>651</v>
      </c>
      <c r="H13" s="2303" t="s">
        <v>662</v>
      </c>
      <c r="I13" s="2303" t="s">
        <v>650</v>
      </c>
      <c r="J13" s="2462"/>
      <c r="K13" s="2462"/>
    </row>
    <row r="14" spans="1:11" ht="15.6">
      <c r="A14" s="2304" t="s">
        <v>3490</v>
      </c>
      <c r="B14" s="2305">
        <f>'数据-汇总表'!E3</f>
        <v>110.83</v>
      </c>
      <c r="C14" s="2305"/>
      <c r="D14" s="2305">
        <f ca="1">结果表!I19/10000</f>
        <v>410.89109999999999</v>
      </c>
      <c r="E14" s="2305">
        <f ca="1">ROUND(D14*10000/B14,0)</f>
        <v>37074</v>
      </c>
      <c r="F14" s="2305" t="e">
        <f ca="1">ROUND(D14*10000/C14,0)</f>
        <v>#DIV/0!</v>
      </c>
      <c r="G14" s="2305">
        <f ca="1">D14</f>
        <v>410.89109999999999</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D123" sqref="D123:I12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06" t="str">
        <f>项目基本情况!S2</f>
        <v>北京市房地产</v>
      </c>
      <c r="B2" s="3307"/>
      <c r="C2" s="3307"/>
      <c r="D2" s="3307"/>
      <c r="E2" s="3307"/>
      <c r="F2" s="3307"/>
      <c r="G2" s="3307"/>
      <c r="H2" s="3307"/>
      <c r="I2" s="3308"/>
    </row>
    <row r="3" spans="1:12" ht="13.2">
      <c r="A3" s="3310" t="s">
        <v>1263</v>
      </c>
      <c r="B3" s="3311"/>
      <c r="C3" s="3311"/>
      <c r="D3" s="3311"/>
      <c r="E3" s="3311"/>
      <c r="F3" s="3311"/>
      <c r="G3" s="3311"/>
      <c r="H3" s="3311"/>
      <c r="I3" s="3311"/>
    </row>
    <row r="4" spans="1:12" ht="14.4">
      <c r="A4" s="1623" t="s">
        <v>1264</v>
      </c>
      <c r="B4" s="1624" t="s">
        <v>1265</v>
      </c>
      <c r="C4" s="1625" t="s">
        <v>3477</v>
      </c>
      <c r="D4" s="1625" t="s">
        <v>3466</v>
      </c>
      <c r="E4" s="3312" t="s">
        <v>1266</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1267</v>
      </c>
      <c r="B5" s="3273">
        <v>25</v>
      </c>
      <c r="C5" s="3289"/>
      <c r="D5" s="3309"/>
      <c r="E5" s="123" t="s">
        <v>1268</v>
      </c>
      <c r="F5" s="1626"/>
      <c r="G5" s="1626"/>
      <c r="H5" s="1626"/>
      <c r="I5" s="1280"/>
    </row>
    <row r="6" spans="1:12" ht="13.2">
      <c r="A6" s="3286"/>
      <c r="B6" s="3273"/>
      <c r="C6" s="3290"/>
      <c r="D6" s="3309"/>
      <c r="E6" s="123" t="s">
        <v>1269</v>
      </c>
      <c r="F6" s="1626"/>
      <c r="G6" s="1626"/>
      <c r="H6" s="1626"/>
      <c r="I6" s="1280"/>
    </row>
    <row r="7" spans="1:12" ht="13.2">
      <c r="A7" s="3286"/>
      <c r="B7" s="3273"/>
      <c r="C7" s="3291"/>
      <c r="D7" s="3309"/>
      <c r="E7" s="123" t="s">
        <v>1270</v>
      </c>
      <c r="F7" s="1626"/>
      <c r="G7" s="1626"/>
      <c r="H7" s="1626"/>
      <c r="I7" s="1280"/>
    </row>
    <row r="8" spans="1:12" ht="13.2">
      <c r="A8" s="3286" t="s">
        <v>1271</v>
      </c>
      <c r="B8" s="3273">
        <v>15</v>
      </c>
      <c r="C8" s="3289"/>
      <c r="D8" s="3309"/>
      <c r="E8" s="123" t="s">
        <v>1272</v>
      </c>
      <c r="F8" s="1626"/>
      <c r="G8" s="1626"/>
      <c r="H8" s="1626"/>
      <c r="I8" s="1280"/>
    </row>
    <row r="9" spans="1:12" ht="13.2">
      <c r="A9" s="3286"/>
      <c r="B9" s="3273"/>
      <c r="C9" s="3291"/>
      <c r="D9" s="3309"/>
      <c r="E9" s="123" t="s">
        <v>1273</v>
      </c>
      <c r="F9" s="1626"/>
      <c r="G9" s="1626"/>
      <c r="H9" s="1626"/>
      <c r="I9" s="1280"/>
    </row>
    <row r="10" spans="1:12" ht="13.2">
      <c r="A10" s="3286" t="s">
        <v>1274</v>
      </c>
      <c r="B10" s="3273">
        <v>15</v>
      </c>
      <c r="C10" s="3289"/>
      <c r="D10" s="3309"/>
      <c r="E10" s="123" t="s">
        <v>1275</v>
      </c>
      <c r="F10" s="1626"/>
      <c r="G10" s="1626"/>
      <c r="H10" s="1626"/>
      <c r="I10" s="1280"/>
    </row>
    <row r="11" spans="1:12" ht="13.2">
      <c r="A11" s="3286"/>
      <c r="B11" s="3273"/>
      <c r="C11" s="3291"/>
      <c r="D11" s="3309"/>
      <c r="E11" s="123" t="s">
        <v>1276</v>
      </c>
      <c r="F11" s="1626"/>
      <c r="G11" s="1626"/>
      <c r="H11" s="1626"/>
      <c r="I11" s="1280"/>
    </row>
    <row r="12" spans="1:12" ht="13.2">
      <c r="A12" s="3286" t="s">
        <v>1277</v>
      </c>
      <c r="B12" s="3273">
        <v>15</v>
      </c>
      <c r="C12" s="3289"/>
      <c r="D12" s="3309"/>
      <c r="E12" s="123" t="s">
        <v>1278</v>
      </c>
      <c r="F12" s="1626"/>
      <c r="G12" s="1626"/>
      <c r="H12" s="1626"/>
      <c r="I12" s="1280"/>
    </row>
    <row r="13" spans="1:12" ht="13.2">
      <c r="A13" s="3286"/>
      <c r="B13" s="3273"/>
      <c r="C13" s="3291"/>
      <c r="D13" s="3309"/>
      <c r="E13" s="123" t="s">
        <v>1279</v>
      </c>
      <c r="F13" s="1626"/>
      <c r="G13" s="1626"/>
      <c r="H13" s="1626"/>
      <c r="I13" s="1280"/>
    </row>
    <row r="14" spans="1:12" ht="13.2">
      <c r="A14" s="3286" t="s">
        <v>1280</v>
      </c>
      <c r="B14" s="3273">
        <v>30</v>
      </c>
      <c r="C14" s="3289">
        <v>6</v>
      </c>
      <c r="D14" s="3309">
        <v>4</v>
      </c>
      <c r="E14" s="123" t="s">
        <v>1281</v>
      </c>
      <c r="F14" s="1626"/>
      <c r="G14" s="1626"/>
      <c r="H14" s="1626"/>
      <c r="I14" s="1280"/>
    </row>
    <row r="15" spans="1:12" ht="13.2">
      <c r="A15" s="3286"/>
      <c r="B15" s="3273"/>
      <c r="C15" s="3290"/>
      <c r="D15" s="3309"/>
      <c r="E15" s="123" t="s">
        <v>1282</v>
      </c>
      <c r="F15" s="1626"/>
      <c r="G15" s="1626"/>
      <c r="H15" s="1626"/>
      <c r="I15" s="1280"/>
    </row>
    <row r="16" spans="1:12" ht="13.2">
      <c r="A16" s="3286"/>
      <c r="B16" s="3273"/>
      <c r="C16" s="3291"/>
      <c r="D16" s="3309"/>
      <c r="E16" s="123" t="s">
        <v>1283</v>
      </c>
      <c r="F16" s="1626"/>
      <c r="G16" s="1626"/>
      <c r="H16" s="1626"/>
      <c r="I16" s="1280"/>
    </row>
    <row r="17" spans="1:36" ht="14.4">
      <c r="A17" s="1627" t="s">
        <v>1284</v>
      </c>
      <c r="B17" s="54"/>
      <c r="C17" s="124">
        <f>SUM(C5:C16)</f>
        <v>6</v>
      </c>
      <c r="D17" s="124">
        <f>SUM(D5:D16)</f>
        <v>4</v>
      </c>
      <c r="E17" s="121"/>
      <c r="F17" s="121"/>
      <c r="G17" s="121"/>
      <c r="H17" s="121"/>
      <c r="I17" s="121"/>
      <c r="K17" s="294"/>
      <c r="L17" s="294" t="s">
        <v>1285</v>
      </c>
      <c r="M17" s="294" t="s">
        <v>1286</v>
      </c>
    </row>
    <row r="18" spans="1:36" ht="31.95" customHeight="1" thickBot="1">
      <c r="A18" s="1628" t="s">
        <v>1287</v>
      </c>
      <c r="B18" s="1541"/>
      <c r="C18" s="125">
        <f>ROUND(C17/SUM(C17:D17),2)</f>
        <v>0.6</v>
      </c>
      <c r="D18" s="125">
        <f>1-C18</f>
        <v>0.4</v>
      </c>
      <c r="E18" s="3296" t="s">
        <v>2130</v>
      </c>
      <c r="F18" s="3297"/>
      <c r="G18" s="3297"/>
      <c r="H18" s="3297"/>
      <c r="I18" s="3297"/>
      <c r="K18" s="294" t="s">
        <v>1288</v>
      </c>
      <c r="L18" s="294">
        <f>IF(C1="",'数据-汇总表'!E3,SUMIF(项目类型,C1,'数据-汇总表'!E17:E26)+SUMIF(项目类型,C1,'数据-汇总表'!I17:I26))</f>
        <v>110.83</v>
      </c>
      <c r="M18" s="294">
        <f>IF(C1="",'数据-汇总表'!E3,SUMIF(项目类型,C1,'数据-汇总表'!E17:E26))</f>
        <v>110.83</v>
      </c>
    </row>
    <row r="19" spans="1:36" ht="14.4">
      <c r="A19" s="1629" t="s">
        <v>1289</v>
      </c>
      <c r="B19" s="1630" t="s">
        <v>1290</v>
      </c>
      <c r="C19" s="126">
        <f ca="1">SUMIF(INDIRECT("'"&amp;C4&amp;"'"&amp;"!A:A"),结果表!B19,INDIRECT("'"&amp;C4&amp;"'"&amp;"!B:B"))</f>
        <v>466.26179999999999</v>
      </c>
      <c r="D19" s="127">
        <f ca="1">SUMIF(INDIRECT("'"&amp;D4&amp;"'"&amp;"!A:A"),结果表!B19,INDIRECT("'"&amp;D4&amp;"'"&amp;"!B:B"))</f>
        <v>327.84390000000002</v>
      </c>
      <c r="E19" s="1629" t="s">
        <v>1291</v>
      </c>
      <c r="F19" s="1630" t="s">
        <v>1290</v>
      </c>
      <c r="G19" s="128">
        <f ca="1">ROUND(C19*$C$18+D19*$D$18,0)</f>
        <v>411</v>
      </c>
      <c r="H19" s="1631" t="s">
        <v>1292</v>
      </c>
      <c r="I19" s="121">
        <f ca="1">ROUND(G20*'数据-汇总表'!E3,0)</f>
        <v>4108911</v>
      </c>
      <c r="K19" s="294" t="s">
        <v>1293</v>
      </c>
      <c r="L19" s="294">
        <f>IF(C1="",'数据-汇总表'!D3,SUMIF(项目类型,C1,'数据-汇总表'!D17:D26)+SUMIF(项目类型,C1,'数据-汇总表'!H17:H27))</f>
        <v>0</v>
      </c>
      <c r="M19" s="294">
        <f>IF(C1="",'数据-汇总表'!D3,SUMIF(项目类型,C1,'数据-汇总表'!D17:D26))</f>
        <v>0</v>
      </c>
    </row>
    <row r="20" spans="1:36" ht="14.4">
      <c r="A20" s="1632"/>
      <c r="B20" s="43" t="s">
        <v>1294</v>
      </c>
      <c r="C20" s="129">
        <f ca="1">SUMIF(INDIRECT("'"&amp;C4&amp;"'"&amp;"!A:A"),结果表!B20,INDIRECT("'"&amp;C4&amp;"'"&amp;"!B:B"))</f>
        <v>42070</v>
      </c>
      <c r="D20" s="130">
        <f ca="1">SUMIF(INDIRECT("'"&amp;D4&amp;"'"&amp;"!A:A"),结果表!B20,INDIRECT("'"&amp;D4&amp;"'"&amp;"!B:B"))</f>
        <v>29581</v>
      </c>
      <c r="E20" s="1632"/>
      <c r="F20" s="43" t="s">
        <v>1294</v>
      </c>
      <c r="G20" s="131">
        <f ca="1">ROUND(C20*$C$18+D20*$D$18,0)</f>
        <v>37074</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0.42220672704296147</v>
      </c>
      <c r="E22" s="121"/>
      <c r="F22" s="121"/>
      <c r="G22" s="121"/>
      <c r="H22" s="121"/>
      <c r="I22" s="121"/>
    </row>
    <row r="23" spans="1:36" ht="13.8" thickBot="1">
      <c r="A23" s="645"/>
      <c r="B23" s="645"/>
      <c r="C23" s="645"/>
      <c r="D23" s="645"/>
      <c r="E23" s="121"/>
      <c r="F23" s="121"/>
      <c r="G23" s="121"/>
      <c r="H23" s="121"/>
      <c r="I23" s="121"/>
    </row>
    <row r="24" spans="1:36" ht="14.4">
      <c r="A24" s="3280" t="s">
        <v>1298</v>
      </c>
      <c r="B24" s="1630" t="s">
        <v>1290</v>
      </c>
      <c r="C24" s="128">
        <f>IF(B30=0,0,D30)</f>
        <v>0</v>
      </c>
      <c r="D24" s="1636"/>
      <c r="E24" s="121"/>
      <c r="F24" s="121"/>
      <c r="G24" s="121"/>
      <c r="H24" s="121"/>
      <c r="I24" s="121"/>
    </row>
    <row r="25" spans="1:36" ht="14.4">
      <c r="A25" s="3281"/>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1304</v>
      </c>
      <c r="B32" s="1534"/>
      <c r="C32" s="136">
        <f ca="1">IF(D32="总价",G19-C24,G20-C25)</f>
        <v>37074</v>
      </c>
      <c r="D32" s="1640" t="s">
        <v>3488</v>
      </c>
      <c r="E32" s="121"/>
      <c r="F32" s="121"/>
      <c r="G32" s="121"/>
      <c r="H32" s="121"/>
      <c r="I32" s="121"/>
    </row>
    <row r="33" spans="1:15" ht="14.4">
      <c r="A33" s="739" t="s">
        <v>1305</v>
      </c>
      <c r="B33" s="123"/>
      <c r="C33" s="1641" t="s">
        <v>3489</v>
      </c>
      <c r="D33" s="1642" t="s">
        <v>3466</v>
      </c>
      <c r="E33" s="1643" t="s">
        <v>1306</v>
      </c>
      <c r="F33" s="1644" t="str">
        <f>IF(D32="楼面单价","取值（单价）","取值（总价）")</f>
        <v>取值（单价）</v>
      </c>
      <c r="G33" s="121"/>
      <c r="H33" s="121"/>
      <c r="I33" s="121"/>
    </row>
    <row r="34" spans="1:15" ht="14.4">
      <c r="A34" s="1645"/>
      <c r="B34" s="1646" t="s">
        <v>1307</v>
      </c>
      <c r="C34" s="140">
        <f ca="1">IF(C33="自定义",F34,C32-C35)</f>
        <v>31105</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 thickBot="1">
      <c r="A35" s="1648"/>
      <c r="B35" s="1649" t="s">
        <v>1309</v>
      </c>
      <c r="C35" s="1089">
        <f ca="1">IF(C33="自定义",F35,ROUND(C32*D35,0))</f>
        <v>5969</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 thickBot="1">
      <c r="A36" s="3300" t="s">
        <v>1311</v>
      </c>
      <c r="B36" s="1651" t="s">
        <v>1312</v>
      </c>
      <c r="C36" s="137"/>
      <c r="D36" s="1652"/>
      <c r="E36" s="1566"/>
      <c r="F36" s="1653"/>
      <c r="G36" s="121"/>
      <c r="H36" s="121"/>
      <c r="I36" s="121"/>
    </row>
    <row r="37" spans="1:15" ht="15" thickBot="1">
      <c r="A37" s="3301"/>
      <c r="B37" s="1554" t="s">
        <v>1313</v>
      </c>
      <c r="C37" s="139"/>
      <c r="D37" s="1070"/>
      <c r="E37" s="1070"/>
      <c r="F37" s="1653"/>
      <c r="G37" s="121"/>
      <c r="H37" s="121"/>
      <c r="I37" s="121"/>
    </row>
    <row r="38" spans="1:15" ht="15" thickBot="1">
      <c r="A38" s="3302"/>
      <c r="B38" s="1654" t="s">
        <v>1314</v>
      </c>
      <c r="C38" s="640"/>
      <c r="D38" s="1655" t="s">
        <v>1315</v>
      </c>
      <c r="E38" s="1070"/>
      <c r="F38" s="1653"/>
      <c r="G38" s="121"/>
      <c r="H38" s="121"/>
      <c r="I38" s="121"/>
    </row>
    <row r="39" spans="1:15" ht="14.4">
      <c r="A39" s="1632" t="s">
        <v>1316</v>
      </c>
      <c r="B39" s="1656" t="s">
        <v>1317</v>
      </c>
      <c r="C39" s="1657" t="s">
        <v>1318</v>
      </c>
      <c r="D39" s="1657" t="s">
        <v>1319</v>
      </c>
      <c r="E39" s="1658" t="s">
        <v>1320</v>
      </c>
      <c r="F39" s="1653"/>
      <c r="G39" s="121"/>
      <c r="H39" s="121"/>
      <c r="I39" s="121"/>
    </row>
    <row r="40" spans="1:15" ht="13.8">
      <c r="A40" s="1659" t="s">
        <v>1321</v>
      </c>
      <c r="B40" s="141"/>
      <c r="C40" s="142"/>
      <c r="D40" s="142"/>
      <c r="E40" s="143"/>
      <c r="F40" s="1653"/>
      <c r="G40" s="121"/>
      <c r="H40" s="121"/>
      <c r="I40" s="121"/>
    </row>
    <row r="41" spans="1:15" ht="13.8">
      <c r="A41" s="1659" t="s">
        <v>1322</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1323</v>
      </c>
      <c r="B44" s="1663"/>
      <c r="C44" s="1663"/>
      <c r="D44" s="1664"/>
      <c r="E44" s="1664"/>
      <c r="F44" s="1665"/>
      <c r="G44" s="1665"/>
      <c r="H44" s="1665"/>
      <c r="I44" s="1665"/>
      <c r="J44" s="1666" t="s">
        <v>1324</v>
      </c>
      <c r="K44" s="4"/>
      <c r="L44" s="4"/>
      <c r="M44" s="4"/>
      <c r="N44" s="4"/>
      <c r="O44" s="4"/>
    </row>
    <row r="45" spans="1:15" ht="14.25" customHeight="1" thickBot="1">
      <c r="A45" s="3277" t="s">
        <v>1325</v>
      </c>
      <c r="B45" s="3278"/>
      <c r="C45" s="3279"/>
      <c r="D45" s="147">
        <f ca="1">ROUND(H101*F45,0)</f>
        <v>411</v>
      </c>
      <c r="E45" s="148" t="s">
        <v>1326</v>
      </c>
      <c r="F45" s="149">
        <v>1</v>
      </c>
      <c r="G45" s="150" t="s">
        <v>1327</v>
      </c>
      <c r="H45" s="121"/>
      <c r="I45" s="121"/>
      <c r="J45" s="3355" t="s">
        <v>1328</v>
      </c>
      <c r="K45" s="3355"/>
      <c r="L45" s="3355"/>
      <c r="M45" s="3355"/>
      <c r="N45" s="3355"/>
      <c r="O45" s="3355"/>
    </row>
    <row r="46" spans="1:15" ht="14.25" customHeight="1">
      <c r="A46" s="3274" t="s">
        <v>1329</v>
      </c>
      <c r="B46" s="3275"/>
      <c r="C46" s="3275"/>
      <c r="D46" s="3275"/>
      <c r="E46" s="3275"/>
      <c r="F46" s="3275"/>
      <c r="G46" s="3276"/>
      <c r="H46" s="1667"/>
      <c r="I46" s="151"/>
      <c r="J46" s="2309">
        <v>1</v>
      </c>
      <c r="K46" s="3336" t="s">
        <v>1330</v>
      </c>
      <c r="L46" s="3336"/>
      <c r="M46" s="3356"/>
      <c r="N46" s="3356"/>
      <c r="O46" s="3356"/>
    </row>
    <row r="47" spans="1:15" ht="12" customHeight="1">
      <c r="A47" s="152" t="s">
        <v>1331</v>
      </c>
      <c r="B47" s="153"/>
      <c r="C47" s="154"/>
      <c r="D47" s="1023" t="s">
        <v>1332</v>
      </c>
      <c r="E47" s="294" t="s">
        <v>1333</v>
      </c>
      <c r="F47" s="155" t="s">
        <v>1334</v>
      </c>
      <c r="G47" s="2332" t="s">
        <v>1335</v>
      </c>
      <c r="H47" s="2333"/>
      <c r="I47" s="151"/>
      <c r="J47" s="2309">
        <v>2</v>
      </c>
      <c r="K47" s="3336" t="s">
        <v>1336</v>
      </c>
      <c r="L47" s="3336"/>
      <c r="M47" s="3357">
        <f>'数据-取费表'!B2</f>
        <v>45793</v>
      </c>
      <c r="N47" s="3357"/>
      <c r="O47" s="3357"/>
    </row>
    <row r="48" spans="1:15" ht="26.4">
      <c r="A48" s="3305" t="s">
        <v>1337</v>
      </c>
      <c r="B48" s="3288"/>
      <c r="C48" s="328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336" t="s">
        <v>1339</v>
      </c>
      <c r="L48" s="3336"/>
      <c r="M48" s="3358">
        <f ca="1">H101</f>
        <v>411</v>
      </c>
      <c r="N48" s="3358"/>
      <c r="O48" s="3358"/>
    </row>
    <row r="49" spans="1:35" ht="25.5" customHeight="1">
      <c r="A49" s="2151" t="s">
        <v>1340</v>
      </c>
      <c r="B49" s="3272" t="s">
        <v>1341</v>
      </c>
      <c r="C49" s="3272"/>
      <c r="D49" s="1477">
        <v>0</v>
      </c>
      <c r="E49" s="316" t="s">
        <v>1342</v>
      </c>
      <c r="F49" s="2232" t="s">
        <v>28</v>
      </c>
      <c r="G49" s="3342"/>
      <c r="H49" s="2133" t="s">
        <v>2133</v>
      </c>
      <c r="I49" s="2134"/>
      <c r="J49" s="2309">
        <v>4</v>
      </c>
      <c r="K49" s="3336" t="str">
        <f>IF(项目基本情况!E8="房地产抵押价值","房地产抵押价值","抵押担保权已注销时的房地产抵押价值")</f>
        <v>房地产抵押价值</v>
      </c>
      <c r="L49" s="3336"/>
      <c r="M49" s="3358">
        <f ca="1">IF(项目基本情况!E8="房地产抵押价值",H107,H109)</f>
        <v>411</v>
      </c>
      <c r="N49" s="3358"/>
      <c r="O49" s="3358"/>
    </row>
    <row r="50" spans="1:35" ht="25.5" customHeight="1">
      <c r="A50" s="2337"/>
      <c r="B50" s="3272" t="s">
        <v>1343</v>
      </c>
      <c r="C50" s="3272"/>
      <c r="D50" s="2188"/>
      <c r="E50" s="323"/>
      <c r="F50" s="2232"/>
      <c r="G50" s="3343"/>
      <c r="H50" s="2135" t="s">
        <v>2134</v>
      </c>
      <c r="I50" s="2134"/>
      <c r="J50" s="3355" t="s">
        <v>1344</v>
      </c>
      <c r="K50" s="3355"/>
      <c r="L50" s="3355"/>
      <c r="M50" s="3355"/>
      <c r="N50" s="3355"/>
      <c r="O50" s="3355"/>
    </row>
    <row r="51" spans="1:35" ht="20.399999999999999" customHeight="1">
      <c r="A51" s="2338"/>
      <c r="B51" s="3272" t="s">
        <v>1345</v>
      </c>
      <c r="C51" s="3272"/>
      <c r="D51" s="1023"/>
      <c r="E51" s="319"/>
      <c r="F51" s="2232"/>
      <c r="G51" s="3344"/>
      <c r="H51" s="2135" t="s">
        <v>2135</v>
      </c>
      <c r="I51" s="2134"/>
      <c r="J51" s="2310" t="s">
        <v>1346</v>
      </c>
      <c r="K51" s="3336" t="s">
        <v>1347</v>
      </c>
      <c r="L51" s="3336"/>
      <c r="M51" s="2310" t="s">
        <v>1348</v>
      </c>
      <c r="N51" s="2310" t="s">
        <v>1349</v>
      </c>
      <c r="O51" s="2310" t="s">
        <v>1350</v>
      </c>
    </row>
    <row r="52" spans="1:35" ht="24" customHeight="1">
      <c r="A52" s="2152" t="s">
        <v>1351</v>
      </c>
      <c r="B52" s="3272" t="s">
        <v>1352</v>
      </c>
      <c r="C52" s="3272"/>
      <c r="D52" s="1023">
        <f ca="1">ROUND(D45*'数据-取费表'!B41/(1+'数据-取费表'!C42),0)</f>
        <v>22</v>
      </c>
      <c r="E52" s="1255" t="s">
        <v>1353</v>
      </c>
      <c r="F52" s="2339">
        <f>'数据-取费表'!B41</f>
        <v>5.6000000000000001E-2</v>
      </c>
      <c r="G52" s="2340"/>
      <c r="H52" s="2330"/>
      <c r="I52" s="1668"/>
      <c r="J52" s="2309">
        <v>1</v>
      </c>
      <c r="K52" s="3337" t="s">
        <v>1354</v>
      </c>
      <c r="L52" s="3337"/>
      <c r="M52" s="2311" t="b">
        <f>D48</f>
        <v>0</v>
      </c>
      <c r="N52" s="2309" t="str">
        <f>E48</f>
        <v>销售额×税（费）率</v>
      </c>
      <c r="O52" s="2312">
        <f>F48</f>
        <v>5.6000000000000001E-2</v>
      </c>
    </row>
    <row r="53" spans="1:35" ht="12" customHeight="1">
      <c r="A53" s="2152" t="s">
        <v>1355</v>
      </c>
      <c r="B53" s="3298" t="s">
        <v>2286</v>
      </c>
      <c r="C53" s="3299"/>
      <c r="D53" s="1023">
        <f ca="1">ROUND(D45*'数据-取费表'!B41/(1+'数据-取费表'!C42),0)</f>
        <v>22</v>
      </c>
      <c r="E53" s="1255" t="s">
        <v>1353</v>
      </c>
      <c r="F53" s="2339">
        <f>'数据-取费表'!B41</f>
        <v>5.6000000000000001E-2</v>
      </c>
      <c r="G53" s="2340"/>
      <c r="H53" s="2330"/>
      <c r="I53" s="1668"/>
      <c r="J53" s="2309">
        <v>2</v>
      </c>
      <c r="K53" s="3337" t="s">
        <v>1356</v>
      </c>
      <c r="L53" s="3337"/>
      <c r="M53" s="2311">
        <f t="shared" ref="M53:O54" ca="1" si="0">D55</f>
        <v>0</v>
      </c>
      <c r="N53" s="2309" t="str">
        <f t="shared" si="0"/>
        <v>销售额×税（费）率</v>
      </c>
      <c r="O53" s="2312" t="str">
        <f t="shared" si="0"/>
        <v>免征</v>
      </c>
    </row>
    <row r="54" spans="1:35" ht="12" customHeight="1">
      <c r="A54" s="2152" t="s">
        <v>1357</v>
      </c>
      <c r="B54" s="3298" t="s">
        <v>2287</v>
      </c>
      <c r="C54" s="3299"/>
      <c r="D54" s="1023">
        <f ca="1">C68</f>
        <v>22</v>
      </c>
      <c r="E54" s="319" t="s">
        <v>1358</v>
      </c>
      <c r="F54" s="2339">
        <f>'数据-取费表'!B41</f>
        <v>5.6000000000000001E-2</v>
      </c>
      <c r="G54" s="2340"/>
      <c r="H54" s="2341"/>
      <c r="I54" s="1668"/>
      <c r="J54" s="2309">
        <v>3</v>
      </c>
      <c r="K54" s="3337" t="s">
        <v>1359</v>
      </c>
      <c r="L54" s="3337"/>
      <c r="M54" s="2311">
        <f t="shared" ca="1" si="0"/>
        <v>233</v>
      </c>
      <c r="N54" s="2309" t="str">
        <f t="shared" si="0"/>
        <v>增值额×税（费）率</v>
      </c>
      <c r="O54" s="2313" t="str">
        <f t="shared" si="0"/>
        <v>免征</v>
      </c>
    </row>
    <row r="55" spans="1:35" ht="24" customHeight="1">
      <c r="A55" s="3287" t="s">
        <v>1360</v>
      </c>
      <c r="B55" s="3288"/>
      <c r="C55" s="3288"/>
      <c r="D55" s="12">
        <f ca="1">IF(H55="个人住宅",0,ROUND(D45*I55,0))</f>
        <v>0</v>
      </c>
      <c r="E55" s="1255" t="s">
        <v>1361</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4</v>
      </c>
      <c r="N55" s="1882" t="str">
        <f>E59</f>
        <v>差额计税</v>
      </c>
      <c r="O55" s="2315">
        <f>F59</f>
        <v>0.01</v>
      </c>
    </row>
    <row r="56" spans="1:35" ht="25.2">
      <c r="A56" s="3287" t="s">
        <v>1362</v>
      </c>
      <c r="B56" s="3288"/>
      <c r="C56" s="3288"/>
      <c r="D56" s="12">
        <f ca="1">IF(H56="个人住宅",D57,D58)</f>
        <v>233</v>
      </c>
      <c r="E56" s="1255" t="s">
        <v>1363</v>
      </c>
      <c r="F56" s="2339" t="str">
        <f>IF(H56="正常",F58,"免征")</f>
        <v>免征</v>
      </c>
      <c r="G56" s="2342" t="s">
        <v>1364</v>
      </c>
      <c r="H56" s="2343"/>
      <c r="I56" s="1669"/>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3.2">
      <c r="A57" s="2152" t="s">
        <v>1340</v>
      </c>
      <c r="B57" s="3298" t="s">
        <v>1365</v>
      </c>
      <c r="C57" s="3299"/>
      <c r="D57" s="1477">
        <v>0</v>
      </c>
      <c r="E57" s="316" t="s">
        <v>1342</v>
      </c>
      <c r="F57" s="294"/>
      <c r="G57" s="2340"/>
      <c r="H57" s="2344"/>
      <c r="I57" s="1669"/>
      <c r="J57" s="3337">
        <f>IF(AND(J55="",J56=""),4,IF(项目基本情况!K6="上海银行",结果表!J56+1,结果表!J55+1))</f>
        <v>5</v>
      </c>
      <c r="K57" s="3337" t="s">
        <v>1366</v>
      </c>
      <c r="L57" s="2316" t="s">
        <v>1367</v>
      </c>
      <c r="M57" s="2317"/>
      <c r="N57" s="2318">
        <f ca="1">SUMIF(M52:M56,"&lt;9e307")</f>
        <v>237</v>
      </c>
      <c r="O57" s="2319"/>
      <c r="P57" s="2464">
        <f ca="1">N57/M49</f>
        <v>0.57664233576642332</v>
      </c>
    </row>
    <row r="58" spans="1:35" ht="25.2">
      <c r="A58" s="2152" t="s">
        <v>1351</v>
      </c>
      <c r="B58" s="3298" t="s">
        <v>1368</v>
      </c>
      <c r="C58" s="3272"/>
      <c r="D58" s="12">
        <f ca="1">IF(H58="转让取得",C81,C97)</f>
        <v>233</v>
      </c>
      <c r="E58" s="1255" t="s">
        <v>1363</v>
      </c>
      <c r="F58" s="294" t="s">
        <v>28</v>
      </c>
      <c r="G58" s="2340"/>
      <c r="H58" s="2343"/>
      <c r="I58" s="1669"/>
      <c r="J58" s="3337"/>
      <c r="K58" s="3337"/>
      <c r="L58" s="2316" t="s">
        <v>1369</v>
      </c>
      <c r="M58" s="2320"/>
      <c r="N58" s="2321" t="str">
        <f ca="1">NUMBERSTRING(INT(N57*10000),2)&amp;"元整"</f>
        <v>贰佰叁拾柒万元整</v>
      </c>
      <c r="O58" s="2322"/>
    </row>
    <row r="59" spans="1:35" ht="24.6" thickBot="1">
      <c r="A59" s="3340" t="s">
        <v>1370</v>
      </c>
      <c r="B59" s="3341"/>
      <c r="C59" s="3341"/>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38">
        <f>J57+1</f>
        <v>6</v>
      </c>
      <c r="K59" s="3337" t="s">
        <v>1371</v>
      </c>
      <c r="L59" s="2309" t="s">
        <v>1367</v>
      </c>
      <c r="M59" s="2323"/>
      <c r="N59" s="2324">
        <f ca="1">M49-N57</f>
        <v>174</v>
      </c>
      <c r="O59" s="2325"/>
    </row>
    <row r="60" spans="1:35" ht="12" customHeight="1">
      <c r="A60" s="1670"/>
      <c r="B60" s="645"/>
      <c r="C60" s="645"/>
      <c r="D60" s="645"/>
      <c r="E60" s="1465"/>
      <c r="F60" s="1669"/>
      <c r="G60" s="1669"/>
      <c r="H60" s="151"/>
      <c r="I60" s="121"/>
      <c r="J60" s="3339"/>
      <c r="K60" s="3337"/>
      <c r="L60" s="2316" t="s">
        <v>1369</v>
      </c>
      <c r="M60" s="2320"/>
      <c r="N60" s="2321" t="str">
        <f ca="1">NUMBERSTRING(INT(N59*10000),2)&amp;"元整"</f>
        <v>壹佰柒拾肆万元整</v>
      </c>
      <c r="O60" s="2322"/>
    </row>
    <row r="61" spans="1:35" ht="13.8" thickBot="1">
      <c r="A61" s="3285" t="s">
        <v>1372</v>
      </c>
      <c r="B61" s="3285"/>
      <c r="C61" s="3285"/>
      <c r="D61" s="3285"/>
      <c r="E61" s="3285"/>
      <c r="F61" s="1669"/>
      <c r="G61" s="1669"/>
      <c r="H61" s="151"/>
      <c r="I61" s="121"/>
      <c r="J61" s="2309">
        <f>J59+1</f>
        <v>7</v>
      </c>
      <c r="K61" s="3337" t="s">
        <v>1373</v>
      </c>
      <c r="L61" s="3337"/>
      <c r="M61" s="2326"/>
      <c r="N61" s="2327">
        <f ca="1">ROUND(N59*10000/'数据-汇总表'!E3,0)</f>
        <v>15700</v>
      </c>
      <c r="O61" s="2328"/>
    </row>
    <row r="62" spans="1:35" ht="13.2">
      <c r="A62" s="3303" t="s">
        <v>1374</v>
      </c>
      <c r="B62" s="3304"/>
      <c r="C62" s="1864"/>
      <c r="D62" s="1864" t="s">
        <v>1375</v>
      </c>
      <c r="E62" s="158" t="s">
        <v>1376</v>
      </c>
      <c r="F62" s="1669"/>
      <c r="G62" s="1669"/>
      <c r="H62" s="151"/>
      <c r="I62" s="121"/>
    </row>
    <row r="63" spans="1:35" ht="13.2">
      <c r="A63" s="165" t="s">
        <v>330</v>
      </c>
      <c r="B63" s="159" t="s">
        <v>1377</v>
      </c>
      <c r="C63" s="2349">
        <f ca="1">ROUND((C64+C65)/(1+'数据-取费表'!C42),0)</f>
        <v>391</v>
      </c>
      <c r="D63" s="159"/>
      <c r="E63" s="160"/>
      <c r="F63" s="1669"/>
      <c r="G63" s="1669"/>
      <c r="H63" s="151"/>
      <c r="I63" s="121"/>
      <c r="J63" s="3362" t="s">
        <v>1378</v>
      </c>
      <c r="K63" s="1244" t="s">
        <v>1379</v>
      </c>
      <c r="L63" s="1244">
        <f ca="1">IF(M49&gt;10000,M49*0.5%,IF(AND(M49&gt;1000,M49&lt;=10000),M49*1%,IF(AND(M49&gt;100,M49&lt;=1000),M49*3%,IF(AND(M49&gt;10,M49&lt;=100),M49*5%,M49*8%))))</f>
        <v>12.33</v>
      </c>
      <c r="M63" s="294">
        <f ca="1">ROUND(L63,1)</f>
        <v>12.3</v>
      </c>
      <c r="N63" s="2329"/>
      <c r="Z63" s="1622"/>
      <c r="AI63" s="1560"/>
    </row>
    <row r="64" spans="1:35" ht="14.25" customHeight="1">
      <c r="A64" s="161" t="s">
        <v>325</v>
      </c>
      <c r="B64" s="162" t="s">
        <v>1380</v>
      </c>
      <c r="C64" s="2350">
        <f ca="1">D45</f>
        <v>411</v>
      </c>
      <c r="D64" s="162" t="s">
        <v>26</v>
      </c>
      <c r="E64" s="164"/>
      <c r="F64" s="1669"/>
      <c r="G64" s="1669"/>
      <c r="H64" s="151"/>
      <c r="I64" s="121"/>
      <c r="J64" s="3362"/>
      <c r="K64" s="1244" t="s">
        <v>1381</v>
      </c>
      <c r="L64" s="1244">
        <f ca="1">IF(M49&gt;2000,M49*0.5%,IF(AND(M49&gt;1000,M49&lt;=2000),M49*0.6%,IF(AND(M49&gt;500,M49&lt;=1000),M49*0.7%,IF(AND(M49&gt;200,M49&lt;=500),M49*0.8%,IF(AND(M49&gt;100,M49&lt;=200),M49*0.9%,IF(AND(M49&gt;50,M49&lt;=100),M49*1%,IF(AND(M49&gt;20,M49&lt;=50),M49*1.5%,IF(AND(M49&gt;10,M49&lt;=20),M49*2%,IF(AND(M49&gt;1,M49&lt;=10),M49*2.5%)))))))))</f>
        <v>3.2880000000000003</v>
      </c>
      <c r="M64" s="294">
        <f t="shared" ref="M64:M65" ca="1" si="1">ROUND(L64,1)</f>
        <v>3.3</v>
      </c>
      <c r="N64" s="2330" t="s">
        <v>1382</v>
      </c>
      <c r="Z64" s="1622"/>
      <c r="AI64" s="1560"/>
    </row>
    <row r="65" spans="1:35" ht="14.25" customHeight="1">
      <c r="A65" s="161" t="s">
        <v>326</v>
      </c>
      <c r="B65" s="162" t="s">
        <v>1383</v>
      </c>
      <c r="C65" s="2351"/>
      <c r="D65" s="162"/>
      <c r="E65" s="164"/>
      <c r="F65" s="1669"/>
      <c r="G65" s="1669"/>
      <c r="H65" s="151"/>
      <c r="I65" s="121"/>
      <c r="J65" s="3362"/>
      <c r="K65" s="1244" t="s">
        <v>1384</v>
      </c>
      <c r="L65" s="1244">
        <f ca="1">IF(M49&gt;1000,M49*0.1%,IF(AND(M49&gt;500,M49&lt;=1000),M49*0.5%,IF(AND(M49&gt;50,M49&lt;=500),M49*1%,IF(AND(M49&gt;1,M49&lt;=50),M49*1.5%))))</f>
        <v>4.1100000000000003</v>
      </c>
      <c r="M65" s="294">
        <f t="shared" ca="1" si="1"/>
        <v>4.0999999999999996</v>
      </c>
      <c r="N65" s="2330" t="s">
        <v>1382</v>
      </c>
      <c r="Z65" s="1622"/>
      <c r="AI65" s="1560"/>
    </row>
    <row r="66" spans="1:35" ht="14.25" customHeight="1">
      <c r="A66" s="165" t="s">
        <v>327</v>
      </c>
      <c r="B66" s="166" t="s">
        <v>1385</v>
      </c>
      <c r="C66" s="2352"/>
      <c r="D66" s="166" t="s">
        <v>26</v>
      </c>
      <c r="E66" s="1250" t="s">
        <v>670</v>
      </c>
      <c r="F66" s="1669"/>
      <c r="G66" s="1669"/>
      <c r="H66" s="151"/>
      <c r="I66" s="121"/>
      <c r="J66" s="3362"/>
      <c r="K66" s="1244" t="s">
        <v>1386</v>
      </c>
      <c r="L66" s="1244">
        <f ca="1">M49*0.5%</f>
        <v>2.0550000000000002</v>
      </c>
      <c r="M66" s="294">
        <f ca="1">IF(L66&gt;0.5,0.5,ROUND(L66,0))</f>
        <v>0.5</v>
      </c>
      <c r="N66" s="2330" t="s">
        <v>1387</v>
      </c>
      <c r="Z66" s="1622"/>
      <c r="AI66" s="1560"/>
    </row>
    <row r="67" spans="1:35" ht="14.25" customHeight="1">
      <c r="A67" s="165" t="s">
        <v>328</v>
      </c>
      <c r="B67" s="166" t="s">
        <v>1388</v>
      </c>
      <c r="C67" s="2353">
        <f ca="1">C63-C66</f>
        <v>391</v>
      </c>
      <c r="D67" s="162" t="s">
        <v>26</v>
      </c>
      <c r="E67" s="164"/>
      <c r="F67" s="1669"/>
      <c r="G67" s="1669"/>
      <c r="H67" s="151"/>
      <c r="I67" s="121"/>
      <c r="J67" s="3362"/>
      <c r="K67" s="1244" t="s">
        <v>1389</v>
      </c>
      <c r="L67" s="1244">
        <f ca="1">IF(M49&gt;=10000,(8.25+(M49-10000)*0.01%),IF(AND(M49&gt;=8000,M49&lt;10000),(7.85+(M49-8000)*0.02%),IF(AND(M49&gt;=5000,M49&lt;8000),(6.65+(M49-5000)*0.04%),IF(AND(M49&gt;=2000,M49&lt;5000),(4.25+(PM49-2000)*0.08%),IF(AND(M49&gt;=1000,M49&lt;2000),(2.75+(M49-1000)*0.15%),IF(AND(M49&gt;=100,M49&lt;1000),(0.5+(M49-100)*0.25%),IF(AND(M49&gt;0,M49&lt;100),M49*0.5%)))))))</f>
        <v>1.2774999999999999</v>
      </c>
      <c r="M67" s="294">
        <f ca="1">ROUND(L67*0.9,1)</f>
        <v>1.1000000000000001</v>
      </c>
      <c r="N67" s="2329"/>
      <c r="Z67" s="1622"/>
      <c r="AI67" s="1560"/>
    </row>
    <row r="68" spans="1:35" ht="14.25" customHeight="1" thickBot="1">
      <c r="A68" s="168" t="s">
        <v>329</v>
      </c>
      <c r="B68" s="169" t="s">
        <v>1390</v>
      </c>
      <c r="C68" s="2354">
        <f ca="1">IF(C67&lt;=0,0,ROUND(C67*D68,0))</f>
        <v>22</v>
      </c>
      <c r="D68" s="2355">
        <f>'数据-取费表'!B41</f>
        <v>5.6000000000000001E-2</v>
      </c>
      <c r="E68" s="170"/>
      <c r="F68" s="1669"/>
      <c r="G68" s="1669"/>
      <c r="H68" s="151"/>
      <c r="I68" s="121"/>
      <c r="J68" s="3362"/>
      <c r="K68" s="1244" t="s">
        <v>1391</v>
      </c>
      <c r="L68" s="1244">
        <f ca="1">IF(M49&gt;10000,M49*0.5%,IF(AND(M49&gt;5000,M49&lt;=10000),M49*1%,IF(AND(M49&gt;1000,M49&lt;=5000),M49*2%,IF(AND(M49&gt;200,M49&lt;=1000),M49*3%,M49*5%))))</f>
        <v>12.33</v>
      </c>
      <c r="M68" s="294">
        <f ca="1">ROUND(L68,1)</f>
        <v>12.3</v>
      </c>
      <c r="N68" s="2329"/>
      <c r="Z68" s="1622"/>
      <c r="AI68" s="1560"/>
    </row>
    <row r="69" spans="1:35" ht="16.5" customHeight="1">
      <c r="A69" s="1671"/>
      <c r="B69" s="1672"/>
      <c r="C69" s="1673"/>
      <c r="D69" s="1674"/>
      <c r="E69" s="1675"/>
      <c r="F69" s="1465"/>
      <c r="G69" s="1465"/>
      <c r="H69" s="1466"/>
      <c r="I69" s="645"/>
      <c r="J69" s="3362"/>
      <c r="K69" s="1244" t="s">
        <v>1392</v>
      </c>
      <c r="L69" s="1244"/>
      <c r="M69" s="294">
        <f ca="1">ROUND(SUM(M63:M68),0)</f>
        <v>34</v>
      </c>
      <c r="N69" s="2331">
        <f ca="1">M69/M49</f>
        <v>8.2725060827250604E-2</v>
      </c>
      <c r="Z69" s="1622"/>
      <c r="AI69" s="1560"/>
    </row>
    <row r="70" spans="1:35" s="641" customFormat="1" ht="14.4" thickBot="1">
      <c r="A70" s="3324" t="s">
        <v>1393</v>
      </c>
      <c r="B70" s="3325"/>
      <c r="C70" s="3325"/>
      <c r="D70" s="3325"/>
      <c r="E70" s="3325"/>
      <c r="F70" s="3325"/>
      <c r="G70" s="3325"/>
      <c r="H70" s="332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3" t="s">
        <v>1374</v>
      </c>
      <c r="B71" s="3304"/>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1394</v>
      </c>
      <c r="C72" s="2353">
        <f ca="1">ROUND(D45/(1+'数据-取费表'!C42),0)</f>
        <v>391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8" t="s">
        <v>1401</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282" t="s">
        <v>1405</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1406</v>
      </c>
      <c r="C79" s="2353">
        <f ca="1">C72-C73</f>
        <v>389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194.5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1408</v>
      </c>
      <c r="C81" s="2364">
        <f ca="1">ROUND(IF(C79&lt;=0,0,IF(C80&gt;=200%,C79*60%-C73*35%,IF(C80&gt;=100%,C79*50%-C73*15%,IF(C80&gt;=50%,C79*40%-C73*5%,IF(C80&lt;50%,C79*30%,0))))),0)</f>
        <v>233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4" t="s">
        <v>1409</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3" t="s">
        <v>1374</v>
      </c>
      <c r="B84" s="3304"/>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1394</v>
      </c>
      <c r="C85" s="2353">
        <f ca="1">ROUND(D45/(1+'数据-取费表'!C42),0)</f>
        <v>391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1415</v>
      </c>
      <c r="C90" s="2367"/>
      <c r="D90" s="2362"/>
      <c r="E90" s="185" t="str">
        <f>IF(H88="-","土地取得成本中已包含该笔费用"," ")</f>
        <v xml:space="preserve"> </v>
      </c>
      <c r="F90" s="2147"/>
      <c r="G90" s="3364" t="s">
        <v>2128</v>
      </c>
      <c r="H90" s="3365"/>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82" t="s">
        <v>1418</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82" t="s">
        <v>1421</v>
      </c>
      <c r="F92" s="3283"/>
      <c r="G92" s="3283"/>
      <c r="H92" s="3292"/>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282" t="s">
        <v>1405</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293" t="s">
        <v>1425</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1406</v>
      </c>
      <c r="C95" s="2353">
        <f ca="1">ROUND(C85-C86,0)</f>
        <v>389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194.5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1408</v>
      </c>
      <c r="C97" s="2364">
        <f ca="1">ROUND(IF(C95&lt;=0,0,IF(C96&gt;=200%,C95*60%-C86*35%,IF(C96&gt;=100%,C95*50%-C86*15%,IF(C96&gt;=50%,C95*40%-C86*5%,IF(C96&lt;50%,C95*30%,0))))),0)</f>
        <v>233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284"/>
      <c r="E100" s="3267" t="s">
        <v>1428</v>
      </c>
      <c r="F100" s="3267"/>
      <c r="G100" s="3267"/>
      <c r="H100" s="3284"/>
      <c r="I100" s="121"/>
    </row>
    <row r="101" spans="1:35" ht="18.75" customHeight="1">
      <c r="A101" s="3345" t="s">
        <v>1429</v>
      </c>
      <c r="B101" s="3346"/>
      <c r="C101" s="2370" t="str">
        <f>C4</f>
        <v>比较法-商业</v>
      </c>
      <c r="D101" s="2371" t="str">
        <f>D4</f>
        <v>收益法 (元)</v>
      </c>
      <c r="E101" s="3359" t="s">
        <v>1430</v>
      </c>
      <c r="F101" s="3316"/>
      <c r="G101" s="1686" t="s">
        <v>1431</v>
      </c>
      <c r="H101" s="2380">
        <f ca="1">H118</f>
        <v>411</v>
      </c>
      <c r="I101" s="121"/>
    </row>
    <row r="102" spans="1:35" ht="18.75" customHeight="1">
      <c r="A102" s="3318" t="s">
        <v>1432</v>
      </c>
      <c r="B102" s="2369" t="s">
        <v>1431</v>
      </c>
      <c r="C102" s="2370">
        <f ca="1">IF(D32="楼面单价",ROUND(C19,0),C19)</f>
        <v>466</v>
      </c>
      <c r="D102" s="2371">
        <f ca="1">IF(D32="楼面单价",ROUND(D19,0),D19)</f>
        <v>328</v>
      </c>
      <c r="E102" s="3359"/>
      <c r="F102" s="3316"/>
      <c r="G102" s="1686" t="s">
        <v>1433</v>
      </c>
      <c r="H102" s="2340">
        <f ca="1">I118</f>
        <v>37074</v>
      </c>
      <c r="I102" s="121"/>
    </row>
    <row r="103" spans="1:35" ht="42.75" customHeight="1">
      <c r="A103" s="3318"/>
      <c r="B103" s="2369" t="s">
        <v>1433</v>
      </c>
      <c r="C103" s="2372">
        <f ca="1">C20</f>
        <v>42070</v>
      </c>
      <c r="D103" s="2373">
        <f ca="1">D20</f>
        <v>29581</v>
      </c>
      <c r="E103" s="3353" t="s">
        <v>1434</v>
      </c>
      <c r="F103" s="3354"/>
      <c r="G103" s="1687" t="s">
        <v>1435</v>
      </c>
      <c r="H103" s="2380">
        <f>IF(D36="正常操作",H104+H105+H106,H105+H106)</f>
        <v>0</v>
      </c>
      <c r="I103" s="121"/>
    </row>
    <row r="104" spans="1:35" ht="18.75" customHeight="1">
      <c r="A104" s="3318" t="s">
        <v>1436</v>
      </c>
      <c r="B104" s="2374" t="s">
        <v>1431</v>
      </c>
      <c r="C104" s="2375">
        <f ca="1">H118</f>
        <v>411</v>
      </c>
      <c r="D104" s="2376"/>
      <c r="E104" s="1554" t="s">
        <v>1437</v>
      </c>
      <c r="F104" s="1547"/>
      <c r="G104" s="1687" t="s">
        <v>1435</v>
      </c>
      <c r="H104" s="2381">
        <f>IF(D36="同一抵押权人同一抵押物续贷",C36&amp;"（续贷，未扣减，详见特别提示）",C36)</f>
        <v>0</v>
      </c>
      <c r="I104" s="121"/>
    </row>
    <row r="105" spans="1:35" ht="18.75" customHeight="1" thickBot="1">
      <c r="A105" s="3319"/>
      <c r="B105" s="2377" t="s">
        <v>1433</v>
      </c>
      <c r="C105" s="2378">
        <f ca="1">I118</f>
        <v>37074</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5" t="str">
        <f>IF(项目基本情况!E8="已注销","——","3.房地产抵押价值")</f>
        <v>3.房地产抵押价值</v>
      </c>
      <c r="F107" s="3316"/>
      <c r="G107" s="1686" t="s">
        <v>1431</v>
      </c>
      <c r="H107" s="2380">
        <f ca="1">IF(E107="——","——",H101-H103)</f>
        <v>411</v>
      </c>
      <c r="I107" s="121"/>
    </row>
    <row r="108" spans="1:35" ht="18.75" customHeight="1">
      <c r="A108" s="121"/>
      <c r="B108" s="121"/>
      <c r="C108" s="121"/>
      <c r="D108" s="121"/>
      <c r="E108" s="3315"/>
      <c r="F108" s="3316"/>
      <c r="G108" s="1686" t="s">
        <v>1433</v>
      </c>
      <c r="H108" s="2340">
        <f ca="1">IF(H107=H101,H102,ROUND(H107*10000/'数据-汇总表'!E3,0))</f>
        <v>37074</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6" t="s">
        <v>1431</v>
      </c>
      <c r="H109" s="2383" t="str">
        <f>IF(E109="——","——",H101-H105-H106)</f>
        <v>——</v>
      </c>
      <c r="I109" s="121"/>
    </row>
    <row r="110" spans="1:35" ht="18.75" customHeight="1">
      <c r="A110" s="121"/>
      <c r="B110" s="121"/>
      <c r="C110" s="121"/>
      <c r="D110" s="121"/>
      <c r="E110" s="3315"/>
      <c r="F110" s="3316"/>
      <c r="G110" s="1686" t="s">
        <v>1433</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6" t="s">
        <v>1431</v>
      </c>
      <c r="H111" s="2380" t="str">
        <f>IF(E111="——","——",N59)</f>
        <v>——</v>
      </c>
      <c r="I111" s="121"/>
    </row>
    <row r="112" spans="1:35" ht="18.75" customHeight="1" thickBot="1">
      <c r="A112" s="121"/>
      <c r="B112" s="121"/>
      <c r="C112" s="121"/>
      <c r="D112" s="121"/>
      <c r="E112" s="3348"/>
      <c r="F112" s="3349"/>
      <c r="G112" s="1689" t="s">
        <v>1433</v>
      </c>
      <c r="H112" s="2384" t="str">
        <f>IF(E111="——","——",N61)</f>
        <v>——</v>
      </c>
      <c r="I112" s="121"/>
    </row>
    <row r="113" spans="1:27" ht="18.75" customHeight="1">
      <c r="A113" s="121"/>
      <c r="B113" s="121"/>
      <c r="C113" s="121"/>
      <c r="D113" s="121"/>
      <c r="E113" s="3320" t="s">
        <v>1439</v>
      </c>
      <c r="F113" s="3320"/>
      <c r="G113" s="3320"/>
      <c r="H113" s="3320"/>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6" t="s">
        <v>1442</v>
      </c>
      <c r="B116" s="3321" t="s">
        <v>1443</v>
      </c>
      <c r="C116" s="3321" t="s">
        <v>1444</v>
      </c>
      <c r="D116" s="3334" t="s">
        <v>1445</v>
      </c>
      <c r="E116" s="3335"/>
      <c r="F116" s="3329" t="s">
        <v>1446</v>
      </c>
      <c r="G116" s="3329"/>
      <c r="H116" s="3286" t="s">
        <v>1447</v>
      </c>
      <c r="I116" s="3286"/>
    </row>
    <row r="117" spans="1:27" ht="18.75" customHeight="1">
      <c r="A117" s="3286"/>
      <c r="B117" s="3322"/>
      <c r="C117" s="332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110.83</v>
      </c>
      <c r="C118" s="2149">
        <f>M19</f>
        <v>0</v>
      </c>
      <c r="D118" s="2149">
        <f ca="1">ROUND(IF(D32="总价",C34,E118*B118/10000),0)</f>
        <v>345</v>
      </c>
      <c r="E118" s="2149">
        <f ca="1">ROUND(IF(C33="自定义",IF(D32="楼面单价",C34,D118*10000/B118),I118-G118),0)</f>
        <v>31105</v>
      </c>
      <c r="F118" s="2149">
        <f ca="1">ROUND(IF(D32="总价",C35,G118*B118/10000),0)</f>
        <v>66</v>
      </c>
      <c r="G118" s="2149">
        <f ca="1">ROUND(IF(D32="楼面单价",C35,F118*10000/B118),0)</f>
        <v>5969</v>
      </c>
      <c r="H118" s="2149">
        <f ca="1">ROUND(IF(D32="总价",C32,I118*B118/10000),0)</f>
        <v>411</v>
      </c>
      <c r="I118" s="2149">
        <f ca="1">ROUND(IF(D32="楼面单价",C32,H118*10000/B118),0)</f>
        <v>37074</v>
      </c>
    </row>
    <row r="119" spans="1:27" ht="18.75" customHeight="1">
      <c r="A119" s="3286" t="s">
        <v>1451</v>
      </c>
      <c r="B119" s="3286"/>
      <c r="C119" s="3286"/>
      <c r="D119" s="3326" t="str">
        <f ca="1">NUMBERSTRING(INT(D118*10000),2)&amp;"元整"</f>
        <v>叁佰肆拾伍万元整</v>
      </c>
      <c r="E119" s="3328"/>
      <c r="F119" s="3326" t="str">
        <f ca="1">NUMBERSTRING(INT(F118*10000),2)&amp;"元整"</f>
        <v>陆拾陆万元整</v>
      </c>
      <c r="G119" s="3328"/>
      <c r="H119" s="3326" t="str">
        <f ca="1">NUMBERSTRING(INT(H118*10000),2)&amp;"元整"</f>
        <v>肆佰壹拾壹万元整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1451</v>
      </c>
      <c r="B121" s="3327"/>
      <c r="C121" s="3328"/>
      <c r="D121" s="3326" t="str">
        <f>IF(D120=0,"零元整",NUMBERSTRING(INT(D120*10000),2)&amp;"元整")</f>
        <v>零元整</v>
      </c>
      <c r="E121" s="3327"/>
      <c r="F121" s="3327"/>
      <c r="G121" s="3327"/>
      <c r="H121" s="3327"/>
      <c r="I121" s="3328"/>
      <c r="AA121" s="683"/>
    </row>
    <row r="122" spans="1:27" ht="18.75" customHeight="1">
      <c r="A122" s="3317" t="str">
        <f>IF(项目基本情况!B9="房地产市场价值","",MID(E107,3,LEN(E107)-2))</f>
        <v>房地产抵押价值</v>
      </c>
      <c r="B122" s="3317"/>
      <c r="C122" s="3317"/>
      <c r="D122" s="3350">
        <f ca="1">H107</f>
        <v>411</v>
      </c>
      <c r="E122" s="3351"/>
      <c r="F122" s="3351"/>
      <c r="G122" s="3351"/>
      <c r="H122" s="3351"/>
      <c r="I122" s="3352"/>
      <c r="AA122" s="683"/>
    </row>
    <row r="123" spans="1:27" ht="18.75" customHeight="1">
      <c r="A123" s="3286" t="s">
        <v>1451</v>
      </c>
      <c r="B123" s="3286"/>
      <c r="C123" s="3286"/>
      <c r="D123" s="3326" t="str">
        <f ca="1">NUMBERSTRING(INT(D122*10000),2)&amp;"元整"</f>
        <v>肆佰壹拾壹万元整</v>
      </c>
      <c r="E123" s="3327"/>
      <c r="F123" s="3327"/>
      <c r="G123" s="3327"/>
      <c r="H123" s="3327"/>
      <c r="I123" s="3328"/>
      <c r="AA123" s="683"/>
    </row>
    <row r="124" spans="1:27" ht="18.75" customHeight="1">
      <c r="A124" s="3317" t="str">
        <f>IF(项目基本情况!B9="房地产市场价值","",MID(E109,3,LEN(E109)-2))</f>
        <v/>
      </c>
      <c r="B124" s="3317"/>
      <c r="C124" s="3317"/>
      <c r="D124" s="3350" t="str">
        <f>H109</f>
        <v>——</v>
      </c>
      <c r="E124" s="3351"/>
      <c r="F124" s="3351"/>
      <c r="G124" s="3351"/>
      <c r="H124" s="3351"/>
      <c r="I124" s="3352"/>
      <c r="AA124" s="683"/>
    </row>
    <row r="125" spans="1:27" ht="18.75" customHeight="1">
      <c r="A125" s="3286" t="s">
        <v>1451</v>
      </c>
      <c r="B125" s="3286"/>
      <c r="C125" s="3286"/>
      <c r="D125" s="3326" t="e">
        <f>NUMBERSTRING(INT(D124*10000),2)&amp;"元整"</f>
        <v>#VALUE!</v>
      </c>
      <c r="E125" s="3327"/>
      <c r="F125" s="3327"/>
      <c r="G125" s="3327"/>
      <c r="H125" s="3327"/>
      <c r="I125" s="3328"/>
      <c r="AA125" s="683"/>
    </row>
    <row r="126" spans="1:27" ht="18.75" customHeight="1">
      <c r="A126" s="3317" t="str">
        <f>IF(项目基本情况!B9="房地产市场价值","",MID(E111,3,LEN(E111)-2))</f>
        <v/>
      </c>
      <c r="B126" s="3317"/>
      <c r="C126" s="3317"/>
      <c r="D126" s="3350" t="str">
        <f>H111</f>
        <v>——</v>
      </c>
      <c r="E126" s="3351"/>
      <c r="F126" s="3351"/>
      <c r="G126" s="3351"/>
      <c r="H126" s="3351"/>
      <c r="I126" s="3352"/>
      <c r="AA126" s="683"/>
    </row>
    <row r="127" spans="1:27" ht="18.75" customHeight="1">
      <c r="A127" s="3286" t="s">
        <v>1451</v>
      </c>
      <c r="B127" s="3286"/>
      <c r="C127" s="3286"/>
      <c r="D127" s="3326" t="e">
        <f>NUMBERSTRING(INT(D126*10000),2)&amp;"元整"</f>
        <v>#VALUE!</v>
      </c>
      <c r="E127" s="3327"/>
      <c r="F127" s="3327"/>
      <c r="G127" s="3327"/>
      <c r="H127" s="3327"/>
      <c r="I127" s="3328"/>
      <c r="AA127" s="683"/>
    </row>
    <row r="128" spans="1:27" ht="21.75" customHeight="1">
      <c r="A128" s="3333" t="s">
        <v>1452</v>
      </c>
      <c r="B128" s="3333"/>
      <c r="C128" s="3333"/>
      <c r="D128" s="3333"/>
      <c r="E128" s="3333"/>
      <c r="F128" s="3333"/>
      <c r="G128" s="3333"/>
      <c r="H128" s="3333"/>
      <c r="I128" s="3333"/>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3"/>
      <c r="C1" s="190"/>
      <c r="D1" s="190"/>
      <c r="E1" s="190"/>
      <c r="F1" s="190"/>
      <c r="G1" s="1061">
        <f>MATCH(B1,'数据-取费表'!A6:A16,0)+5</f>
        <v>7</v>
      </c>
    </row>
    <row r="2" spans="1:9" s="192" customFormat="1" ht="18" customHeight="1">
      <c r="A2" s="193" t="s">
        <v>1461</v>
      </c>
      <c r="B2" s="194">
        <f ca="1">IF(D2="——",C52,C52-E2)</f>
        <v>66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5955</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2.2166000000000001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2.2166000000000001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110.83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110.83</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6.4">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56</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110.83</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11</v>
      </c>
      <c r="D45" s="227">
        <f ca="1">C47</f>
        <v>4.0000000000000001E-3</v>
      </c>
      <c r="E45" s="228" t="s">
        <v>1538</v>
      </c>
      <c r="F45" s="238">
        <f ca="1">F27</f>
        <v>0.2</v>
      </c>
      <c r="G45" s="239" t="s">
        <v>1547</v>
      </c>
    </row>
    <row r="46" spans="1:7" s="206" customFormat="1" ht="13.5" customHeight="1">
      <c r="A46" s="733" t="s">
        <v>346</v>
      </c>
      <c r="B46" s="240" t="s">
        <v>1548</v>
      </c>
      <c r="C46" s="241">
        <f ca="1">ROUND((C33+C39)*F27,0)</f>
        <v>11</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76</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60</v>
      </c>
      <c r="D51" s="224"/>
      <c r="E51" s="224"/>
      <c r="F51" s="256"/>
      <c r="G51" s="226" t="s">
        <v>1559</v>
      </c>
    </row>
    <row r="52" spans="1:7" s="200" customFormat="1" ht="16.8" thickBot="1">
      <c r="A52" s="257" t="s">
        <v>1560</v>
      </c>
      <c r="B52" s="258"/>
      <c r="C52" s="259">
        <f ca="1">C31+C51</f>
        <v>66</v>
      </c>
      <c r="D52" s="258"/>
      <c r="E52" s="258"/>
      <c r="F52" s="258"/>
      <c r="G52" s="260"/>
    </row>
    <row r="55" spans="1:7" ht="15">
      <c r="B55" s="262" t="s">
        <v>1561</v>
      </c>
      <c r="C55" s="263"/>
    </row>
    <row r="56" spans="1:7">
      <c r="B56" s="265" t="s">
        <v>801</v>
      </c>
      <c r="C56" s="267">
        <f ca="1">1-C57</f>
        <v>9.099999999999997E-2</v>
      </c>
    </row>
    <row r="57" spans="1:7">
      <c r="B57" s="265" t="s">
        <v>802</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65.981399999999994</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22166</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22166</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22166</v>
      </c>
      <c r="D10" s="794">
        <f ca="1">IF(B1="",'数据-汇总表'!E6,IF(INDIRECT("'数据-取费表'!c"&amp;$G$1)="住宅",INDIRECT("'数据-取费表'!s"&amp;$G$1),INDIRECT("'数据-取费表'!k"&amp;$G$1)+INDIRECT("'数据-取费表'!s"&amp;$G$1)))</f>
        <v>110.83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22166</v>
      </c>
      <c r="D19" s="204">
        <f ca="1">D9+D10</f>
        <v>110.83</v>
      </c>
      <c r="E19" s="203">
        <f>'数据-取费表'!B31</f>
        <v>200</v>
      </c>
      <c r="F19" s="223"/>
      <c r="G19" s="1713"/>
    </row>
    <row r="20" spans="1:7" s="206" customFormat="1" ht="13.5" customHeight="1">
      <c r="A20" s="247" t="s">
        <v>1573</v>
      </c>
      <c r="B20" s="202" t="s">
        <v>1574</v>
      </c>
      <c r="C20" s="224">
        <f ca="1">ROUND((C5+C19)*F20,0)</f>
        <v>887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2819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1396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1396</v>
      </c>
      <c r="D24" s="230"/>
      <c r="E24" s="230"/>
      <c r="F24" s="231"/>
      <c r="G24" s="232" t="s">
        <v>1585</v>
      </c>
    </row>
    <row r="25" spans="1:7" s="206" customFormat="1" ht="24">
      <c r="A25" s="733" t="s">
        <v>1475</v>
      </c>
      <c r="B25" s="207" t="s">
        <v>1586</v>
      </c>
      <c r="C25" s="230">
        <f ca="1">ROUND(IF('数据-取费表'!B22&lt;=1,C20*F22*'数据-取费表'!B22/2,C20*(POWER((1+F22),'数据-取费表'!B22/2)-1)),0)</f>
        <v>27</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f ca="1">C28</f>
        <v>9044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9044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61904</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555813</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498735</v>
      </c>
      <c r="D34" s="209"/>
      <c r="E34" s="212"/>
      <c r="F34" s="249"/>
      <c r="G34" s="211"/>
    </row>
    <row r="35" spans="1:7" ht="13.5" customHeight="1">
      <c r="A35" s="733" t="s">
        <v>351</v>
      </c>
      <c r="B35" s="207" t="s">
        <v>1526</v>
      </c>
      <c r="C35" s="212">
        <f ca="1">ROUND(C34*F35,0)</f>
        <v>24937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22166</v>
      </c>
      <c r="D37" s="209">
        <f ca="1">D19</f>
        <v>110.83</v>
      </c>
      <c r="E37" s="241">
        <f>'数据-取费表'!B35</f>
        <v>200</v>
      </c>
      <c r="F37" s="251"/>
      <c r="G37" s="253"/>
    </row>
    <row r="38" spans="1:7" ht="13.5" customHeight="1">
      <c r="A38" s="733" t="s">
        <v>354</v>
      </c>
      <c r="B38" s="207" t="s">
        <v>1532</v>
      </c>
      <c r="C38" s="212">
        <f ca="1">ROUND(C34*F38,0)</f>
        <v>9975</v>
      </c>
      <c r="D38" s="212"/>
      <c r="E38" s="212"/>
      <c r="F38" s="251">
        <f>'数据-取费表'!B36</f>
        <v>0.02</v>
      </c>
      <c r="G38" s="211" t="s">
        <v>1527</v>
      </c>
    </row>
    <row r="39" spans="1:7" s="206" customFormat="1" ht="13.5" customHeight="1">
      <c r="A39" s="247" t="s">
        <v>1533</v>
      </c>
      <c r="B39" s="202" t="s">
        <v>1534</v>
      </c>
      <c r="C39" s="224">
        <f ca="1">ROUND(C33*F20,0)</f>
        <v>11116</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17575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17230</v>
      </c>
      <c r="D42" s="230"/>
      <c r="E42" s="230"/>
      <c r="F42" s="231"/>
      <c r="G42" s="3366" t="s">
        <v>1590</v>
      </c>
    </row>
    <row r="43" spans="1:7" ht="13.5" customHeight="1">
      <c r="A43" s="733" t="s">
        <v>347</v>
      </c>
      <c r="B43" s="207" t="s">
        <v>1544</v>
      </c>
      <c r="C43" s="230">
        <f ca="1">ROUND(IF('数据-取费表'!B22&lt;=1,C39*F22*'数据-取费表'!B20/2,C39*(POWER((1+F22),'数据-取费表'!B20/2)-1)),0)</f>
        <v>345</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113386</v>
      </c>
      <c r="D45" s="227">
        <f ca="1">C47</f>
        <v>4.0000000000000001E-3</v>
      </c>
      <c r="E45" s="228" t="s">
        <v>1538</v>
      </c>
      <c r="F45" s="238">
        <f ca="1">F27</f>
        <v>0.2</v>
      </c>
      <c r="G45" s="239" t="s">
        <v>1547</v>
      </c>
    </row>
    <row r="46" spans="1:7" s="206" customFormat="1" ht="13.5" customHeight="1">
      <c r="A46" s="733" t="s">
        <v>346</v>
      </c>
      <c r="B46" s="240" t="s">
        <v>1548</v>
      </c>
      <c r="C46" s="241">
        <f ca="1">ROUND((C33+C39)*F27,0)</f>
        <v>113386</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756848</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597910</v>
      </c>
      <c r="D51" s="224"/>
      <c r="E51" s="224"/>
      <c r="F51" s="256"/>
      <c r="G51" s="226" t="s">
        <v>1559</v>
      </c>
    </row>
    <row r="52" spans="1:7" s="200" customFormat="1" ht="16.8" thickBot="1">
      <c r="A52" s="257" t="s">
        <v>1560</v>
      </c>
      <c r="B52" s="258"/>
      <c r="C52" s="259">
        <f ca="1">C31+C51</f>
        <v>659814</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110.83</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110.83</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-0.21660000000000013</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110.83</v>
      </c>
      <c r="E20" s="21">
        <f>'数据-取费表'!B28</f>
        <v>200</v>
      </c>
      <c r="F20" s="755"/>
      <c r="G20" s="12"/>
      <c r="H20" s="760"/>
      <c r="I20" s="760"/>
      <c r="J20" s="760"/>
      <c r="K20" s="761"/>
    </row>
    <row r="21" spans="1:33" s="754" customFormat="1" ht="13.5" customHeight="1">
      <c r="A21" s="743" t="s">
        <v>357</v>
      </c>
      <c r="B21" s="764" t="s">
        <v>1627</v>
      </c>
      <c r="C21" s="765">
        <f ca="1">C16+C17+C18</f>
        <v>-0.21660000000000013</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8"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8"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8"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8"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8"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8"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36.6"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24.6"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37.200000000000003"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6"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6"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8"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8"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8"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8"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2"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24.6"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2"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8" thickBot="1">
      <c r="A69" s="896"/>
      <c r="B69" s="897"/>
      <c r="C69" s="298"/>
      <c r="D69" s="915" t="s">
        <v>761</v>
      </c>
      <c r="E69" s="895" t="s">
        <v>762</v>
      </c>
      <c r="F69" s="324">
        <f ca="1">F41</f>
        <v>0</v>
      </c>
      <c r="O69" s="1333" t="s">
        <v>411</v>
      </c>
      <c r="P69" s="1370" t="s">
        <v>871</v>
      </c>
      <c r="Q69" s="1326">
        <f ca="1">C39</f>
        <v>0</v>
      </c>
      <c r="R69" s="1326" t="s">
        <v>817</v>
      </c>
    </row>
    <row r="70" spans="1:18" s="1291" customFormat="1" ht="13.8" thickBot="1">
      <c r="A70" s="899"/>
      <c r="B70" s="900"/>
      <c r="C70" s="302"/>
      <c r="D70" s="911"/>
      <c r="E70" s="895" t="s">
        <v>765</v>
      </c>
      <c r="F70" s="990"/>
      <c r="O70" s="1333" t="s">
        <v>412</v>
      </c>
      <c r="P70" s="1370" t="s">
        <v>872</v>
      </c>
      <c r="Q70" s="1326">
        <f ca="1">C13</f>
        <v>0</v>
      </c>
      <c r="R70" s="1326" t="s">
        <v>817</v>
      </c>
    </row>
    <row r="71" spans="1:18" s="1291" customFormat="1" ht="13.8"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N18" zoomScale="85" zoomScaleNormal="70" zoomScaleSheetLayoutView="85" workbookViewId="0">
      <selection activeCell="M38" sqref="M38"/>
    </sheetView>
  </sheetViews>
  <sheetFormatPr defaultColWidth="9" defaultRowHeight="13.8"/>
  <cols>
    <col min="1" max="1" width="10.44140625" style="347" customWidth="1"/>
    <col min="2" max="2" width="15.77734375" style="347" customWidth="1"/>
    <col min="3" max="3" width="16.88671875" style="347" customWidth="1"/>
    <col min="4" max="4" width="12.21875" style="347" customWidth="1"/>
    <col min="5" max="5" width="16.44140625" style="347" customWidth="1"/>
    <col min="6" max="6" width="12.21875" style="347" customWidth="1"/>
    <col min="7" max="7" width="17.2187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3463</v>
      </c>
      <c r="E1" s="3124" t="s">
        <v>3467</v>
      </c>
      <c r="F1" s="1734" t="s">
        <v>3468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466.26179999999999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42070</v>
      </c>
      <c r="C3" s="344" t="s">
        <v>1767</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75" t="s">
        <v>1771</v>
      </c>
      <c r="AC4" s="3389" t="s">
        <v>1772</v>
      </c>
    </row>
    <row r="5" spans="1:29">
      <c r="A5" s="348"/>
      <c r="B5" s="349"/>
      <c r="C5" s="3415" t="s">
        <v>1672</v>
      </c>
      <c r="D5" s="3411"/>
      <c r="E5" s="3418" t="s">
        <v>3469</v>
      </c>
      <c r="F5" s="3419"/>
      <c r="G5" s="3410" t="s">
        <v>3469</v>
      </c>
      <c r="H5" s="3411"/>
      <c r="I5" s="3410" t="s">
        <v>3469</v>
      </c>
      <c r="J5" s="3411"/>
      <c r="K5" s="537"/>
      <c r="L5" s="2486"/>
      <c r="M5" s="2487"/>
      <c r="N5" s="2487"/>
      <c r="O5" s="2487"/>
      <c r="P5" s="3398"/>
      <c r="Q5" s="3399"/>
      <c r="R5" s="3404"/>
      <c r="S5" s="3405"/>
      <c r="T5" s="3404"/>
      <c r="U5" s="3405"/>
      <c r="V5" s="3375"/>
      <c r="W5" s="3375"/>
      <c r="X5" s="1264"/>
      <c r="Y5" s="3404"/>
      <c r="Z5" s="3405"/>
      <c r="AA5" s="3390"/>
      <c r="AB5" s="3375"/>
      <c r="AC5" s="3390"/>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ht="14.4">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6"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2</v>
      </c>
      <c r="L25" s="2492"/>
      <c r="M25" s="2487"/>
      <c r="N25" s="2487"/>
      <c r="O25" s="2487"/>
      <c r="P25" s="3380"/>
      <c r="Q25" s="1262" t="str">
        <f t="shared" ref="Q25:Q46" si="11">B25</f>
        <v>临街状况</v>
      </c>
      <c r="R25" s="666" t="s">
        <v>14</v>
      </c>
      <c r="S25" s="667">
        <f>F25</f>
        <v>100</v>
      </c>
      <c r="T25" s="666" t="s">
        <v>14</v>
      </c>
      <c r="U25" s="667">
        <f>H25</f>
        <v>100</v>
      </c>
      <c r="V25" s="666" t="s">
        <v>14</v>
      </c>
      <c r="W25" s="667">
        <f>J25</f>
        <v>100</v>
      </c>
      <c r="X25" s="1264"/>
      <c r="Y25" s="3382"/>
      <c r="Z25" s="1263" t="str">
        <f>Q25</f>
        <v>临街状况</v>
      </c>
      <c r="AA25" s="1263">
        <f t="shared" si="3"/>
        <v>1</v>
      </c>
      <c r="AB25" s="1263">
        <f t="shared" si="4"/>
        <v>1</v>
      </c>
      <c r="AC25" s="1263">
        <f t="shared" si="5"/>
        <v>1</v>
      </c>
    </row>
    <row r="26" spans="1:29" ht="15">
      <c r="A26" s="367"/>
      <c r="B26" s="1065" t="s">
        <v>1780</v>
      </c>
      <c r="C26" s="3174" t="s">
        <v>3486</v>
      </c>
      <c r="D26" s="374">
        <v>100</v>
      </c>
      <c r="E26" s="3174" t="s">
        <v>3486</v>
      </c>
      <c r="F26" s="400">
        <f>SUMIF(88:88,E26,89:89)-SUMIF(88:88,C26,89:89)+100</f>
        <v>100</v>
      </c>
      <c r="G26" s="3174" t="s">
        <v>3486</v>
      </c>
      <c r="H26" s="374">
        <f>SUMIF(88:88,G26,89:89)-SUMIF(88:88,C26,89:89)+100</f>
        <v>100</v>
      </c>
      <c r="I26" s="3174" t="s">
        <v>3486</v>
      </c>
      <c r="J26" s="374">
        <f>SUMIF(88:88,I26,89:89)-SUMIF(88:88,C26,89:89)+100</f>
        <v>100</v>
      </c>
      <c r="K26" s="539"/>
      <c r="L26" s="2492"/>
      <c r="M26" s="2487"/>
      <c r="N26" s="2487"/>
      <c r="O26" s="2487"/>
      <c r="P26" s="3380"/>
      <c r="Q26" s="1262" t="str">
        <f t="shared" si="11"/>
        <v>平面位置/可视性</v>
      </c>
      <c r="R26" s="666" t="s">
        <v>14</v>
      </c>
      <c r="S26" s="667">
        <f>F26</f>
        <v>100</v>
      </c>
      <c r="T26" s="666" t="s">
        <v>14</v>
      </c>
      <c r="U26" s="667">
        <f>H26</f>
        <v>100</v>
      </c>
      <c r="V26" s="666" t="s">
        <v>14</v>
      </c>
      <c r="W26" s="667">
        <f>J26</f>
        <v>100</v>
      </c>
      <c r="X26" s="1264"/>
      <c r="Y26" s="3382"/>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2</v>
      </c>
      <c r="L27" s="2488"/>
      <c r="M27" s="2439"/>
      <c r="N27" s="2439"/>
      <c r="O27" s="2439"/>
      <c r="P27" s="3380"/>
      <c r="Q27" s="530" t="str">
        <f t="shared" si="11"/>
        <v>人流量</v>
      </c>
      <c r="R27" s="663" t="s">
        <v>14</v>
      </c>
      <c r="S27" s="664">
        <f>F27</f>
        <v>100</v>
      </c>
      <c r="T27" s="663" t="s">
        <v>14</v>
      </c>
      <c r="U27" s="664">
        <f>H27</f>
        <v>100</v>
      </c>
      <c r="V27" s="663" t="s">
        <v>14</v>
      </c>
      <c r="W27" s="664">
        <f>J27</f>
        <v>100</v>
      </c>
      <c r="X27" s="665"/>
      <c r="Y27" s="3382"/>
      <c r="Z27" s="50" t="str">
        <f>Q27</f>
        <v>人流量</v>
      </c>
      <c r="AA27" s="1263">
        <f>D27/F27</f>
        <v>1</v>
      </c>
      <c r="AB27" s="1263">
        <f>D27/H27</f>
        <v>1</v>
      </c>
      <c r="AC27" s="1263">
        <f>D27/J27</f>
        <v>1</v>
      </c>
    </row>
    <row r="28" spans="1:29" ht="15.6"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38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2"/>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87.71</v>
      </c>
      <c r="F33" s="364">
        <f>LOOKUP(E33,103:103,104:104)-LOOKUP(C33,103:103,104:104)+100</f>
        <v>101</v>
      </c>
      <c r="G33" s="407">
        <v>387.94</v>
      </c>
      <c r="H33" s="119">
        <f>LOOKUP(G33,103:103,104:104)-LOOKUP(C33,103:103,104:104)+100</f>
        <v>98</v>
      </c>
      <c r="I33" s="407">
        <v>87.78</v>
      </c>
      <c r="J33" s="119">
        <f>LOOKUP(I33,103:103,104:104)-LOOKUP(C33,103:103,104:104)+100</f>
        <v>101</v>
      </c>
      <c r="K33" s="539"/>
      <c r="L33" s="2491"/>
      <c r="M33" s="2493"/>
      <c r="N33" s="2493"/>
      <c r="O33" s="2493"/>
      <c r="P33" s="3384"/>
      <c r="Q33" s="531" t="str">
        <f t="shared" si="11"/>
        <v>项目建筑规模</v>
      </c>
      <c r="R33" s="668" t="s">
        <v>14</v>
      </c>
      <c r="S33" s="669">
        <f t="shared" si="12"/>
        <v>101</v>
      </c>
      <c r="T33" s="668" t="s">
        <v>14</v>
      </c>
      <c r="U33" s="669">
        <f t="shared" si="13"/>
        <v>98</v>
      </c>
      <c r="V33" s="668" t="s">
        <v>14</v>
      </c>
      <c r="W33" s="669">
        <f t="shared" si="14"/>
        <v>101</v>
      </c>
      <c r="X33" s="670"/>
      <c r="Y33" s="3386"/>
      <c r="Z33" s="671" t="str">
        <f t="shared" si="15"/>
        <v>项目建筑规模</v>
      </c>
      <c r="AA33" s="1263">
        <f t="shared" si="3"/>
        <v>0.99009900990099009</v>
      </c>
      <c r="AB33" s="1263">
        <f t="shared" si="4"/>
        <v>1.0204081632653061</v>
      </c>
      <c r="AC33" s="1263">
        <f t="shared" si="5"/>
        <v>0.99009900990099009</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28.8">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105</v>
      </c>
      <c r="I44" s="3175" t="s">
        <v>3454</v>
      </c>
      <c r="J44" s="119">
        <f>SUMIF(126:126,I44,127:127)-SUMIF(126:126,C44,127:127)+100</f>
        <v>105</v>
      </c>
      <c r="K44" s="539"/>
      <c r="L44" s="2488"/>
      <c r="M44" s="2439"/>
      <c r="N44" s="2439"/>
      <c r="O44" s="2439"/>
      <c r="P44" s="3384"/>
      <c r="Q44" s="530" t="str">
        <f t="shared" si="11"/>
        <v>露台</v>
      </c>
      <c r="R44" s="663" t="s">
        <v>14</v>
      </c>
      <c r="S44" s="664">
        <f t="shared" si="12"/>
        <v>100</v>
      </c>
      <c r="T44" s="663" t="s">
        <v>14</v>
      </c>
      <c r="U44" s="664">
        <f t="shared" si="13"/>
        <v>105</v>
      </c>
      <c r="V44" s="663" t="s">
        <v>14</v>
      </c>
      <c r="W44" s="664">
        <f t="shared" si="14"/>
        <v>105</v>
      </c>
      <c r="X44" s="665"/>
      <c r="Y44" s="3386"/>
      <c r="Z44" s="50" t="str">
        <f t="shared" si="15"/>
        <v>露台</v>
      </c>
      <c r="AA44" s="50">
        <f t="shared" si="3"/>
        <v>1</v>
      </c>
      <c r="AB44" s="50">
        <f t="shared" si="4"/>
        <v>0.95238095238095233</v>
      </c>
      <c r="AC44" s="50">
        <f t="shared" si="5"/>
        <v>0.95238095238095233</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4.4">
      <c r="A47" s="416" t="s">
        <v>1707</v>
      </c>
      <c r="B47" s="417"/>
      <c r="C47" s="1080" t="s">
        <v>0</v>
      </c>
      <c r="D47" s="418"/>
      <c r="E47" s="419">
        <v>39449</v>
      </c>
      <c r="F47" s="420"/>
      <c r="G47" s="421">
        <v>42533</v>
      </c>
      <c r="H47" s="422"/>
      <c r="I47" s="419">
        <v>51265</v>
      </c>
      <c r="J47" s="422"/>
      <c r="K47" s="673"/>
      <c r="L47" s="2494"/>
      <c r="M47" s="2487"/>
      <c r="N47" s="2487"/>
      <c r="O47" s="2487"/>
      <c r="P47" s="3374" t="str">
        <f>A47</f>
        <v>成交单价（元/平方米）</v>
      </c>
      <c r="Q47" s="3374"/>
      <c r="R47" s="3375">
        <f>E47</f>
        <v>39449</v>
      </c>
      <c r="S47" s="3375"/>
      <c r="T47" s="3375">
        <f>G47</f>
        <v>42533</v>
      </c>
      <c r="U47" s="3375"/>
      <c r="V47" s="3375">
        <f>I47</f>
        <v>51265</v>
      </c>
      <c r="W47" s="3375"/>
      <c r="X47" s="385"/>
      <c r="Y47" s="672"/>
      <c r="Z47" s="385"/>
      <c r="AA47" s="385"/>
      <c r="AB47" s="385"/>
      <c r="AC47" s="385"/>
    </row>
    <row r="48" spans="1:29" ht="15" thickBot="1">
      <c r="A48" s="423" t="s">
        <v>1792</v>
      </c>
      <c r="B48" s="424"/>
      <c r="C48" s="1081">
        <f>R49</f>
        <v>42070</v>
      </c>
      <c r="D48" s="2140" t="s">
        <v>2137</v>
      </c>
      <c r="E48" s="1082">
        <f>R48</f>
        <v>38293</v>
      </c>
      <c r="F48" s="2141"/>
      <c r="G48" s="1081">
        <f>T48</f>
        <v>40524</v>
      </c>
      <c r="H48" s="2141"/>
      <c r="I48" s="1082">
        <f>V48</f>
        <v>47393</v>
      </c>
      <c r="J48" s="2141"/>
      <c r="K48" s="2143">
        <f>F48+H48+J48</f>
        <v>0</v>
      </c>
      <c r="L48" s="2494"/>
      <c r="M48" s="2487"/>
      <c r="N48" s="2487"/>
      <c r="O48" s="2487"/>
      <c r="P48" s="3374" t="str">
        <f>A48</f>
        <v>比较价值（元/平方米）</v>
      </c>
      <c r="Q48" s="3374"/>
      <c r="R48" s="3375">
        <f>IF(F1="售价",ROUND(PRODUCT(R47,AA7:AA46),0),ROUND(PRODUCT(R47,AA7:AA46),1))</f>
        <v>38293</v>
      </c>
      <c r="S48" s="3375"/>
      <c r="T48" s="3375">
        <f>IF(F1="售价",ROUND(PRODUCT(T47,AB7:AB46),0),ROUND(PRODUCT(T47,AB7:AB46),1))</f>
        <v>40524</v>
      </c>
      <c r="U48" s="3375"/>
      <c r="V48" s="3375">
        <f>IF(F1="售价",ROUND(PRODUCT(V47,AC7:AC46),0),ROUND(PRODUCT(V47,AC7:AC46),1))</f>
        <v>47393</v>
      </c>
      <c r="W48" s="3375"/>
      <c r="X48" s="385"/>
      <c r="Y48" s="385"/>
      <c r="Z48" s="385"/>
      <c r="AA48" s="385"/>
      <c r="AB48" s="385"/>
      <c r="AC48" s="385"/>
    </row>
    <row r="49" spans="1:29" ht="15" thickBot="1">
      <c r="A49" s="427" t="s">
        <v>1793</v>
      </c>
      <c r="B49" s="428"/>
      <c r="C49" s="351">
        <f>R49</f>
        <v>42070</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42070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3.0188285065155585E-2</v>
      </c>
      <c r="F52" s="435" t="str">
        <f>IF(OR(E52&gt;=0.3,E52&lt;=-0.3),"超过30%","")</f>
        <v/>
      </c>
      <c r="G52" s="434">
        <f>IF(G47&lt;G48,G48/G47-1,G47/G48-1)</f>
        <v>4.9575560161879473E-2</v>
      </c>
      <c r="H52" s="435" t="str">
        <f>IF(OR(G52&gt;=0.3,G52&lt;=-0.3),"超过30%","")</f>
        <v/>
      </c>
      <c r="I52" s="434">
        <f>IF(I47&lt;I48,I48/I47-1,I47/I48-1)</f>
        <v>8.1699829088683895E-2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5.8261301021074408E-2</v>
      </c>
      <c r="F53" s="435" t="str">
        <f>IF(OR(E53&gt;=0.2,E53&lt;=-0.2),"超过20%","")</f>
        <v/>
      </c>
      <c r="G53" s="434">
        <f>IF(G48&lt;I48,I48/G48-1,G48/I48-1)</f>
        <v>0.16950449116572885</v>
      </c>
      <c r="H53" s="435" t="str">
        <f>IF(OR(G53&gt;=0.2,G53&lt;=-0.2),"超过20%","")</f>
        <v/>
      </c>
      <c r="I53" s="434">
        <f>IF(I48&lt;E48,E48/I48-1,I48/E48-1)</f>
        <v>0.2376413443710339</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t="s">
        <v>3463</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327.84390000000002</v>
      </c>
      <c r="C2" s="1288" t="s">
        <v>878</v>
      </c>
      <c r="D2" s="1374">
        <f ca="1">C40+J29+L46</f>
        <v>3278439</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284335</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283980</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110.83</v>
      </c>
      <c r="G7" s="1291"/>
      <c r="H7" s="296"/>
      <c r="I7" s="3372"/>
      <c r="J7" s="298"/>
      <c r="K7" s="299"/>
      <c r="L7" s="294" t="s">
        <v>696</v>
      </c>
      <c r="M7" s="295">
        <f ca="1">F7</f>
        <v>110.83</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355</v>
      </c>
      <c r="D10" s="150" t="s">
        <v>2115</v>
      </c>
      <c r="E10" s="305" t="s">
        <v>700</v>
      </c>
      <c r="F10" s="1052" t="s">
        <v>3475</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597910</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498735</v>
      </c>
      <c r="D14" s="1256" t="s">
        <v>707</v>
      </c>
      <c r="E14" s="1254"/>
      <c r="F14" s="311"/>
      <c r="G14" s="1291"/>
      <c r="H14" s="927" t="s">
        <v>398</v>
      </c>
      <c r="I14" s="294" t="s">
        <v>708</v>
      </c>
      <c r="J14" s="21">
        <f ca="1">C29</f>
        <v>756848</v>
      </c>
      <c r="K14" s="12"/>
      <c r="L14" s="758"/>
      <c r="M14" s="759"/>
    </row>
    <row r="15" spans="1:37" s="1303" customFormat="1" ht="18" customHeight="1" thickBot="1">
      <c r="A15" s="927" t="s">
        <v>399</v>
      </c>
      <c r="B15" s="294" t="s">
        <v>709</v>
      </c>
      <c r="C15" s="21">
        <f ca="1">ROUND(C14*F15,0)</f>
        <v>24937</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3784</v>
      </c>
      <c r="K16" s="1023" t="s">
        <v>714</v>
      </c>
      <c r="L16" s="1024"/>
      <c r="M16" s="1008"/>
    </row>
    <row r="17" spans="1:37" s="1303" customFormat="1" ht="18" customHeight="1">
      <c r="A17" s="927" t="s">
        <v>680</v>
      </c>
      <c r="B17" s="294" t="s">
        <v>715</v>
      </c>
      <c r="C17" s="21">
        <f ca="1">ROUND(F17*(F43+INDIRECT("'数据-取费表'!S"&amp;$G$1)),0)</f>
        <v>22166</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9975</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555813</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11116</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3784</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17575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-3784</v>
      </c>
      <c r="K25" s="1031" t="s">
        <v>752</v>
      </c>
      <c r="L25" s="1032"/>
      <c r="M25" s="1033"/>
    </row>
    <row r="26" spans="1:37" ht="18" customHeight="1">
      <c r="A26" s="927" t="s">
        <v>397</v>
      </c>
      <c r="B26" s="294" t="s">
        <v>753</v>
      </c>
      <c r="C26" s="21">
        <f ca="1">ROUND((C19+C20)*F26,0)</f>
        <v>113386</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756848</v>
      </c>
      <c r="D29" s="1028"/>
      <c r="E29" s="1026"/>
      <c r="F29" s="1029"/>
      <c r="G29" s="1302"/>
      <c r="H29" s="325" t="s">
        <v>396</v>
      </c>
      <c r="I29" s="326" t="s">
        <v>767</v>
      </c>
      <c r="J29" s="327">
        <f ca="1">ROUND(J26/(1+F40)^F41,0)</f>
        <v>0</v>
      </c>
      <c r="K29" s="328" t="s">
        <v>768</v>
      </c>
      <c r="L29" s="329"/>
      <c r="M29" s="330">
        <f ca="1">INDIRECT("'数据-取费表'!k"&amp;$G$1)</f>
        <v>110.83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24736</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18932</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3784</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598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1422</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259599</v>
      </c>
      <c r="D39" s="1031" t="s">
        <v>772</v>
      </c>
      <c r="E39" s="1032"/>
      <c r="F39" s="1033"/>
      <c r="G39" s="1291"/>
      <c r="H39" s="2473"/>
      <c r="I39" s="1304"/>
      <c r="J39" s="1305"/>
      <c r="K39" s="2471"/>
      <c r="L39" s="2473"/>
      <c r="M39" s="2473"/>
    </row>
    <row r="40" spans="1:18" ht="18" customHeight="1">
      <c r="A40" s="291" t="s">
        <v>395</v>
      </c>
      <c r="B40" s="292" t="s">
        <v>773</v>
      </c>
      <c r="C40" s="293">
        <f ca="1">ROUND(C39*(1-((1+F42)/(1+F40))^F41)/(F40-F42),0)</f>
        <v>3184566</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110.83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-323.13170000000002</v>
      </c>
      <c r="D45" s="3130" t="s">
        <v>3348</v>
      </c>
      <c r="E45" s="1306"/>
      <c r="F45" s="1306"/>
      <c r="O45" s="1309" t="s">
        <v>807</v>
      </c>
      <c r="P45" s="1365"/>
      <c r="Q45" s="1365"/>
      <c r="R45" s="1365"/>
    </row>
    <row r="46" spans="1:18" s="1291" customFormat="1" ht="13.8" thickBot="1">
      <c r="A46" s="1310" t="s">
        <v>808</v>
      </c>
      <c r="C46" s="1311">
        <f ca="1">ROUND(C45,0)</f>
        <v>-323</v>
      </c>
      <c r="D46" s="1312" t="str">
        <f>C2</f>
        <v>万元</v>
      </c>
      <c r="I46" s="1313" t="s">
        <v>809</v>
      </c>
      <c r="J46" s="1314"/>
      <c r="K46" s="1315"/>
      <c r="L46" s="1316">
        <f ca="1">IF(M47="住宅",0,IF(L48&gt;J51,L60,J60))</f>
        <v>93873</v>
      </c>
      <c r="O46" s="1317" t="s">
        <v>810</v>
      </c>
      <c r="P46" s="1318" t="s">
        <v>811</v>
      </c>
      <c r="Q46" s="1319" t="s">
        <v>812</v>
      </c>
      <c r="R46" s="1319" t="s">
        <v>813</v>
      </c>
    </row>
    <row r="47" spans="1:18" s="1291" customFormat="1" ht="13.8"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3184566</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t="s">
        <v>3476</v>
      </c>
      <c r="K48" s="1329" t="s">
        <v>819</v>
      </c>
      <c r="L48" s="1330">
        <f ca="1">INDIRECT("'数据-取费表'!f"&amp;$G$1)</f>
        <v>17.54</v>
      </c>
      <c r="O48" s="1324" t="s">
        <v>404</v>
      </c>
      <c r="P48" s="1325" t="s">
        <v>820</v>
      </c>
      <c r="Q48" s="1326">
        <f ca="1">J60</f>
        <v>93873</v>
      </c>
      <c r="R48" s="1326" t="s">
        <v>821</v>
      </c>
    </row>
    <row r="49" spans="1:18" s="1291" customFormat="1" ht="13.8"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756848</v>
      </c>
      <c r="R49" s="1326" t="s">
        <v>817</v>
      </c>
    </row>
    <row r="50" spans="1:18" s="1291" customFormat="1" ht="13.8" thickBot="1">
      <c r="A50" s="921"/>
      <c r="B50" s="924"/>
      <c r="C50" s="925"/>
      <c r="D50" s="898"/>
      <c r="E50" s="992" t="s">
        <v>696</v>
      </c>
      <c r="F50" s="993">
        <f ca="1">F7</f>
        <v>110.83</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8"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3845986</v>
      </c>
      <c r="M51" s="1340"/>
      <c r="O51" s="1333" t="s">
        <v>407</v>
      </c>
      <c r="P51" s="1325" t="s">
        <v>830</v>
      </c>
      <c r="Q51" s="1336">
        <f>J52</f>
        <v>7.4999999999999997E-2</v>
      </c>
      <c r="R51" s="1326"/>
    </row>
    <row r="52" spans="1:18" s="1291" customFormat="1" ht="13.8"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3278439</v>
      </c>
      <c r="R53" s="1326" t="s">
        <v>410</v>
      </c>
    </row>
    <row r="54" spans="1:18" s="1291" customFormat="1" ht="13.8"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597910</v>
      </c>
      <c r="D56" s="1351"/>
      <c r="E56" s="1352"/>
      <c r="F56" s="1344"/>
      <c r="I56" s="1353" t="s">
        <v>841</v>
      </c>
      <c r="J56" s="1354" t="s">
        <v>3462</v>
      </c>
      <c r="K56" s="1327" t="s">
        <v>842</v>
      </c>
      <c r="L56" s="1330" t="str">
        <f ca="1">IF(L48&lt;J51,"——",L48-J51)</f>
        <v>——</v>
      </c>
      <c r="O56" s="1324" t="s">
        <v>403</v>
      </c>
      <c r="P56" s="1325" t="s">
        <v>816</v>
      </c>
      <c r="Q56" s="1326">
        <f ca="1">C40+J29</f>
        <v>3184566</v>
      </c>
      <c r="R56" s="1326" t="s">
        <v>817</v>
      </c>
    </row>
    <row r="57" spans="1:18" s="1291" customFormat="1" ht="24.6" thickBot="1">
      <c r="A57" s="1355"/>
      <c r="B57" s="895" t="s">
        <v>766</v>
      </c>
      <c r="C57" s="230">
        <f ca="1">C29</f>
        <v>756848</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6" thickBot="1">
      <c r="A58" s="307" t="s">
        <v>393</v>
      </c>
      <c r="B58" s="903" t="s">
        <v>713</v>
      </c>
      <c r="C58" s="308">
        <f ca="1">ROUND(C59+C64+C65+C66,0)</f>
        <v>4382</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333770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93873</v>
      </c>
      <c r="K60" s="1364" t="s">
        <v>853</v>
      </c>
      <c r="L60" s="1363">
        <f ca="1">IF(OR(M47="住宅",L48&lt;J51),0,ROUND(L57*(L58/L59-1),0))</f>
        <v>0</v>
      </c>
      <c r="O60" s="1333" t="s">
        <v>407</v>
      </c>
      <c r="P60" s="1325" t="s">
        <v>854</v>
      </c>
      <c r="Q60" s="1326" t="e">
        <f ca="1">L58</f>
        <v>#DIV/0!</v>
      </c>
      <c r="R60" s="1326" t="s">
        <v>855</v>
      </c>
    </row>
    <row r="61" spans="1:18" s="1291" customFormat="1" ht="13.8"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3184566</v>
      </c>
      <c r="R62" s="1326" t="s">
        <v>410</v>
      </c>
    </row>
    <row r="63" spans="1:18" s="1291" customFormat="1" ht="13.8"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8" thickBot="1">
      <c r="A64" s="927" t="s">
        <v>788</v>
      </c>
      <c r="B64" s="895" t="s">
        <v>789</v>
      </c>
      <c r="C64" s="21">
        <f ca="1">ROUND(C57*F64,0)</f>
        <v>3784</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8" thickBot="1">
      <c r="A65" s="927" t="s">
        <v>791</v>
      </c>
      <c r="B65" s="895" t="s">
        <v>741</v>
      </c>
      <c r="C65" s="21">
        <f ca="1">ROUND(C56*F65,0)</f>
        <v>598</v>
      </c>
      <c r="D65" s="909" t="s">
        <v>742</v>
      </c>
      <c r="E65" s="895" t="s">
        <v>743</v>
      </c>
      <c r="F65" s="321">
        <f t="shared" ca="1" si="0"/>
        <v>1E-3</v>
      </c>
      <c r="I65" s="1366" t="s">
        <v>866</v>
      </c>
      <c r="J65" s="609">
        <v>40</v>
      </c>
      <c r="K65" s="609">
        <v>30</v>
      </c>
      <c r="L65" s="609">
        <v>50</v>
      </c>
      <c r="M65" s="1368">
        <v>0.02</v>
      </c>
      <c r="O65" s="1324" t="s">
        <v>403</v>
      </c>
      <c r="P65" s="1325" t="s">
        <v>867</v>
      </c>
      <c r="Q65" s="1326">
        <f ca="1">C40+J29</f>
        <v>3184566</v>
      </c>
      <c r="R65" s="1326" t="s">
        <v>817</v>
      </c>
    </row>
    <row r="66" spans="1:18" s="1291" customFormat="1" ht="16.2"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24.6" thickBot="1">
      <c r="A67" s="902" t="s">
        <v>394</v>
      </c>
      <c r="B67" s="912" t="s">
        <v>751</v>
      </c>
      <c r="C67" s="308">
        <f ca="1">C48-C58</f>
        <v>-4382</v>
      </c>
      <c r="D67" s="908" t="s">
        <v>752</v>
      </c>
      <c r="E67" s="913"/>
      <c r="F67" s="914"/>
      <c r="O67" s="1333" t="s">
        <v>405</v>
      </c>
      <c r="P67" s="1325" t="s">
        <v>849</v>
      </c>
      <c r="Q67" s="1369">
        <f ca="1">L51</f>
        <v>3845986</v>
      </c>
      <c r="R67" s="1326" t="s">
        <v>869</v>
      </c>
    </row>
    <row r="68" spans="1:18" s="1291" customFormat="1" ht="16.2" thickBot="1">
      <c r="A68" s="892" t="s">
        <v>395</v>
      </c>
      <c r="B68" s="893" t="s">
        <v>773</v>
      </c>
      <c r="C68" s="293">
        <f ca="1">ROUND(C67*(1-((1+F70)/(1+F68))^F69)/(F68-F70),0)</f>
        <v>-46751</v>
      </c>
      <c r="D68" s="910" t="s">
        <v>757</v>
      </c>
      <c r="E68" s="895" t="s">
        <v>758</v>
      </c>
      <c r="F68" s="304">
        <f ca="1">F40</f>
        <v>0.06</v>
      </c>
      <c r="O68" s="1333" t="s">
        <v>406</v>
      </c>
      <c r="P68" s="1370" t="s">
        <v>870</v>
      </c>
      <c r="Q68" s="1326">
        <f ca="1">ROUND(Q69-Q70*Q71,0)</f>
        <v>217745</v>
      </c>
      <c r="R68" s="1326" t="s">
        <v>414</v>
      </c>
    </row>
    <row r="69" spans="1:18" s="1291" customFormat="1" ht="13.8" thickBot="1">
      <c r="A69" s="896"/>
      <c r="B69" s="897"/>
      <c r="C69" s="298"/>
      <c r="D69" s="915" t="s">
        <v>761</v>
      </c>
      <c r="E69" s="895" t="s">
        <v>762</v>
      </c>
      <c r="F69" s="324">
        <f ca="1">F41</f>
        <v>17.54</v>
      </c>
      <c r="O69" s="1333" t="s">
        <v>411</v>
      </c>
      <c r="P69" s="1370" t="s">
        <v>871</v>
      </c>
      <c r="Q69" s="1326">
        <f ca="1">C39</f>
        <v>259599</v>
      </c>
      <c r="R69" s="1326" t="s">
        <v>817</v>
      </c>
    </row>
    <row r="70" spans="1:18" s="1291" customFormat="1" ht="13.8" thickBot="1">
      <c r="A70" s="899"/>
      <c r="B70" s="900"/>
      <c r="C70" s="302"/>
      <c r="D70" s="911"/>
      <c r="E70" s="895" t="s">
        <v>765</v>
      </c>
      <c r="F70" s="990"/>
      <c r="O70" s="1333" t="s">
        <v>412</v>
      </c>
      <c r="P70" s="1370" t="s">
        <v>872</v>
      </c>
      <c r="Q70" s="1326">
        <f ca="1">C13</f>
        <v>597910</v>
      </c>
      <c r="R70" s="1326" t="s">
        <v>817</v>
      </c>
    </row>
    <row r="71" spans="1:18" s="1291" customFormat="1" ht="13.8" thickBot="1">
      <c r="A71" s="916" t="s">
        <v>396</v>
      </c>
      <c r="B71" s="917" t="s">
        <v>775</v>
      </c>
      <c r="C71" s="327">
        <f ca="1">ROUND(C68/F71,0)</f>
        <v>-422</v>
      </c>
      <c r="D71" s="918" t="s">
        <v>776</v>
      </c>
      <c r="E71" s="919" t="s">
        <v>777</v>
      </c>
      <c r="F71" s="330">
        <f ca="1">F43</f>
        <v>110.83</v>
      </c>
      <c r="O71" s="1333" t="s">
        <v>413</v>
      </c>
      <c r="P71" s="1370" t="s">
        <v>873</v>
      </c>
      <c r="Q71" s="1336">
        <f ca="1">C76</f>
        <v>7.0000000000000007E-2</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41854</v>
      </c>
      <c r="D75" s="1291"/>
      <c r="E75" s="1291"/>
      <c r="F75" s="1291"/>
      <c r="K75" s="1308"/>
      <c r="L75" s="1291"/>
      <c r="O75" s="1324" t="s">
        <v>409</v>
      </c>
      <c r="P75" s="1325" t="s">
        <v>837</v>
      </c>
      <c r="Q75" s="1326">
        <f ca="1">Q65+Q66</f>
        <v>3184566</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zoomScale="70" zoomScaleNormal="70" zoomScaleSheetLayoutView="70" workbookViewId="0">
      <selection activeCell="M19" sqref="M19"/>
    </sheetView>
  </sheetViews>
  <sheetFormatPr defaultColWidth="9" defaultRowHeight="13.8"/>
  <cols>
    <col min="1" max="1" width="10.44140625" style="347" customWidth="1"/>
    <col min="2" max="2" width="15.77734375" style="347" customWidth="1"/>
    <col min="3" max="3" width="17.21875" style="347" customWidth="1"/>
    <col min="4" max="4" width="12.21875" style="347" customWidth="1"/>
    <col min="5" max="5" width="16.44140625" style="347" customWidth="1"/>
    <col min="6" max="6" width="12.21875" style="347" customWidth="1"/>
    <col min="7" max="7" width="17.77734375" style="347" customWidth="1"/>
    <col min="8" max="8" width="12.21875" style="347" customWidth="1"/>
    <col min="9" max="9" width="17.332031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3463</v>
      </c>
      <c r="E1" s="3124" t="s">
        <v>3467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8.6400000000000005E-2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1665</v>
      </c>
      <c r="B4" s="346"/>
      <c r="C4" s="3392" t="s">
        <v>1666</v>
      </c>
      <c r="D4" s="3393"/>
      <c r="E4" s="3394" t="s">
        <v>1667</v>
      </c>
      <c r="F4" s="3395"/>
      <c r="G4" s="3392" t="s">
        <v>1668</v>
      </c>
      <c r="H4" s="3393"/>
      <c r="I4" s="3392" t="s">
        <v>1669</v>
      </c>
      <c r="J4" s="3393"/>
      <c r="K4" s="537"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75" t="s">
        <v>1668</v>
      </c>
      <c r="AC4" s="3389" t="s">
        <v>1669</v>
      </c>
    </row>
    <row r="5" spans="1:29">
      <c r="A5" s="348"/>
      <c r="B5" s="349"/>
      <c r="C5" s="3415" t="s">
        <v>1672</v>
      </c>
      <c r="D5" s="3411"/>
      <c r="E5" s="3418" t="s">
        <v>3491</v>
      </c>
      <c r="F5" s="3419"/>
      <c r="G5" s="3410" t="s">
        <v>3491</v>
      </c>
      <c r="H5" s="3411"/>
      <c r="I5" s="3410" t="s">
        <v>3491</v>
      </c>
      <c r="J5" s="3411"/>
      <c r="K5" s="537"/>
      <c r="L5" s="2486"/>
      <c r="M5" s="2487"/>
      <c r="N5" s="2487"/>
      <c r="O5" s="2487"/>
      <c r="P5" s="3398"/>
      <c r="Q5" s="3399"/>
      <c r="R5" s="3404"/>
      <c r="S5" s="3405"/>
      <c r="T5" s="3404"/>
      <c r="U5" s="3405"/>
      <c r="V5" s="3375"/>
      <c r="W5" s="3375"/>
      <c r="X5" s="1264"/>
      <c r="Y5" s="3404"/>
      <c r="Z5" s="3405"/>
      <c r="AA5" s="3390"/>
      <c r="AB5" s="3375"/>
      <c r="AC5" s="3390"/>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ht="14.4">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6"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6"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380"/>
      <c r="Q25" s="1262" t="str">
        <f t="shared" ref="Q25:Q46" si="11">B25</f>
        <v>临街状况</v>
      </c>
      <c r="R25" s="666" t="s">
        <v>14</v>
      </c>
      <c r="S25" s="667">
        <f>F25</f>
        <v>95</v>
      </c>
      <c r="T25" s="666" t="s">
        <v>14</v>
      </c>
      <c r="U25" s="667">
        <f>H25</f>
        <v>95</v>
      </c>
      <c r="V25" s="666" t="s">
        <v>14</v>
      </c>
      <c r="W25" s="667">
        <f>J25</f>
        <v>95</v>
      </c>
      <c r="X25" s="1264"/>
      <c r="Y25" s="3382"/>
      <c r="Z25" s="1263" t="str">
        <f>Q25</f>
        <v>临街状况</v>
      </c>
      <c r="AA25" s="1263">
        <f t="shared" si="3"/>
        <v>1.0526315789473684</v>
      </c>
      <c r="AB25" s="1263">
        <f t="shared" si="4"/>
        <v>1.0526315789473684</v>
      </c>
      <c r="AC25" s="1263">
        <f t="shared" si="5"/>
        <v>1.0526315789473684</v>
      </c>
    </row>
    <row r="26" spans="1:29" ht="15">
      <c r="A26" s="367"/>
      <c r="B26" s="1065" t="s">
        <v>1780</v>
      </c>
      <c r="C26" s="3174" t="s">
        <v>3486</v>
      </c>
      <c r="D26" s="374">
        <v>100</v>
      </c>
      <c r="E26" s="3174" t="s">
        <v>3487</v>
      </c>
      <c r="F26" s="400">
        <f>SUMIF(88:88,E26,89:89)-SUMIF(88:88,C26,89:89)+100</f>
        <v>90</v>
      </c>
      <c r="G26" s="3174" t="s">
        <v>3487</v>
      </c>
      <c r="H26" s="374">
        <f>SUMIF(88:88,G26,89:89)-SUMIF(88:88,C26,89:89)+100</f>
        <v>90</v>
      </c>
      <c r="I26" s="3174" t="s">
        <v>3487</v>
      </c>
      <c r="J26" s="374">
        <f>SUMIF(88:88,I26,89:89)-SUMIF(88:88,C26,89:89)+100</f>
        <v>90</v>
      </c>
      <c r="K26" s="539"/>
      <c r="L26" s="2492"/>
      <c r="M26" s="2487"/>
      <c r="N26" s="2487"/>
      <c r="O26" s="2487"/>
      <c r="P26" s="3380"/>
      <c r="Q26" s="1262" t="str">
        <f t="shared" si="11"/>
        <v>平面位置/可视性</v>
      </c>
      <c r="R26" s="666" t="s">
        <v>14</v>
      </c>
      <c r="S26" s="667">
        <f>F26</f>
        <v>90</v>
      </c>
      <c r="T26" s="666" t="s">
        <v>14</v>
      </c>
      <c r="U26" s="667">
        <f>H26</f>
        <v>90</v>
      </c>
      <c r="V26" s="666" t="s">
        <v>14</v>
      </c>
      <c r="W26" s="667">
        <f>J26</f>
        <v>90</v>
      </c>
      <c r="X26" s="1264"/>
      <c r="Y26" s="3382"/>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380"/>
      <c r="Q27" s="530" t="str">
        <f t="shared" si="11"/>
        <v>人流量</v>
      </c>
      <c r="R27" s="663" t="s">
        <v>14</v>
      </c>
      <c r="S27" s="664">
        <f>F27</f>
        <v>95</v>
      </c>
      <c r="T27" s="663" t="s">
        <v>14</v>
      </c>
      <c r="U27" s="664">
        <f>H27</f>
        <v>95</v>
      </c>
      <c r="V27" s="663" t="s">
        <v>14</v>
      </c>
      <c r="W27" s="664">
        <f>J27</f>
        <v>95</v>
      </c>
      <c r="X27" s="665"/>
      <c r="Y27" s="3382"/>
      <c r="Z27" s="50" t="str">
        <f>Q27</f>
        <v>人流量</v>
      </c>
      <c r="AA27" s="1263">
        <f>D27/F27</f>
        <v>1.0526315789473684</v>
      </c>
      <c r="AB27" s="1263">
        <f>D27/H27</f>
        <v>1.0526315789473684</v>
      </c>
      <c r="AC27" s="1263">
        <f>D27/J27</f>
        <v>1.0526315789473684</v>
      </c>
    </row>
    <row r="28" spans="1:29" ht="15.6"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380"/>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382"/>
      <c r="Z28" s="1263" t="str">
        <f t="shared" ref="Z28:Z46" si="15">Q28</f>
        <v>楼层</v>
      </c>
      <c r="AA28" s="1263">
        <f t="shared" si="3"/>
        <v>0.8</v>
      </c>
      <c r="AB28" s="1263">
        <f t="shared" si="4"/>
        <v>0.8</v>
      </c>
      <c r="AC28" s="1263">
        <f t="shared" si="5"/>
        <v>1</v>
      </c>
    </row>
    <row r="29" spans="1:29" ht="15.6"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6"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384"/>
      <c r="Q33" s="531" t="str">
        <f t="shared" si="11"/>
        <v>项目建筑规模</v>
      </c>
      <c r="R33" s="668" t="s">
        <v>14</v>
      </c>
      <c r="S33" s="669">
        <f t="shared" si="12"/>
        <v>100</v>
      </c>
      <c r="T33" s="668" t="s">
        <v>14</v>
      </c>
      <c r="U33" s="669">
        <f t="shared" si="13"/>
        <v>100</v>
      </c>
      <c r="V33" s="668" t="s">
        <v>14</v>
      </c>
      <c r="W33" s="669">
        <f t="shared" si="14"/>
        <v>100</v>
      </c>
      <c r="X33" s="670"/>
      <c r="Y33" s="3386"/>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28.8">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3483</v>
      </c>
      <c r="D44" s="119">
        <v>100</v>
      </c>
      <c r="E44" s="3175" t="s">
        <v>3483</v>
      </c>
      <c r="F44" s="364">
        <f>SUMIF(126:126,E44,127:127)-SUMIF(126:126,C44,127:127)+100</f>
        <v>100</v>
      </c>
      <c r="G44" s="3175" t="s">
        <v>3483</v>
      </c>
      <c r="H44" s="119">
        <f>SUMIF(126:126,G44,127:127)-SUMIF(126:126,C44,127:127)+100</f>
        <v>100</v>
      </c>
      <c r="I44" s="3175" t="s">
        <v>3484</v>
      </c>
      <c r="J44" s="119">
        <f>SUMIF(126:126,I44,127:127)-SUMIF(126:126,C44,127:127)+100</f>
        <v>102</v>
      </c>
      <c r="K44" s="539"/>
      <c r="L44" s="2488"/>
      <c r="M44" s="2439"/>
      <c r="N44" s="2439"/>
      <c r="O44" s="2439"/>
      <c r="P44" s="3384"/>
      <c r="Q44" s="530" t="str">
        <f t="shared" si="11"/>
        <v>露台</v>
      </c>
      <c r="R44" s="663" t="s">
        <v>14</v>
      </c>
      <c r="S44" s="664">
        <f t="shared" si="12"/>
        <v>100</v>
      </c>
      <c r="T44" s="663" t="s">
        <v>14</v>
      </c>
      <c r="U44" s="664">
        <f t="shared" si="13"/>
        <v>100</v>
      </c>
      <c r="V44" s="663" t="s">
        <v>14</v>
      </c>
      <c r="W44" s="664">
        <f t="shared" si="14"/>
        <v>102</v>
      </c>
      <c r="X44" s="665"/>
      <c r="Y44" s="3386"/>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4.4">
      <c r="A47" s="416" t="s">
        <v>1707</v>
      </c>
      <c r="B47" s="417"/>
      <c r="C47" s="1080" t="s">
        <v>0</v>
      </c>
      <c r="D47" s="418"/>
      <c r="E47" s="419">
        <v>8.0399999999999991</v>
      </c>
      <c r="F47" s="420"/>
      <c r="G47" s="421">
        <v>7.35</v>
      </c>
      <c r="H47" s="422"/>
      <c r="I47" s="419">
        <v>7.18</v>
      </c>
      <c r="J47" s="422"/>
      <c r="K47" s="673"/>
      <c r="L47" s="2494"/>
      <c r="M47" s="2487"/>
      <c r="N47" s="2487"/>
      <c r="O47" s="2487"/>
      <c r="P47" s="3374" t="str">
        <f>A47</f>
        <v>成交单价（元/平方米）</v>
      </c>
      <c r="Q47" s="3374"/>
      <c r="R47" s="3375">
        <f>E47</f>
        <v>8.0399999999999991</v>
      </c>
      <c r="S47" s="3375"/>
      <c r="T47" s="3375">
        <f>G47</f>
        <v>7.35</v>
      </c>
      <c r="U47" s="3375"/>
      <c r="V47" s="3375">
        <f>I47</f>
        <v>7.18</v>
      </c>
      <c r="W47" s="3375"/>
      <c r="X47" s="385"/>
      <c r="Y47" s="672"/>
      <c r="Z47" s="385"/>
      <c r="AA47" s="385"/>
      <c r="AB47" s="385"/>
      <c r="AC47" s="385"/>
    </row>
    <row r="48" spans="1:29" ht="1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374" t="str">
        <f>A48</f>
        <v>比较价值（元/平方米）</v>
      </c>
      <c r="Q48" s="3374"/>
      <c r="R48" s="3375">
        <f>IF(F1="售价",ROUND(PRODUCT(R47,AA7:AA46),0),ROUND(PRODUCT(R47,AA7:AA46),1))</f>
        <v>7.8</v>
      </c>
      <c r="S48" s="3375"/>
      <c r="T48" s="3375">
        <f>IF(F1="售价",ROUND(PRODUCT(T47,AB7:AB46),0),ROUND(PRODUCT(T47,AB7:AB46),1))</f>
        <v>7.1</v>
      </c>
      <c r="U48" s="3375"/>
      <c r="V48" s="3375">
        <f>IF(F1="售价",ROUND(PRODUCT(V47,AC7:AC46),0),ROUND(PRODUCT(V47,AC7:AC46),1))</f>
        <v>8.5</v>
      </c>
      <c r="W48" s="3375"/>
      <c r="X48" s="385"/>
      <c r="Y48" s="385"/>
      <c r="Z48" s="385"/>
      <c r="AA48" s="385"/>
      <c r="AB48" s="385"/>
      <c r="AC48" s="385"/>
    </row>
    <row r="49" spans="1:29" ht="15" thickBot="1">
      <c r="A49" s="427" t="s">
        <v>1709</v>
      </c>
      <c r="B49" s="428"/>
      <c r="C49" s="351">
        <f>R49</f>
        <v>7.8</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7.8</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5" t="s">
        <v>3426</v>
      </c>
      <c r="D88" s="3165" t="s">
        <v>3485</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4.4"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disablePrompts="1"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2" customHeight="1">
      <c r="A2" s="1292" t="s">
        <v>2310</v>
      </c>
      <c r="B2" s="2594" t="e">
        <f>IF(D2="——",C40,C40+E2)</f>
        <v>#DIV/0!</v>
      </c>
      <c r="C2" s="2595" t="s">
        <v>2311</v>
      </c>
      <c r="D2" s="3138" t="s">
        <v>3354</v>
      </c>
      <c r="E2" s="3139"/>
      <c r="F2" s="2597"/>
      <c r="G2" s="2598"/>
      <c r="H2" s="2599"/>
      <c r="I2" s="2600"/>
      <c r="J2" s="3426" t="s">
        <v>2312</v>
      </c>
      <c r="K2" s="3427"/>
      <c r="L2" s="2601" t="s">
        <v>2313</v>
      </c>
      <c r="M2" s="2601" t="s">
        <v>2314</v>
      </c>
      <c r="N2" s="2601" t="s">
        <v>2315</v>
      </c>
      <c r="O2" s="2601" t="s">
        <v>2316</v>
      </c>
      <c r="P2" s="2601" t="s">
        <v>2317</v>
      </c>
      <c r="Q2" s="2602" t="s">
        <v>2318</v>
      </c>
      <c r="R2" s="2603" t="s">
        <v>2319</v>
      </c>
      <c r="S2" s="2592"/>
      <c r="T2" s="2592"/>
      <c r="U2" s="2592"/>
      <c r="V2" s="2600"/>
    </row>
    <row r="3" spans="1:22" s="2604" customFormat="1" ht="13.2" customHeight="1">
      <c r="A3" s="2605" t="s">
        <v>2320</v>
      </c>
      <c r="B3" s="2606" t="e">
        <f>ROUND(B2*10000/B4,0)</f>
        <v>#DIV/0!</v>
      </c>
      <c r="C3" s="2595" t="s">
        <v>2321</v>
      </c>
      <c r="D3" s="2595"/>
      <c r="E3" s="2596"/>
      <c r="F3" s="2597"/>
      <c r="G3" s="2598"/>
      <c r="H3" s="2599"/>
      <c r="I3" s="2600"/>
      <c r="J3" s="3428" t="s">
        <v>2322</v>
      </c>
      <c r="K3" s="3429"/>
      <c r="L3" s="2607"/>
      <c r="M3" s="2607"/>
      <c r="N3" s="2607"/>
      <c r="O3" s="2607"/>
      <c r="P3" s="2607"/>
      <c r="Q3" s="2608"/>
      <c r="R3" s="2609">
        <f>SUM(L3:Q3)</f>
        <v>0</v>
      </c>
      <c r="S3" s="2592"/>
      <c r="T3" s="2592"/>
      <c r="U3" s="2592"/>
      <c r="V3" s="2600"/>
    </row>
    <row r="4" spans="1:22" s="2604" customFormat="1" ht="13.2" customHeight="1">
      <c r="A4" s="2610" t="s">
        <v>2323</v>
      </c>
      <c r="B4" s="2611"/>
      <c r="C4" s="2595"/>
      <c r="D4" s="2595"/>
      <c r="E4" s="2596"/>
      <c r="F4" s="2597"/>
      <c r="G4" s="2598"/>
      <c r="H4" s="2599"/>
      <c r="I4" s="2600"/>
      <c r="J4" s="3428" t="s">
        <v>2324</v>
      </c>
      <c r="K4" s="3429"/>
      <c r="L4" s="2612"/>
      <c r="M4" s="2612"/>
      <c r="N4" s="2612"/>
      <c r="O4" s="2612"/>
      <c r="P4" s="2612"/>
      <c r="Q4" s="2613"/>
      <c r="R4" s="2614">
        <f>SUM(L4:Q4)</f>
        <v>0</v>
      </c>
      <c r="S4" s="2592"/>
      <c r="T4" s="2592"/>
      <c r="U4" s="2592"/>
      <c r="V4" s="2600"/>
    </row>
    <row r="5" spans="1:22" s="2604" customFormat="1" ht="13.2"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2" customHeight="1" thickBot="1">
      <c r="A6" s="3434" t="s">
        <v>2328</v>
      </c>
      <c r="B6" s="3435"/>
      <c r="C6" s="3436"/>
      <c r="D6" s="2621"/>
      <c r="E6" s="2622"/>
      <c r="F6" s="2623"/>
      <c r="G6" s="2624"/>
      <c r="H6" s="2599"/>
      <c r="I6" s="2600"/>
      <c r="J6" s="3420">
        <v>1</v>
      </c>
      <c r="K6" s="3421"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2" customHeight="1">
      <c r="A7" s="2627" t="s">
        <v>2338</v>
      </c>
      <c r="B7" s="2628"/>
      <c r="C7" s="2629"/>
      <c r="D7" s="2630">
        <f>SUM(D9,D10,D11,D17,0)</f>
        <v>0</v>
      </c>
      <c r="E7" s="2631" t="e">
        <f>E9+E10+E11+E17</f>
        <v>#DIV/0!</v>
      </c>
      <c r="F7" s="2632"/>
      <c r="G7" s="2633"/>
      <c r="H7" s="2599"/>
      <c r="I7" s="2600"/>
      <c r="J7" s="3420"/>
      <c r="K7" s="3422"/>
      <c r="L7" s="2634" t="s">
        <v>2339</v>
      </c>
      <c r="M7" s="2635"/>
      <c r="N7" s="2611"/>
      <c r="O7" s="2636"/>
      <c r="P7" s="2636"/>
      <c r="Q7" s="2637">
        <v>365</v>
      </c>
      <c r="R7" s="2638">
        <f>ROUND(M7*N7*O7*P7*Q7/10000,0)</f>
        <v>0</v>
      </c>
      <c r="S7" s="2592"/>
      <c r="T7" s="2592" t="s">
        <v>2340</v>
      </c>
      <c r="U7" s="2592"/>
      <c r="V7" s="2600"/>
    </row>
    <row r="8" spans="1:22" s="2604" customFormat="1" ht="13.2" customHeight="1">
      <c r="A8" s="2639" t="s">
        <v>2341</v>
      </c>
      <c r="B8" s="3437" t="s">
        <v>2342</v>
      </c>
      <c r="C8" s="3438"/>
      <c r="D8" s="2640" t="s">
        <v>2343</v>
      </c>
      <c r="E8" s="2641" t="s">
        <v>2344</v>
      </c>
      <c r="F8" s="2642" t="s">
        <v>2345</v>
      </c>
      <c r="G8" s="2643"/>
      <c r="H8" s="2599"/>
      <c r="I8" s="2600"/>
      <c r="J8" s="3420"/>
      <c r="K8" s="3422"/>
      <c r="L8" s="2634" t="s">
        <v>2346</v>
      </c>
      <c r="M8" s="2635"/>
      <c r="N8" s="2611"/>
      <c r="O8" s="2636"/>
      <c r="P8" s="2636"/>
      <c r="Q8" s="2637">
        <v>365</v>
      </c>
      <c r="R8" s="2638">
        <f t="shared" ref="R8:R13" si="0">ROUND(M8*N8*O8*P8*Q8/10000,0)</f>
        <v>0</v>
      </c>
      <c r="S8" s="2592"/>
      <c r="T8" s="2592" t="s">
        <v>2347</v>
      </c>
      <c r="U8" s="2592"/>
      <c r="V8" s="2600"/>
    </row>
    <row r="9" spans="1:22" s="2604" customFormat="1" ht="13.2" customHeight="1">
      <c r="A9" s="2639">
        <v>1</v>
      </c>
      <c r="B9" s="3437" t="s">
        <v>2348</v>
      </c>
      <c r="C9" s="3438"/>
      <c r="D9" s="2640">
        <f>ROUND(D6*E9,0)</f>
        <v>0</v>
      </c>
      <c r="E9" s="2644"/>
      <c r="F9" s="2645" t="s">
        <v>2349</v>
      </c>
      <c r="G9" s="2624"/>
      <c r="H9" s="2599"/>
      <c r="I9" s="2600"/>
      <c r="J9" s="3420"/>
      <c r="K9" s="3422"/>
      <c r="L9" s="2634" t="s">
        <v>2350</v>
      </c>
      <c r="M9" s="2635"/>
      <c r="N9" s="2611"/>
      <c r="O9" s="2636"/>
      <c r="P9" s="2636"/>
      <c r="Q9" s="2637">
        <v>365</v>
      </c>
      <c r="R9" s="2638">
        <f t="shared" si="0"/>
        <v>0</v>
      </c>
      <c r="S9" s="2592"/>
      <c r="T9" s="2592"/>
      <c r="U9" s="2592"/>
      <c r="V9" s="2600"/>
    </row>
    <row r="10" spans="1:22" s="2604" customFormat="1" ht="13.2" customHeight="1">
      <c r="A10" s="2639">
        <v>2</v>
      </c>
      <c r="B10" s="3437" t="s">
        <v>2351</v>
      </c>
      <c r="C10" s="3438"/>
      <c r="D10" s="2640">
        <f>ROUND(D6*E10,0)</f>
        <v>0</v>
      </c>
      <c r="E10" s="2644"/>
      <c r="F10" s="2645" t="s">
        <v>2352</v>
      </c>
      <c r="G10" s="2624"/>
      <c r="H10" s="2599"/>
      <c r="I10" s="2600"/>
      <c r="J10" s="3420"/>
      <c r="K10" s="3422"/>
      <c r="L10" s="2634" t="s">
        <v>2353</v>
      </c>
      <c r="M10" s="2635"/>
      <c r="N10" s="2611"/>
      <c r="O10" s="2636"/>
      <c r="P10" s="2636"/>
      <c r="Q10" s="2637">
        <v>365</v>
      </c>
      <c r="R10" s="2638">
        <f t="shared" si="0"/>
        <v>0</v>
      </c>
      <c r="S10" s="2592"/>
      <c r="T10" s="2592"/>
      <c r="U10" s="2592"/>
      <c r="V10" s="2600"/>
    </row>
    <row r="11" spans="1:22" s="2604" customFormat="1" ht="13.2" customHeight="1">
      <c r="A11" s="2639">
        <v>3</v>
      </c>
      <c r="B11" s="3437" t="s">
        <v>2354</v>
      </c>
      <c r="C11" s="3438"/>
      <c r="D11" s="2640">
        <f>D12+D14+D15+D16</f>
        <v>0</v>
      </c>
      <c r="E11" s="2646" t="e">
        <f>D11/D6</f>
        <v>#DIV/0!</v>
      </c>
      <c r="F11" s="2642"/>
      <c r="G11" s="2643"/>
      <c r="H11" s="2599"/>
      <c r="I11" s="2600"/>
      <c r="J11" s="3420"/>
      <c r="K11" s="3422"/>
      <c r="L11" s="2634" t="s">
        <v>2355</v>
      </c>
      <c r="M11" s="2635"/>
      <c r="N11" s="2611"/>
      <c r="O11" s="2636"/>
      <c r="P11" s="2636"/>
      <c r="Q11" s="2637">
        <v>365</v>
      </c>
      <c r="R11" s="2638">
        <f t="shared" si="0"/>
        <v>0</v>
      </c>
      <c r="S11" s="2592"/>
      <c r="T11" s="2592"/>
      <c r="U11" s="2592"/>
      <c r="V11" s="2600"/>
    </row>
    <row r="12" spans="1:22" s="2604" customFormat="1" ht="13.2" customHeight="1">
      <c r="A12" s="2647" t="s">
        <v>2356</v>
      </c>
      <c r="B12" s="3430" t="s">
        <v>2357</v>
      </c>
      <c r="C12" s="3431"/>
      <c r="D12" s="2648">
        <f>ROUND(D13*1.2%*(1-30%),0)</f>
        <v>0</v>
      </c>
      <c r="E12" s="2649">
        <v>1.2E-2</v>
      </c>
      <c r="F12" s="2642" t="s">
        <v>2358</v>
      </c>
      <c r="G12" s="2643"/>
      <c r="H12" s="2599"/>
      <c r="I12" s="2600"/>
      <c r="J12" s="3420"/>
      <c r="K12" s="3422"/>
      <c r="L12" s="2634" t="s">
        <v>2359</v>
      </c>
      <c r="M12" s="2635"/>
      <c r="N12" s="2611"/>
      <c r="O12" s="2636"/>
      <c r="P12" s="2636"/>
      <c r="Q12" s="2637">
        <v>365</v>
      </c>
      <c r="R12" s="2638">
        <f t="shared" si="0"/>
        <v>0</v>
      </c>
      <c r="S12" s="2592"/>
      <c r="T12" s="2592"/>
      <c r="U12" s="2592"/>
      <c r="V12" s="2600"/>
    </row>
    <row r="13" spans="1:22" s="2604" customFormat="1" ht="13.2" customHeight="1">
      <c r="A13" s="2647"/>
      <c r="B13" s="2650"/>
      <c r="C13" s="2651" t="s">
        <v>2360</v>
      </c>
      <c r="D13" s="2652"/>
      <c r="E13" s="2653"/>
      <c r="F13" s="2642"/>
      <c r="G13" s="2643"/>
      <c r="H13" s="2599"/>
      <c r="I13" s="2600"/>
      <c r="J13" s="3420"/>
      <c r="K13" s="3422"/>
      <c r="L13" s="2634" t="s">
        <v>2361</v>
      </c>
      <c r="M13" s="2635"/>
      <c r="N13" s="2611"/>
      <c r="O13" s="2636"/>
      <c r="P13" s="2636"/>
      <c r="Q13" s="2637">
        <v>365</v>
      </c>
      <c r="R13" s="2638">
        <f t="shared" si="0"/>
        <v>0</v>
      </c>
      <c r="S13" s="2592"/>
      <c r="T13" s="2592"/>
      <c r="U13" s="2592"/>
      <c r="V13" s="2600"/>
    </row>
    <row r="14" spans="1:22" s="2604" customFormat="1" ht="13.2" customHeight="1">
      <c r="A14" s="2647" t="s">
        <v>2362</v>
      </c>
      <c r="B14" s="3430" t="s">
        <v>2363</v>
      </c>
      <c r="C14" s="3431"/>
      <c r="D14" s="2648">
        <f>ROUND(E14*B5/10000,0)</f>
        <v>0</v>
      </c>
      <c r="E14" s="2637"/>
      <c r="F14" s="2642" t="s">
        <v>2364</v>
      </c>
      <c r="G14" s="2643"/>
      <c r="H14" s="2599"/>
      <c r="I14" s="2600"/>
      <c r="J14" s="3420"/>
      <c r="K14" s="3423"/>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2366</v>
      </c>
      <c r="B15" s="3430" t="s">
        <v>2367</v>
      </c>
      <c r="C15" s="3431"/>
      <c r="D15" s="2648">
        <f>ROUND(D6*E15,0)</f>
        <v>0</v>
      </c>
      <c r="E15" s="2649">
        <v>5.5E-2</v>
      </c>
      <c r="F15" s="2642" t="s">
        <v>2368</v>
      </c>
      <c r="G15" s="2624"/>
      <c r="H15" s="2599"/>
      <c r="I15" s="2600"/>
      <c r="J15" s="3420">
        <v>2</v>
      </c>
      <c r="K15" s="3421"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2" customHeight="1">
      <c r="A16" s="2647" t="s">
        <v>2375</v>
      </c>
      <c r="B16" s="3430" t="s">
        <v>2376</v>
      </c>
      <c r="C16" s="3431"/>
      <c r="D16" s="2659">
        <f>D6*E16</f>
        <v>0</v>
      </c>
      <c r="E16" s="2660"/>
      <c r="F16" s="2645" t="s">
        <v>2377</v>
      </c>
      <c r="G16" s="2624"/>
      <c r="H16" s="2599"/>
      <c r="I16" s="2600"/>
      <c r="J16" s="3420"/>
      <c r="K16" s="3422"/>
      <c r="L16" s="2634" t="s">
        <v>2378</v>
      </c>
      <c r="M16" s="2635"/>
      <c r="N16" s="2635"/>
      <c r="O16" s="2636"/>
      <c r="P16" s="2637">
        <v>365</v>
      </c>
      <c r="Q16" s="2611"/>
      <c r="R16" s="2658">
        <f>ROUND(M16*N16*O16*P16/10000,0)</f>
        <v>0</v>
      </c>
      <c r="S16" s="2592"/>
      <c r="T16" s="2592"/>
      <c r="U16" s="2592"/>
      <c r="V16" s="2600"/>
    </row>
    <row r="17" spans="1:22" s="2604" customFormat="1" ht="13.2" customHeight="1" thickBot="1">
      <c r="A17" s="2661">
        <v>4</v>
      </c>
      <c r="B17" s="3432" t="s">
        <v>2379</v>
      </c>
      <c r="C17" s="3433"/>
      <c r="D17" s="2662">
        <f>ROUND(D6*E17,0)</f>
        <v>0</v>
      </c>
      <c r="E17" s="2663"/>
      <c r="F17" s="2664" t="s">
        <v>2380</v>
      </c>
      <c r="G17" s="2624"/>
      <c r="H17" s="2599"/>
      <c r="I17" s="2600"/>
      <c r="J17" s="3420"/>
      <c r="K17" s="3422"/>
      <c r="L17" s="2634" t="s">
        <v>2381</v>
      </c>
      <c r="M17" s="2635"/>
      <c r="N17" s="2635"/>
      <c r="O17" s="2636"/>
      <c r="P17" s="2637">
        <v>365</v>
      </c>
      <c r="Q17" s="2611"/>
      <c r="R17" s="2658">
        <f>ROUND(M17*N17*O17*P17/10000,0)</f>
        <v>0</v>
      </c>
      <c r="S17" s="2592"/>
      <c r="T17" s="2592"/>
      <c r="U17" s="2592"/>
      <c r="V17" s="2600"/>
    </row>
    <row r="18" spans="1:22" s="2604" customFormat="1" ht="13.2" customHeight="1" thickBot="1">
      <c r="A18" s="2627" t="s">
        <v>2382</v>
      </c>
      <c r="B18" s="2628"/>
      <c r="C18" s="2628"/>
      <c r="D18" s="2665">
        <f>ROUND(D6*E18,0)</f>
        <v>0</v>
      </c>
      <c r="E18" s="2666"/>
      <c r="F18" s="2667" t="s">
        <v>2383</v>
      </c>
      <c r="G18" s="2624"/>
      <c r="H18" s="2599"/>
      <c r="I18" s="2600"/>
      <c r="J18" s="3420"/>
      <c r="K18" s="3422"/>
      <c r="L18" s="2634" t="s">
        <v>2384</v>
      </c>
      <c r="M18" s="2635"/>
      <c r="N18" s="2635"/>
      <c r="O18" s="2636"/>
      <c r="P18" s="2637">
        <v>365</v>
      </c>
      <c r="Q18" s="2611"/>
      <c r="R18" s="2658">
        <f>ROUND(M18*N18*O18*P18/10000,0)</f>
        <v>0</v>
      </c>
      <c r="S18" s="2592"/>
      <c r="T18" s="2592"/>
      <c r="U18" s="2592"/>
      <c r="V18" s="2600"/>
    </row>
    <row r="19" spans="1:22" s="2604" customFormat="1" ht="13.2" customHeight="1" thickBot="1">
      <c r="A19" s="2668" t="s">
        <v>2385</v>
      </c>
      <c r="B19" s="2622"/>
      <c r="C19" s="2622"/>
      <c r="D19" s="2622"/>
      <c r="E19" s="2622"/>
      <c r="F19" s="2623"/>
      <c r="G19" s="2643"/>
      <c r="H19" s="2599"/>
      <c r="I19" s="2600"/>
      <c r="J19" s="3420"/>
      <c r="K19" s="3423"/>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0">
        <v>3</v>
      </c>
      <c r="K20" s="3421"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2" customHeight="1">
      <c r="A21" s="2627"/>
      <c r="B21" s="2628"/>
      <c r="C21" s="2673" t="s">
        <v>2394</v>
      </c>
      <c r="D21" s="2674" t="s">
        <v>2395</v>
      </c>
      <c r="E21" s="2675" t="s">
        <v>2396</v>
      </c>
      <c r="F21" s="2671"/>
      <c r="G21" s="2643"/>
      <c r="H21" s="2599"/>
      <c r="I21" s="2600"/>
      <c r="J21" s="3420"/>
      <c r="K21" s="3422"/>
      <c r="L21" s="2634" t="s">
        <v>2397</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2398</v>
      </c>
      <c r="D22" s="2678" t="s">
        <v>2399</v>
      </c>
      <c r="E22" s="2679" t="s">
        <v>2400</v>
      </c>
      <c r="F22" s="2671"/>
      <c r="G22" s="2592"/>
      <c r="H22" s="2599"/>
      <c r="I22" s="2600"/>
      <c r="J22" s="3420"/>
      <c r="K22" s="3422"/>
      <c r="L22" s="2634" t="s">
        <v>2401</v>
      </c>
      <c r="M22" s="2635"/>
      <c r="N22" s="2635"/>
      <c r="O22" s="2636"/>
      <c r="P22" s="2637">
        <v>365</v>
      </c>
      <c r="Q22" s="2611"/>
      <c r="R22" s="2676">
        <f>ROUND(M22*N22*O22*P22/10000,0)</f>
        <v>0</v>
      </c>
      <c r="S22" s="2592"/>
      <c r="T22" s="2592"/>
      <c r="U22" s="2592"/>
      <c r="V22" s="2600"/>
    </row>
    <row r="23" spans="1:22" s="2604" customFormat="1" ht="13.2" customHeight="1">
      <c r="A23" s="2680">
        <v>1</v>
      </c>
      <c r="B23" s="2681" t="s">
        <v>2402</v>
      </c>
      <c r="C23" s="2682">
        <f>D6</f>
        <v>0</v>
      </c>
      <c r="D23" s="2683">
        <f>C23*(1+D24)</f>
        <v>0</v>
      </c>
      <c r="E23" s="2684">
        <f>D23*(1+E24)</f>
        <v>0</v>
      </c>
      <c r="F23" s="2685"/>
      <c r="G23" s="2686"/>
      <c r="H23" s="2599"/>
      <c r="I23" s="2600"/>
      <c r="J23" s="3420"/>
      <c r="K23" s="3422"/>
      <c r="L23" s="2634" t="s">
        <v>2403</v>
      </c>
      <c r="M23" s="2635"/>
      <c r="N23" s="2635"/>
      <c r="O23" s="2636"/>
      <c r="P23" s="2637">
        <v>365</v>
      </c>
      <c r="Q23" s="2611"/>
      <c r="R23" s="2676">
        <f>ROUND(M23*N23*O23*P23/10000,0)</f>
        <v>0</v>
      </c>
      <c r="S23" s="2592"/>
      <c r="T23" s="2592"/>
      <c r="U23" s="2592"/>
      <c r="V23" s="2600"/>
    </row>
    <row r="24" spans="1:22" s="2604" customFormat="1" ht="13.2" customHeight="1">
      <c r="A24" s="2687"/>
      <c r="B24" s="2688" t="s">
        <v>2404</v>
      </c>
      <c r="C24" s="2689"/>
      <c r="D24" s="2690"/>
      <c r="E24" s="2691"/>
      <c r="F24" s="2692"/>
      <c r="G24" s="2686"/>
      <c r="H24" s="2599"/>
      <c r="I24" s="2600"/>
      <c r="J24" s="3420"/>
      <c r="K24" s="3423"/>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2" customHeight="1">
      <c r="A26" s="2680">
        <v>2</v>
      </c>
      <c r="B26" s="2681" t="s">
        <v>2406</v>
      </c>
      <c r="C26" s="2682">
        <f>D7</f>
        <v>0</v>
      </c>
      <c r="D26" s="2683">
        <f>D23*D27</f>
        <v>0</v>
      </c>
      <c r="E26" s="2684">
        <f>E23*E27</f>
        <v>0</v>
      </c>
      <c r="F26" s="2685"/>
      <c r="G26" s="2686"/>
      <c r="H26" s="2599"/>
      <c r="I26" s="2600"/>
      <c r="J26" s="3424">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2" customHeight="1">
      <c r="A27" s="2687"/>
      <c r="B27" s="2688" t="s">
        <v>2412</v>
      </c>
      <c r="C27" s="2705" t="e">
        <f>E7</f>
        <v>#DIV/0!</v>
      </c>
      <c r="D27" s="2690"/>
      <c r="E27" s="2691"/>
      <c r="F27" s="2692"/>
      <c r="G27" s="2686"/>
      <c r="H27" s="2706"/>
      <c r="I27" s="2698"/>
      <c r="J27" s="342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2"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2" customHeight="1">
      <c r="A32" s="2680">
        <v>4</v>
      </c>
      <c r="B32" s="2681" t="s">
        <v>2420</v>
      </c>
      <c r="C32" s="2682">
        <f>C23-C26-C29</f>
        <v>0</v>
      </c>
      <c r="D32" s="2683">
        <f>D23-D26-D29</f>
        <v>0</v>
      </c>
      <c r="E32" s="2684">
        <f>E23-E26-E29</f>
        <v>0</v>
      </c>
      <c r="F32" s="2685"/>
      <c r="G32" s="2592"/>
      <c r="H32" s="2599"/>
      <c r="I32" s="2600"/>
      <c r="J32" s="3426" t="s">
        <v>2312</v>
      </c>
      <c r="K32" s="3427"/>
      <c r="L32" s="2601" t="s">
        <v>2313</v>
      </c>
      <c r="M32" s="2601" t="s">
        <v>2314</v>
      </c>
      <c r="N32" s="2601" t="s">
        <v>2315</v>
      </c>
      <c r="O32" s="2601" t="s">
        <v>2316</v>
      </c>
      <c r="P32" s="2601" t="s">
        <v>2317</v>
      </c>
      <c r="Q32" s="2602" t="s">
        <v>2318</v>
      </c>
      <c r="R32" s="2721" t="s">
        <v>2319</v>
      </c>
      <c r="S32" s="2592"/>
      <c r="T32" s="2592"/>
      <c r="U32" s="2592"/>
      <c r="V32" s="2698"/>
    </row>
    <row r="33" spans="1:23" s="2604" customFormat="1" ht="13.2" customHeight="1">
      <c r="A33" s="2680"/>
      <c r="B33" s="2681"/>
      <c r="C33" s="2682"/>
      <c r="D33" s="2722"/>
      <c r="E33" s="2723"/>
      <c r="F33" s="2685"/>
      <c r="G33" s="2592"/>
      <c r="H33" s="2706"/>
      <c r="I33" s="2698"/>
      <c r="J33" s="3428" t="s">
        <v>2322</v>
      </c>
      <c r="K33" s="3429"/>
      <c r="L33" s="2607"/>
      <c r="M33" s="2607"/>
      <c r="N33" s="2607"/>
      <c r="O33" s="2607"/>
      <c r="P33" s="2607"/>
      <c r="Q33" s="2608"/>
      <c r="R33" s="2724">
        <f>SUM(L33:Q33)</f>
        <v>0</v>
      </c>
      <c r="S33" s="2592"/>
      <c r="T33" s="2592"/>
      <c r="U33" s="2592"/>
      <c r="V33" s="2600"/>
    </row>
    <row r="34" spans="1:23" s="2604" customFormat="1" ht="13.2" customHeight="1">
      <c r="A34" s="2680">
        <v>5</v>
      </c>
      <c r="B34" s="2681" t="s">
        <v>2421</v>
      </c>
      <c r="C34" s="2725"/>
      <c r="D34" s="2726"/>
      <c r="E34" s="2727"/>
      <c r="F34" s="2685"/>
      <c r="G34" s="2592"/>
      <c r="H34" s="2706"/>
      <c r="I34" s="2698"/>
      <c r="J34" s="3428" t="s">
        <v>2324</v>
      </c>
      <c r="K34" s="342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2" customHeight="1" thickBot="1">
      <c r="A36" s="2680">
        <v>7</v>
      </c>
      <c r="B36" s="2734" t="s">
        <v>2423</v>
      </c>
      <c r="C36" s="2735"/>
      <c r="D36" s="2736"/>
      <c r="E36" s="2737"/>
      <c r="F36" s="2738">
        <f>C36+D36+E36</f>
        <v>0</v>
      </c>
      <c r="G36" s="2592"/>
      <c r="H36" s="2599"/>
      <c r="I36" s="2600"/>
      <c r="J36" s="3420">
        <v>1</v>
      </c>
      <c r="K36" s="3421" t="s">
        <v>2424</v>
      </c>
      <c r="L36" s="2625"/>
      <c r="M36" s="2626"/>
      <c r="N36" s="2626"/>
      <c r="O36" s="2626"/>
      <c r="P36" s="2626"/>
      <c r="Q36" s="2626"/>
      <c r="R36" s="2609" t="s">
        <v>2336</v>
      </c>
      <c r="S36" s="2592"/>
      <c r="T36" s="2592" t="s">
        <v>2337</v>
      </c>
      <c r="U36" s="2592"/>
      <c r="V36" s="2600"/>
    </row>
    <row r="37" spans="1:23" s="2604" customFormat="1" ht="13.2"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2340</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2347</v>
      </c>
      <c r="U38" s="2592"/>
      <c r="V38" s="2600"/>
    </row>
    <row r="39" spans="1:23" s="2604" customFormat="1" ht="13.2" customHeight="1">
      <c r="A39" s="2680">
        <v>9</v>
      </c>
      <c r="B39" s="2681" t="s">
        <v>2425</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2" customHeight="1">
      <c r="A40" s="2739">
        <v>10</v>
      </c>
      <c r="B40" s="2681" t="s">
        <v>2426</v>
      </c>
      <c r="C40" s="2740" t="e">
        <f>C39+D39+E39</f>
        <v>#DIV/0!</v>
      </c>
      <c r="D40" s="2741"/>
      <c r="E40" s="2741"/>
      <c r="F40" s="2742"/>
      <c r="G40" s="2592"/>
      <c r="H40" s="2599"/>
      <c r="I40" s="2600"/>
      <c r="J40" s="3420"/>
      <c r="K40" s="3423"/>
      <c r="L40" s="2654" t="s">
        <v>2365</v>
      </c>
      <c r="M40" s="2655"/>
      <c r="N40" s="2655"/>
      <c r="O40" s="2656"/>
      <c r="P40" s="2656"/>
      <c r="Q40" s="2657"/>
      <c r="R40" s="2603">
        <f>SUM(R37:R39)</f>
        <v>0</v>
      </c>
      <c r="S40" s="2592"/>
      <c r="T40" s="2592"/>
      <c r="U40" s="2592"/>
      <c r="V40" s="2600"/>
    </row>
    <row r="41" spans="1:23" s="2604" customFormat="1" ht="13.2"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2" customHeight="1">
      <c r="G42" s="2599"/>
      <c r="H42" s="2599"/>
      <c r="I42" s="2600"/>
      <c r="J42" s="3424">
        <v>3</v>
      </c>
      <c r="K42" s="2700" t="s">
        <v>2407</v>
      </c>
      <c r="L42" s="2701"/>
      <c r="M42" s="2702"/>
      <c r="N42" s="2703" t="s">
        <v>2408</v>
      </c>
      <c r="O42" s="2703" t="s">
        <v>2409</v>
      </c>
      <c r="P42" s="2704" t="s">
        <v>2410</v>
      </c>
      <c r="Q42" s="2704" t="s">
        <v>2411</v>
      </c>
      <c r="R42" s="2609" t="s">
        <v>2336</v>
      </c>
      <c r="S42" s="2643"/>
      <c r="T42" s="2643"/>
      <c r="U42" s="2592"/>
      <c r="V42" s="2600"/>
    </row>
    <row r="43" spans="1:23" ht="13.2" customHeight="1">
      <c r="A43" s="2604"/>
      <c r="B43" s="2604"/>
      <c r="C43" s="2604"/>
      <c r="D43" s="2604"/>
      <c r="E43" s="2604"/>
      <c r="F43" s="2604"/>
      <c r="I43" s="2587"/>
      <c r="J43" s="342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1657</v>
      </c>
      <c r="B1" s="1725"/>
      <c r="C1" s="1725"/>
      <c r="D1" s="1725"/>
      <c r="E1" s="1726"/>
      <c r="F1" s="2479"/>
      <c r="G1" s="459"/>
      <c r="H1" s="459"/>
      <c r="I1" s="459"/>
      <c r="J1" s="459"/>
      <c r="K1" s="459"/>
      <c r="L1" s="459"/>
      <c r="M1" s="459"/>
      <c r="N1" s="459"/>
      <c r="O1" s="459"/>
      <c r="P1" s="459"/>
      <c r="Q1" s="459"/>
      <c r="R1" s="459"/>
      <c r="S1" s="459"/>
    </row>
    <row r="2" spans="1:22" ht="15.6">
      <c r="A2" s="1727" t="s">
        <v>1461</v>
      </c>
      <c r="B2" s="810">
        <f ca="1">SUMIF(B6:B13,"&lt;&gt;#ref!",B6:B13)</f>
        <v>327.84390000000002</v>
      </c>
      <c r="C2" s="1728" t="s">
        <v>1650</v>
      </c>
      <c r="D2" s="1729" t="s">
        <v>1651</v>
      </c>
      <c r="E2" s="2392">
        <f>SUM(E6:E13)</f>
        <v>110.83</v>
      </c>
      <c r="F2" s="2479"/>
      <c r="G2" s="459"/>
      <c r="H2" s="459"/>
      <c r="I2" s="459"/>
      <c r="J2" s="459"/>
      <c r="K2" s="459"/>
      <c r="L2" s="459"/>
      <c r="M2" s="459"/>
      <c r="N2" s="459"/>
      <c r="O2" s="459"/>
      <c r="P2" s="459"/>
      <c r="Q2" s="459"/>
      <c r="R2" s="459"/>
      <c r="S2" s="459"/>
    </row>
    <row r="3" spans="1:22" ht="15.6">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ht="14.4">
      <c r="A6" s="2389" t="str">
        <f>'数据-取费表'!AN6</f>
        <v>收益法 (元)</v>
      </c>
      <c r="B6" s="2387">
        <f ca="1">IF(F6="是",'数据-取费表'!AO6,0)</f>
        <v>327.84390000000002</v>
      </c>
      <c r="C6" s="1728" t="s">
        <v>1650</v>
      </c>
      <c r="D6" s="2479"/>
      <c r="E6" s="2391">
        <f>IF(OR(A6=0,F6="否"),0,'数据-取费表'!K6+'数据-取费表'!S6)</f>
        <v>110.83</v>
      </c>
      <c r="F6" s="1731"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110.83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5" t="s">
        <v>1665</v>
      </c>
      <c r="B4" s="346"/>
      <c r="C4" s="3392" t="s">
        <v>1666</v>
      </c>
      <c r="D4" s="3393"/>
      <c r="E4" s="3394" t="s">
        <v>1667</v>
      </c>
      <c r="F4" s="3395"/>
      <c r="G4" s="3392" t="s">
        <v>1668</v>
      </c>
      <c r="H4" s="3393"/>
      <c r="I4" s="3392" t="s">
        <v>1669</v>
      </c>
      <c r="J4" s="3393"/>
      <c r="K4" s="1743"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89" t="s">
        <v>1668</v>
      </c>
      <c r="AC4" s="3389" t="s">
        <v>1669</v>
      </c>
    </row>
    <row r="5" spans="1:29">
      <c r="A5" s="348"/>
      <c r="B5" s="349"/>
      <c r="C5" s="3415" t="s">
        <v>1672</v>
      </c>
      <c r="D5" s="3411"/>
      <c r="E5" s="3441" t="s">
        <v>1673</v>
      </c>
      <c r="F5" s="3419"/>
      <c r="G5" s="3415" t="s">
        <v>1674</v>
      </c>
      <c r="H5" s="3411"/>
      <c r="I5" s="3415" t="s">
        <v>1675</v>
      </c>
      <c r="J5" s="3411"/>
      <c r="K5" s="1744"/>
      <c r="L5" s="2486"/>
      <c r="M5" s="2487"/>
      <c r="N5" s="2487"/>
      <c r="O5" s="2487"/>
      <c r="P5" s="3398"/>
      <c r="Q5" s="3399"/>
      <c r="R5" s="3404"/>
      <c r="S5" s="3405"/>
      <c r="T5" s="3404"/>
      <c r="U5" s="3405"/>
      <c r="V5" s="3375"/>
      <c r="W5" s="3375"/>
      <c r="X5" s="1264"/>
      <c r="Y5" s="3404"/>
      <c r="Z5" s="3405"/>
      <c r="AA5" s="3390"/>
      <c r="AB5" s="3390"/>
      <c r="AC5" s="3390"/>
    </row>
    <row r="6" spans="1:29" ht="15" thickBot="1">
      <c r="A6" s="350"/>
      <c r="B6" s="351"/>
      <c r="C6" s="3408" t="s">
        <v>1676</v>
      </c>
      <c r="D6" s="3409"/>
      <c r="E6" s="3416" t="s">
        <v>1676</v>
      </c>
      <c r="F6" s="3417"/>
      <c r="G6" s="3408" t="s">
        <v>1676</v>
      </c>
      <c r="H6" s="3409"/>
      <c r="I6" s="3408" t="s">
        <v>1676</v>
      </c>
      <c r="J6" s="3409"/>
      <c r="K6" s="1744" t="s">
        <v>1677</v>
      </c>
      <c r="L6" s="2486"/>
      <c r="M6" s="2487"/>
      <c r="N6" s="2487"/>
      <c r="O6" s="2487"/>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2" t="s">
        <v>1679</v>
      </c>
      <c r="Q7" s="3414"/>
      <c r="R7" s="663" t="s">
        <v>20</v>
      </c>
      <c r="S7" s="664">
        <f t="shared" ref="S7:S15" si="0">F7</f>
        <v>0</v>
      </c>
      <c r="T7" s="663" t="s">
        <v>20</v>
      </c>
      <c r="U7" s="664">
        <f t="shared" ref="U7:U15" si="1">H7</f>
        <v>0</v>
      </c>
      <c r="V7" s="663" t="s">
        <v>20</v>
      </c>
      <c r="W7" s="664">
        <f t="shared" ref="W7:W15" si="2">J7</f>
        <v>0</v>
      </c>
      <c r="X7" s="665"/>
      <c r="Y7" s="3412" t="s">
        <v>1679</v>
      </c>
      <c r="Z7" s="3413"/>
      <c r="AA7" s="50" t="e">
        <f>D7/F7</f>
        <v>#DIV/0!</v>
      </c>
      <c r="AB7" s="50" t="e">
        <f>D7/H7</f>
        <v>#DIV/0!</v>
      </c>
      <c r="AC7" s="50" t="e">
        <f>D7/J7</f>
        <v>#DIV/0!</v>
      </c>
    </row>
    <row r="8" spans="1:29" s="102" customFormat="1" ht="1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2" t="s">
        <v>1682</v>
      </c>
      <c r="Q8" s="3413"/>
      <c r="R8" s="663" t="s">
        <v>20</v>
      </c>
      <c r="S8" s="664">
        <f t="shared" si="0"/>
        <v>100</v>
      </c>
      <c r="T8" s="663" t="s">
        <v>20</v>
      </c>
      <c r="U8" s="664">
        <f t="shared" si="1"/>
        <v>100</v>
      </c>
      <c r="V8" s="663" t="s">
        <v>20</v>
      </c>
      <c r="W8" s="664">
        <f t="shared" si="2"/>
        <v>100</v>
      </c>
      <c r="X8" s="665"/>
      <c r="Y8" s="3412" t="s">
        <v>1682</v>
      </c>
      <c r="Z8" s="3413"/>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8"/>
      <c r="Q11" s="530" t="str">
        <f t="shared" si="6"/>
        <v>容积率</v>
      </c>
      <c r="R11" s="663" t="s">
        <v>18</v>
      </c>
      <c r="S11" s="664" t="e">
        <f t="shared" si="0"/>
        <v>#N/A</v>
      </c>
      <c r="T11" s="663" t="s">
        <v>18</v>
      </c>
      <c r="U11" s="664" t="e">
        <f t="shared" si="1"/>
        <v>#N/A</v>
      </c>
      <c r="V11" s="663" t="s">
        <v>18</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8"/>
      <c r="Q12" s="530">
        <f t="shared" si="6"/>
        <v>111</v>
      </c>
      <c r="R12" s="663" t="s">
        <v>18</v>
      </c>
      <c r="S12" s="664">
        <f t="shared" si="0"/>
        <v>100</v>
      </c>
      <c r="T12" s="663" t="s">
        <v>18</v>
      </c>
      <c r="U12" s="664">
        <f t="shared" si="1"/>
        <v>100</v>
      </c>
      <c r="V12" s="663" t="s">
        <v>18</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8"/>
      <c r="Q13" s="530">
        <f t="shared" si="6"/>
        <v>111</v>
      </c>
      <c r="R13" s="663" t="s">
        <v>18</v>
      </c>
      <c r="S13" s="664">
        <f t="shared" si="0"/>
        <v>100</v>
      </c>
      <c r="T13" s="663" t="s">
        <v>18</v>
      </c>
      <c r="U13" s="664">
        <f t="shared" si="1"/>
        <v>100</v>
      </c>
      <c r="V13" s="663" t="s">
        <v>18</v>
      </c>
      <c r="W13" s="664">
        <f t="shared" si="2"/>
        <v>100</v>
      </c>
      <c r="X13" s="665"/>
      <c r="Y13" s="3273"/>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8"/>
      <c r="Q14" s="530">
        <f t="shared" si="6"/>
        <v>111</v>
      </c>
      <c r="R14" s="663" t="s">
        <v>18</v>
      </c>
      <c r="S14" s="664">
        <f t="shared" si="0"/>
        <v>100</v>
      </c>
      <c r="T14" s="663" t="s">
        <v>18</v>
      </c>
      <c r="U14" s="664">
        <f t="shared" si="1"/>
        <v>100</v>
      </c>
      <c r="V14" s="663" t="s">
        <v>18</v>
      </c>
      <c r="W14" s="664">
        <f t="shared" si="2"/>
        <v>100</v>
      </c>
      <c r="X14" s="665"/>
      <c r="Y14" s="3273"/>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1690</v>
      </c>
      <c r="Q15" s="1262" t="str">
        <f t="shared" si="6"/>
        <v>居住社区成熟度</v>
      </c>
      <c r="R15" s="666" t="s">
        <v>18</v>
      </c>
      <c r="S15" s="667">
        <f t="shared" si="0"/>
        <v>100</v>
      </c>
      <c r="T15" s="666" t="s">
        <v>18</v>
      </c>
      <c r="U15" s="667">
        <f t="shared" si="1"/>
        <v>100</v>
      </c>
      <c r="V15" s="666" t="s">
        <v>18</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2" t="str">
        <f>B17</f>
        <v>交通便捷度</v>
      </c>
      <c r="R17" s="666" t="s">
        <v>18</v>
      </c>
      <c r="S17" s="667">
        <f>F17</f>
        <v>100</v>
      </c>
      <c r="T17" s="666" t="s">
        <v>18</v>
      </c>
      <c r="U17" s="667">
        <f>H17</f>
        <v>100</v>
      </c>
      <c r="V17" s="666" t="s">
        <v>18</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2" t="str">
        <f>B19</f>
        <v>公共配套设施</v>
      </c>
      <c r="R19" s="666" t="s">
        <v>18</v>
      </c>
      <c r="S19" s="667">
        <f>F19</f>
        <v>100</v>
      </c>
      <c r="T19" s="666" t="s">
        <v>18</v>
      </c>
      <c r="U19" s="667">
        <f>H19</f>
        <v>100</v>
      </c>
      <c r="V19" s="666" t="s">
        <v>18</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2" t="str">
        <f>B23</f>
        <v>自然及人文环境</v>
      </c>
      <c r="R23" s="666" t="s">
        <v>18</v>
      </c>
      <c r="S23" s="667">
        <f>F23</f>
        <v>100</v>
      </c>
      <c r="T23" s="666" t="s">
        <v>18</v>
      </c>
      <c r="U23" s="667">
        <f>H23</f>
        <v>100</v>
      </c>
      <c r="V23" s="666" t="s">
        <v>18</v>
      </c>
      <c r="W23" s="667">
        <f>J23</f>
        <v>100</v>
      </c>
      <c r="X23" s="1264"/>
      <c r="Y23" s="338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0"/>
      <c r="Q26" s="1262" t="str">
        <f t="shared" si="11"/>
        <v>朝向</v>
      </c>
      <c r="R26" s="666" t="s">
        <v>18</v>
      </c>
      <c r="S26" s="667">
        <f t="shared" si="12"/>
        <v>100</v>
      </c>
      <c r="T26" s="666" t="s">
        <v>18</v>
      </c>
      <c r="U26" s="667">
        <f t="shared" si="13"/>
        <v>100</v>
      </c>
      <c r="V26" s="666" t="s">
        <v>18</v>
      </c>
      <c r="W26" s="667">
        <f t="shared" si="14"/>
        <v>100</v>
      </c>
      <c r="X26" s="1264"/>
      <c r="Y26" s="338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0"/>
      <c r="Q27" s="530">
        <f t="shared" si="11"/>
        <v>111</v>
      </c>
      <c r="R27" s="663" t="s">
        <v>18</v>
      </c>
      <c r="S27" s="664">
        <f t="shared" si="12"/>
        <v>100</v>
      </c>
      <c r="T27" s="663" t="s">
        <v>18</v>
      </c>
      <c r="U27" s="664">
        <f t="shared" si="13"/>
        <v>100</v>
      </c>
      <c r="V27" s="663" t="s">
        <v>18</v>
      </c>
      <c r="W27" s="664">
        <f t="shared" si="14"/>
        <v>100</v>
      </c>
      <c r="X27" s="665"/>
      <c r="Y27" s="338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0"/>
      <c r="Q28" s="1262">
        <f t="shared" si="11"/>
        <v>111</v>
      </c>
      <c r="R28" s="666" t="s">
        <v>18</v>
      </c>
      <c r="S28" s="667">
        <f t="shared" si="12"/>
        <v>100</v>
      </c>
      <c r="T28" s="666" t="s">
        <v>18</v>
      </c>
      <c r="U28" s="667">
        <f t="shared" si="13"/>
        <v>100</v>
      </c>
      <c r="V28" s="666" t="s">
        <v>18</v>
      </c>
      <c r="W28" s="667">
        <f t="shared" si="14"/>
        <v>100</v>
      </c>
      <c r="X28" s="1264"/>
      <c r="Y28" s="338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0"/>
      <c r="Q29" s="1262">
        <f t="shared" si="11"/>
        <v>111</v>
      </c>
      <c r="R29" s="666" t="s">
        <v>18</v>
      </c>
      <c r="S29" s="667">
        <f t="shared" si="12"/>
        <v>100</v>
      </c>
      <c r="T29" s="666" t="s">
        <v>18</v>
      </c>
      <c r="U29" s="667">
        <f t="shared" si="13"/>
        <v>100</v>
      </c>
      <c r="V29" s="666" t="s">
        <v>18</v>
      </c>
      <c r="W29" s="667">
        <f t="shared" si="14"/>
        <v>100</v>
      </c>
      <c r="X29" s="1264"/>
      <c r="Y29" s="338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0"/>
      <c r="Q30" s="1262">
        <f t="shared" si="11"/>
        <v>111</v>
      </c>
      <c r="R30" s="666" t="s">
        <v>18</v>
      </c>
      <c r="S30" s="667">
        <f t="shared" si="12"/>
        <v>100</v>
      </c>
      <c r="T30" s="666" t="s">
        <v>18</v>
      </c>
      <c r="U30" s="667">
        <f t="shared" si="13"/>
        <v>100</v>
      </c>
      <c r="V30" s="666" t="s">
        <v>18</v>
      </c>
      <c r="W30" s="667">
        <f t="shared" si="14"/>
        <v>100</v>
      </c>
      <c r="X30" s="1264"/>
      <c r="Y30" s="3382"/>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0"/>
      <c r="Q31" s="1262">
        <f t="shared" si="11"/>
        <v>111</v>
      </c>
      <c r="R31" s="666" t="s">
        <v>18</v>
      </c>
      <c r="S31" s="667">
        <f t="shared" si="12"/>
        <v>100</v>
      </c>
      <c r="T31" s="666" t="s">
        <v>18</v>
      </c>
      <c r="U31" s="667">
        <f t="shared" si="13"/>
        <v>100</v>
      </c>
      <c r="V31" s="666" t="s">
        <v>18</v>
      </c>
      <c r="W31" s="667">
        <f t="shared" si="14"/>
        <v>100</v>
      </c>
      <c r="X31" s="1264"/>
      <c r="Y31" s="3382"/>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3" t="s">
        <v>1695</v>
      </c>
      <c r="Q32" s="1262" t="str">
        <f t="shared" si="11"/>
        <v>建筑类型</v>
      </c>
      <c r="R32" s="666" t="s">
        <v>18</v>
      </c>
      <c r="S32" s="667">
        <f t="shared" si="12"/>
        <v>100</v>
      </c>
      <c r="T32" s="666" t="s">
        <v>18</v>
      </c>
      <c r="U32" s="667">
        <f t="shared" si="13"/>
        <v>100</v>
      </c>
      <c r="V32" s="666" t="s">
        <v>18</v>
      </c>
      <c r="W32" s="667">
        <f t="shared" si="14"/>
        <v>100</v>
      </c>
      <c r="X32" s="1264"/>
      <c r="Y32" s="3386"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4"/>
      <c r="Q33" s="531"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4"/>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4"/>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4"/>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4"/>
      <c r="Q37" s="530"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4" t="s">
        <v>1695</v>
      </c>
      <c r="Q38" s="1262" t="str">
        <f t="shared" si="11"/>
        <v>物业管理</v>
      </c>
      <c r="R38" s="666" t="s">
        <v>18</v>
      </c>
      <c r="S38" s="667">
        <f t="shared" si="12"/>
        <v>100</v>
      </c>
      <c r="T38" s="666" t="s">
        <v>18</v>
      </c>
      <c r="U38" s="667">
        <f t="shared" si="13"/>
        <v>100</v>
      </c>
      <c r="V38" s="666" t="s">
        <v>18</v>
      </c>
      <c r="W38" s="667">
        <f t="shared" si="14"/>
        <v>100</v>
      </c>
      <c r="X38" s="1264"/>
      <c r="Y38" s="3386"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4"/>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4"/>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4"/>
      <c r="Q41" s="531"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4"/>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28.8">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4"/>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4"/>
      <c r="Q44" s="530">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4"/>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5"/>
      <c r="Q46" s="1262">
        <f t="shared" si="11"/>
        <v>111</v>
      </c>
      <c r="R46" s="666" t="s">
        <v>17</v>
      </c>
      <c r="S46" s="667">
        <f t="shared" si="12"/>
        <v>100</v>
      </c>
      <c r="T46" s="666" t="s">
        <v>17</v>
      </c>
      <c r="U46" s="667">
        <f t="shared" si="13"/>
        <v>100</v>
      </c>
      <c r="V46" s="666" t="s">
        <v>17</v>
      </c>
      <c r="W46" s="667">
        <f t="shared" si="14"/>
        <v>100</v>
      </c>
      <c r="X46" s="1264"/>
      <c r="Y46" s="3387"/>
      <c r="Z46" s="1263">
        <f t="shared" si="18"/>
        <v>111</v>
      </c>
      <c r="AA46" s="1263">
        <f t="shared" si="15"/>
        <v>1</v>
      </c>
      <c r="AB46" s="1263">
        <f t="shared" si="16"/>
        <v>1</v>
      </c>
      <c r="AC46" s="1263">
        <f t="shared" si="17"/>
        <v>1</v>
      </c>
    </row>
    <row r="47" spans="1:29" ht="14.4">
      <c r="A47" s="416" t="s">
        <v>1707</v>
      </c>
      <c r="B47" s="417"/>
      <c r="C47" s="1080" t="s">
        <v>16</v>
      </c>
      <c r="D47" s="418"/>
      <c r="E47" s="419"/>
      <c r="F47" s="420"/>
      <c r="G47" s="421"/>
      <c r="H47" s="422"/>
      <c r="I47" s="419"/>
      <c r="J47" s="422"/>
      <c r="K47" s="1766"/>
      <c r="L47" s="2494"/>
      <c r="M47" s="2487"/>
      <c r="N47" s="2487"/>
      <c r="O47" s="2487"/>
      <c r="P47" s="3374" t="str">
        <f>A47</f>
        <v>成交单价（元/平方米）</v>
      </c>
      <c r="Q47" s="3374"/>
      <c r="R47" s="3375">
        <f>E47</f>
        <v>0</v>
      </c>
      <c r="S47" s="3375"/>
      <c r="T47" s="3375">
        <f>G47</f>
        <v>0</v>
      </c>
      <c r="U47" s="3375"/>
      <c r="V47" s="3375">
        <f>I47</f>
        <v>0</v>
      </c>
      <c r="W47" s="3375"/>
      <c r="X47" s="385"/>
      <c r="Y47" s="672"/>
      <c r="Z47" s="385"/>
      <c r="AA47" s="385"/>
      <c r="AB47" s="385"/>
      <c r="AC47" s="385"/>
    </row>
    <row r="48" spans="1:29" ht="1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1709</v>
      </c>
      <c r="B49" s="428"/>
      <c r="C49" s="1083" t="e">
        <f>R49</f>
        <v>#DIV/0!</v>
      </c>
      <c r="D49" s="351"/>
      <c r="E49" s="351"/>
      <c r="F49" s="351"/>
      <c r="G49" s="351"/>
      <c r="H49" s="351"/>
      <c r="I49" s="351"/>
      <c r="J49" s="351"/>
      <c r="K49" s="1767"/>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1713</v>
      </c>
      <c r="B57" s="385"/>
      <c r="C57" s="658"/>
      <c r="D57" s="658"/>
      <c r="E57" s="658"/>
      <c r="F57" s="659"/>
      <c r="G57" s="659"/>
      <c r="H57" s="658"/>
      <c r="I57" s="658"/>
      <c r="J57" s="658"/>
      <c r="K57" s="886"/>
      <c r="L57" s="887"/>
      <c r="M57" s="885"/>
      <c r="N57" s="885"/>
      <c r="O57" s="885"/>
      <c r="P57" s="1770"/>
      <c r="Q57" s="439"/>
    </row>
    <row r="58" spans="1:29" s="442" customFormat="1" ht="14.4">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1718</v>
      </c>
      <c r="B63" s="460" t="s">
        <v>1684</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1687</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1733</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1734</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1693</v>
      </c>
      <c r="B100" s="460" t="s">
        <v>1735</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6.2"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897</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898</v>
      </c>
    </row>
    <row r="6" spans="1:1" ht="17.399999999999999">
      <c r="A6" s="1383" t="s">
        <v>899</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估价对象为北京市房地产，为所有。根据《国有土地使用证》[]，估价对象（分摊）出让国有建设用地使用权面积为0平方米，建筑面积为110.83平方米。</v>
      </c>
    </row>
    <row r="8" spans="1:1" ht="54.6">
      <c r="A8" s="1384" t="s">
        <v>900</v>
      </c>
    </row>
    <row r="9" spans="1:1" ht="17.399999999999999">
      <c r="A9" s="1383" t="s">
        <v>901</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估价对象为北京市房地产,属开发建设的，该项目尚在开发建设中。根据《国有土地使用证》[]，估价对象（分摊）出让国有建设用地使用权面积为0平方米，规划建筑面积为110.83平方米。</v>
      </c>
    </row>
    <row r="11" spans="1:1" ht="72">
      <c r="A11" s="1384" t="s">
        <v>902</v>
      </c>
    </row>
    <row r="12" spans="1:1" ht="17.399999999999999">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904</v>
      </c>
    </row>
    <row r="15" spans="1:1" ht="17.399999999999999">
      <c r="A15" s="1385" t="str">
        <f>TEXT(项目基本情况!D3,"yyyy年m月d日;;")&amp;IF(项目基本情况!D3=项目基本情况!B3,"（评估专业人员实地查勘之日）","")</f>
        <v>2025年5月16日（评估专业人员实地查勘之日）</v>
      </c>
    </row>
    <row r="16" spans="1:1" ht="17.399999999999999">
      <c r="A16" s="1380" t="s">
        <v>905</v>
      </c>
    </row>
    <row r="17" spans="1:1" ht="69.599999999999994">
      <c r="A17" s="1381" t="s">
        <v>906</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895</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110.83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448" t="s">
        <v>1774</v>
      </c>
      <c r="Q4" s="3449"/>
      <c r="R4" s="3452" t="s">
        <v>1770</v>
      </c>
      <c r="S4" s="3453"/>
      <c r="T4" s="3452" t="s">
        <v>1771</v>
      </c>
      <c r="U4" s="3453"/>
      <c r="V4" s="3454" t="s">
        <v>1772</v>
      </c>
      <c r="W4" s="3454"/>
      <c r="X4" s="1808"/>
      <c r="Y4" s="3452" t="s">
        <v>1774</v>
      </c>
      <c r="Z4" s="3453"/>
      <c r="AA4" s="3456" t="s">
        <v>1770</v>
      </c>
      <c r="AB4" s="3456" t="s">
        <v>1771</v>
      </c>
      <c r="AC4" s="3445" t="s">
        <v>1772</v>
      </c>
    </row>
    <row r="5" spans="1:29">
      <c r="A5" s="348"/>
      <c r="B5" s="349"/>
      <c r="C5" s="3415" t="s">
        <v>1672</v>
      </c>
      <c r="D5" s="3411"/>
      <c r="E5" s="3441" t="s">
        <v>1673</v>
      </c>
      <c r="F5" s="3419"/>
      <c r="G5" s="3415" t="s">
        <v>1674</v>
      </c>
      <c r="H5" s="3411"/>
      <c r="I5" s="3415" t="s">
        <v>1675</v>
      </c>
      <c r="J5" s="3411"/>
      <c r="K5" s="537"/>
      <c r="L5" s="2486"/>
      <c r="M5" s="2487"/>
      <c r="N5" s="2487"/>
      <c r="O5" s="2487"/>
      <c r="P5" s="3450"/>
      <c r="Q5" s="3399"/>
      <c r="R5" s="3404"/>
      <c r="S5" s="3405"/>
      <c r="T5" s="3404"/>
      <c r="U5" s="3405"/>
      <c r="V5" s="3375"/>
      <c r="W5" s="3375"/>
      <c r="X5" s="1264"/>
      <c r="Y5" s="3404"/>
      <c r="Z5" s="3405"/>
      <c r="AA5" s="3390"/>
      <c r="AB5" s="3390"/>
      <c r="AC5" s="3446"/>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51"/>
      <c r="Q6" s="3401"/>
      <c r="R6" s="3404"/>
      <c r="S6" s="3405"/>
      <c r="T6" s="3406"/>
      <c r="U6" s="3407"/>
      <c r="V6" s="3375"/>
      <c r="W6" s="3375"/>
      <c r="X6" s="1264"/>
      <c r="Y6" s="3406"/>
      <c r="Z6" s="3407"/>
      <c r="AA6" s="3391"/>
      <c r="AB6" s="3391"/>
      <c r="AC6" s="3447"/>
    </row>
    <row r="7" spans="1:29" s="102" customFormat="1" ht="1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801"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1682</v>
      </c>
      <c r="Q8" s="3413"/>
      <c r="R8" s="663" t="s">
        <v>14</v>
      </c>
      <c r="S8" s="664">
        <f t="shared" si="0"/>
        <v>100</v>
      </c>
      <c r="T8" s="663" t="s">
        <v>14</v>
      </c>
      <c r="U8" s="664">
        <f t="shared" si="1"/>
        <v>100</v>
      </c>
      <c r="V8" s="663" t="s">
        <v>14</v>
      </c>
      <c r="W8" s="664">
        <f t="shared" si="2"/>
        <v>100</v>
      </c>
      <c r="X8" s="665"/>
      <c r="Y8" s="3412" t="s">
        <v>1682</v>
      </c>
      <c r="Z8" s="3413"/>
      <c r="AA8" s="50">
        <f t="shared" ref="AA8:AA47" si="3">D8/F8</f>
        <v>1</v>
      </c>
      <c r="AB8" s="50">
        <f t="shared" ref="AB8:AB47" si="4">D8/H8</f>
        <v>1</v>
      </c>
      <c r="AC8" s="801">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801">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9" t="s">
        <v>1690</v>
      </c>
      <c r="Q15" s="1262" t="str">
        <f t="shared" si="6"/>
        <v>办公集聚程度</v>
      </c>
      <c r="R15" s="666" t="s">
        <v>14</v>
      </c>
      <c r="S15" s="667">
        <f t="shared" si="0"/>
        <v>100</v>
      </c>
      <c r="T15" s="666" t="s">
        <v>14</v>
      </c>
      <c r="U15" s="667">
        <f t="shared" si="1"/>
        <v>100</v>
      </c>
      <c r="V15" s="666" t="s">
        <v>14</v>
      </c>
      <c r="W15" s="667">
        <f t="shared" si="2"/>
        <v>100</v>
      </c>
      <c r="X15" s="1264"/>
      <c r="Y15" s="3381"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80"/>
      <c r="Q16" s="1262"/>
      <c r="R16" s="666"/>
      <c r="S16" s="667"/>
      <c r="T16" s="666"/>
      <c r="U16" s="667"/>
      <c r="V16" s="666"/>
      <c r="W16" s="667"/>
      <c r="X16" s="1264"/>
      <c r="Y16" s="3382"/>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0"/>
      <c r="Q18" s="1262"/>
      <c r="R18" s="666"/>
      <c r="S18" s="667"/>
      <c r="T18" s="666"/>
      <c r="U18" s="667"/>
      <c r="V18" s="666"/>
      <c r="W18" s="667"/>
      <c r="X18" s="1264"/>
      <c r="Y18" s="3382"/>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0"/>
      <c r="Q20" s="1262"/>
      <c r="R20" s="666"/>
      <c r="S20" s="667"/>
      <c r="T20" s="666"/>
      <c r="U20" s="667"/>
      <c r="V20" s="666"/>
      <c r="W20" s="667"/>
      <c r="X20" s="1264"/>
      <c r="Y20" s="3382"/>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80"/>
      <c r="Q22" s="1262"/>
      <c r="R22" s="666"/>
      <c r="S22" s="667"/>
      <c r="T22" s="666"/>
      <c r="U22" s="667"/>
      <c r="V22" s="666"/>
      <c r="W22" s="667"/>
      <c r="X22" s="1264"/>
      <c r="Y22" s="3382"/>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0"/>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80"/>
      <c r="Q24" s="1262"/>
      <c r="R24" s="666"/>
      <c r="S24" s="667"/>
      <c r="T24" s="666"/>
      <c r="U24" s="667"/>
      <c r="V24" s="666"/>
      <c r="W24" s="667"/>
      <c r="X24" s="1264"/>
      <c r="Y24" s="3382"/>
      <c r="Z24" s="1263"/>
      <c r="AA24" s="1263">
        <v>1</v>
      </c>
      <c r="AB24" s="1263">
        <v>1</v>
      </c>
      <c r="AC24" s="1811">
        <v>1</v>
      </c>
    </row>
    <row r="25" spans="1:29" ht="28.8">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0"/>
      <c r="Q25" s="1262" t="str">
        <f>B25</f>
        <v>毗邻道路的类型与等级</v>
      </c>
      <c r="R25" s="666" t="s">
        <v>14</v>
      </c>
      <c r="S25" s="667">
        <f>F25</f>
        <v>100</v>
      </c>
      <c r="T25" s="666" t="s">
        <v>14</v>
      </c>
      <c r="U25" s="667">
        <f>H25</f>
        <v>100</v>
      </c>
      <c r="V25" s="666" t="s">
        <v>14</v>
      </c>
      <c r="W25" s="667">
        <f>J25</f>
        <v>100</v>
      </c>
      <c r="X25" s="1264"/>
      <c r="Y25" s="3382"/>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80"/>
      <c r="Q26" s="1262"/>
      <c r="R26" s="666"/>
      <c r="S26" s="667"/>
      <c r="T26" s="666"/>
      <c r="U26" s="667"/>
      <c r="V26" s="666"/>
      <c r="W26" s="667"/>
      <c r="X26" s="1264"/>
      <c r="Y26" s="3382"/>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80"/>
      <c r="Q27" s="1262" t="str">
        <f t="shared" ref="Q27:Q47" si="11">B27</f>
        <v>楼层</v>
      </c>
      <c r="R27" s="666" t="s">
        <v>14</v>
      </c>
      <c r="S27" s="667">
        <f>F27</f>
        <v>100</v>
      </c>
      <c r="T27" s="666" t="s">
        <v>14</v>
      </c>
      <c r="U27" s="667">
        <f>H27</f>
        <v>100</v>
      </c>
      <c r="V27" s="666" t="s">
        <v>14</v>
      </c>
      <c r="W27" s="667">
        <f>J27</f>
        <v>100</v>
      </c>
      <c r="X27" s="1264"/>
      <c r="Y27" s="3382"/>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0"/>
      <c r="Q28" s="530" t="str">
        <f t="shared" si="11"/>
        <v>朝向</v>
      </c>
      <c r="R28" s="663" t="s">
        <v>14</v>
      </c>
      <c r="S28" s="664">
        <f>F28</f>
        <v>100</v>
      </c>
      <c r="T28" s="663" t="s">
        <v>14</v>
      </c>
      <c r="U28" s="664">
        <f>H28</f>
        <v>100</v>
      </c>
      <c r="V28" s="663" t="s">
        <v>14</v>
      </c>
      <c r="W28" s="664">
        <f>J28</f>
        <v>100</v>
      </c>
      <c r="X28" s="665"/>
      <c r="Y28" s="338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0"/>
      <c r="Q29" s="1262">
        <f t="shared" si="11"/>
        <v>111</v>
      </c>
      <c r="R29" s="666" t="s">
        <v>14</v>
      </c>
      <c r="S29" s="667">
        <f t="shared" ref="S29:S47" si="12">F29</f>
        <v>100</v>
      </c>
      <c r="T29" s="666" t="s">
        <v>14</v>
      </c>
      <c r="U29" s="667">
        <f t="shared" ref="U29:U47" si="13">H29</f>
        <v>100</v>
      </c>
      <c r="V29" s="666" t="s">
        <v>14</v>
      </c>
      <c r="W29" s="667">
        <f t="shared" ref="W29:W47" si="14">J29</f>
        <v>100</v>
      </c>
      <c r="X29" s="1264"/>
      <c r="Y29" s="338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0"/>
      <c r="Q32" s="1262">
        <f t="shared" si="11"/>
        <v>111</v>
      </c>
      <c r="R32" s="666" t="s">
        <v>14</v>
      </c>
      <c r="S32" s="667">
        <f t="shared" si="12"/>
        <v>100</v>
      </c>
      <c r="T32" s="666" t="s">
        <v>14</v>
      </c>
      <c r="U32" s="667">
        <f t="shared" si="13"/>
        <v>100</v>
      </c>
      <c r="V32" s="666" t="s">
        <v>14</v>
      </c>
      <c r="W32" s="667">
        <f t="shared" si="14"/>
        <v>100</v>
      </c>
      <c r="X32" s="1264"/>
      <c r="Y32" s="3382"/>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3" t="s">
        <v>1695</v>
      </c>
      <c r="Q33" s="1262" t="str">
        <f t="shared" si="11"/>
        <v>建筑类型</v>
      </c>
      <c r="R33" s="666" t="s">
        <v>14</v>
      </c>
      <c r="S33" s="667">
        <f t="shared" si="12"/>
        <v>100</v>
      </c>
      <c r="T33" s="666" t="s">
        <v>14</v>
      </c>
      <c r="U33" s="667">
        <f t="shared" si="13"/>
        <v>100</v>
      </c>
      <c r="V33" s="666" t="s">
        <v>14</v>
      </c>
      <c r="W33" s="667">
        <f t="shared" si="14"/>
        <v>100</v>
      </c>
      <c r="X33" s="1264"/>
      <c r="Y33" s="3386"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8" t="s">
        <v>14</v>
      </c>
      <c r="S34" s="669" t="e">
        <f t="shared" si="12"/>
        <v>#N/A</v>
      </c>
      <c r="T34" s="668" t="s">
        <v>14</v>
      </c>
      <c r="U34" s="669" t="e">
        <f t="shared" si="13"/>
        <v>#N/A</v>
      </c>
      <c r="V34" s="668" t="s">
        <v>14</v>
      </c>
      <c r="W34" s="669" t="e">
        <f t="shared" si="14"/>
        <v>#N/A</v>
      </c>
      <c r="X34" s="670"/>
      <c r="Y34" s="3386"/>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2" t="str">
        <f t="shared" si="11"/>
        <v>成新度</v>
      </c>
      <c r="R37" s="666" t="s">
        <v>14</v>
      </c>
      <c r="S37" s="667" t="e">
        <f t="shared" si="12"/>
        <v>#N/A</v>
      </c>
      <c r="T37" s="666" t="s">
        <v>14</v>
      </c>
      <c r="U37" s="667" t="e">
        <f t="shared" si="13"/>
        <v>#N/A</v>
      </c>
      <c r="V37" s="666" t="s">
        <v>14</v>
      </c>
      <c r="W37" s="667" t="e">
        <f t="shared" si="14"/>
        <v>#N/A</v>
      </c>
      <c r="X37" s="1264"/>
      <c r="Y37" s="3386"/>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4"/>
      <c r="Q38" s="530"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1695</v>
      </c>
      <c r="Q39" s="1262" t="str">
        <f t="shared" si="11"/>
        <v>物业管理</v>
      </c>
      <c r="R39" s="666" t="s">
        <v>14</v>
      </c>
      <c r="S39" s="667">
        <f t="shared" si="12"/>
        <v>100</v>
      </c>
      <c r="T39" s="666" t="s">
        <v>14</v>
      </c>
      <c r="U39" s="667">
        <f t="shared" si="13"/>
        <v>100</v>
      </c>
      <c r="V39" s="666" t="s">
        <v>14</v>
      </c>
      <c r="W39" s="667">
        <f t="shared" si="14"/>
        <v>100</v>
      </c>
      <c r="X39" s="1264"/>
      <c r="Y39" s="3386"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28.8">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4"/>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4"/>
      <c r="Q45" s="530">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2">
        <f t="shared" si="11"/>
        <v>111</v>
      </c>
      <c r="R47" s="666" t="s">
        <v>14</v>
      </c>
      <c r="S47" s="667">
        <f t="shared" si="12"/>
        <v>100</v>
      </c>
      <c r="T47" s="666" t="s">
        <v>14</v>
      </c>
      <c r="U47" s="667">
        <f t="shared" si="13"/>
        <v>100</v>
      </c>
      <c r="V47" s="666" t="s">
        <v>14</v>
      </c>
      <c r="W47" s="667">
        <f t="shared" si="14"/>
        <v>100</v>
      </c>
      <c r="X47" s="1264"/>
      <c r="Y47" s="3387"/>
      <c r="Z47" s="1263">
        <f t="shared" si="15"/>
        <v>111</v>
      </c>
      <c r="AA47" s="1263">
        <f t="shared" si="3"/>
        <v>1</v>
      </c>
      <c r="AB47" s="1263">
        <f t="shared" si="4"/>
        <v>1</v>
      </c>
      <c r="AC47" s="1811">
        <f t="shared" si="5"/>
        <v>1</v>
      </c>
    </row>
    <row r="48" spans="1:29" ht="14.4">
      <c r="A48" s="416" t="s">
        <v>1707</v>
      </c>
      <c r="B48" s="417"/>
      <c r="C48" s="1080" t="s">
        <v>0</v>
      </c>
      <c r="D48" s="418"/>
      <c r="E48" s="419"/>
      <c r="F48" s="420"/>
      <c r="G48" s="421"/>
      <c r="H48" s="422"/>
      <c r="I48" s="419"/>
      <c r="J48" s="422"/>
      <c r="K48" s="673"/>
      <c r="L48" s="2494"/>
      <c r="M48" s="2487"/>
      <c r="N48" s="2487"/>
      <c r="O48" s="2487"/>
      <c r="P48" s="3388" t="str">
        <f>A48</f>
        <v>成交单价（元/平方米）</v>
      </c>
      <c r="Q48" s="3374"/>
      <c r="R48" s="3375">
        <f>E48</f>
        <v>0</v>
      </c>
      <c r="S48" s="3375"/>
      <c r="T48" s="3375">
        <f>G48</f>
        <v>0</v>
      </c>
      <c r="U48" s="3375"/>
      <c r="V48" s="3375">
        <f>I48</f>
        <v>0</v>
      </c>
      <c r="W48" s="3375"/>
      <c r="X48" s="385"/>
      <c r="Y48" s="672"/>
      <c r="Z48" s="385"/>
      <c r="AA48" s="385"/>
      <c r="AB48" s="385"/>
      <c r="AC48" s="554"/>
    </row>
    <row r="49" spans="1:29" ht="1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88"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4"/>
    </row>
    <row r="50" spans="1:29" ht="15" thickBot="1">
      <c r="A50" s="427" t="s">
        <v>1793</v>
      </c>
      <c r="B50" s="428"/>
      <c r="C50" s="351" t="e">
        <f>R50</f>
        <v>#DIV/0!</v>
      </c>
      <c r="D50" s="351"/>
      <c r="E50" s="351"/>
      <c r="F50" s="351"/>
      <c r="G50" s="351"/>
      <c r="H50" s="351"/>
      <c r="I50" s="351"/>
      <c r="J50" s="429"/>
      <c r="K50" s="674"/>
      <c r="L50" s="2494"/>
      <c r="M50" s="2487"/>
      <c r="N50" s="2487"/>
      <c r="O50" s="2487"/>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110.83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1768</v>
      </c>
      <c r="B4" s="346"/>
      <c r="C4" s="3392" t="s">
        <v>1769</v>
      </c>
      <c r="D4" s="3393"/>
      <c r="E4" s="3394" t="s">
        <v>1770</v>
      </c>
      <c r="F4" s="3395"/>
      <c r="G4" s="3392" t="s">
        <v>1771</v>
      </c>
      <c r="H4" s="3393"/>
      <c r="I4" s="3392" t="s">
        <v>1772</v>
      </c>
      <c r="J4" s="3393"/>
      <c r="K4" s="537" t="s">
        <v>1773</v>
      </c>
      <c r="L4" s="859"/>
      <c r="M4" s="860"/>
      <c r="N4" s="860"/>
      <c r="O4" s="860"/>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c r="A5" s="348"/>
      <c r="B5" s="349"/>
      <c r="C5" s="3415" t="s">
        <v>1672</v>
      </c>
      <c r="D5" s="3411"/>
      <c r="E5" s="3441" t="s">
        <v>1673</v>
      </c>
      <c r="F5" s="3419"/>
      <c r="G5" s="3415" t="s">
        <v>1674</v>
      </c>
      <c r="H5" s="3411"/>
      <c r="I5" s="3415" t="s">
        <v>1675</v>
      </c>
      <c r="J5" s="3411"/>
      <c r="K5" s="537"/>
      <c r="L5" s="859"/>
      <c r="M5" s="860"/>
      <c r="N5" s="860"/>
      <c r="O5" s="860"/>
      <c r="P5" s="3398"/>
      <c r="Q5" s="3399"/>
      <c r="R5" s="3404"/>
      <c r="S5" s="3405"/>
      <c r="T5" s="3404"/>
      <c r="U5" s="3405"/>
      <c r="V5" s="3375"/>
      <c r="W5" s="3375"/>
      <c r="X5" s="1264"/>
      <c r="Y5" s="3404"/>
      <c r="Z5" s="3405"/>
      <c r="AA5" s="3390"/>
      <c r="AB5" s="3390"/>
      <c r="AC5" s="3390"/>
    </row>
    <row r="6" spans="1:29" ht="15" thickBot="1">
      <c r="A6" s="350"/>
      <c r="B6" s="351"/>
      <c r="C6" s="3408" t="s">
        <v>1676</v>
      </c>
      <c r="D6" s="3409"/>
      <c r="E6" s="3416" t="s">
        <v>1676</v>
      </c>
      <c r="F6" s="3417"/>
      <c r="G6" s="3408" t="s">
        <v>1676</v>
      </c>
      <c r="H6" s="3409"/>
      <c r="I6" s="3408" t="s">
        <v>1676</v>
      </c>
      <c r="J6" s="3409"/>
      <c r="K6" s="537" t="s">
        <v>1677</v>
      </c>
      <c r="L6" s="859"/>
      <c r="M6" s="860"/>
      <c r="N6" s="860"/>
      <c r="O6" s="860"/>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2" t="s">
        <v>1682</v>
      </c>
      <c r="Q8" s="3413"/>
      <c r="R8" s="663" t="s">
        <v>14</v>
      </c>
      <c r="S8" s="664">
        <f t="shared" si="0"/>
        <v>100</v>
      </c>
      <c r="T8" s="663" t="s">
        <v>14</v>
      </c>
      <c r="U8" s="664">
        <f t="shared" si="1"/>
        <v>100</v>
      </c>
      <c r="V8" s="663" t="s">
        <v>14</v>
      </c>
      <c r="W8" s="664">
        <f t="shared" si="2"/>
        <v>100</v>
      </c>
      <c r="X8" s="665"/>
      <c r="Y8" s="3412" t="s">
        <v>1682</v>
      </c>
      <c r="Z8" s="3413"/>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4"/>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69">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2"/>
      <c r="Q16" s="1262"/>
      <c r="R16" s="666"/>
      <c r="S16" s="667"/>
      <c r="T16" s="666"/>
      <c r="U16" s="667"/>
      <c r="V16" s="666"/>
      <c r="W16" s="667"/>
      <c r="X16" s="1264"/>
      <c r="Y16" s="3382"/>
      <c r="Z16" s="1263"/>
      <c r="AA16" s="1263">
        <v>1</v>
      </c>
      <c r="AB16" s="1263">
        <v>1</v>
      </c>
      <c r="AC16" s="1263">
        <v>1</v>
      </c>
    </row>
    <row r="17" spans="1:29" ht="96.6">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2"/>
      <c r="Q18" s="1262"/>
      <c r="R18" s="666"/>
      <c r="S18" s="667"/>
      <c r="T18" s="666"/>
      <c r="U18" s="667"/>
      <c r="V18" s="666"/>
      <c r="W18" s="667"/>
      <c r="X18" s="1264"/>
      <c r="Y18" s="3382"/>
      <c r="Z18" s="1263"/>
      <c r="AA18" s="1263">
        <v>1</v>
      </c>
      <c r="AB18" s="1263">
        <v>1</v>
      </c>
      <c r="AC18" s="1263">
        <v>1</v>
      </c>
    </row>
    <row r="19" spans="1:29" ht="41.4">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2"/>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2"/>
      <c r="Q20" s="1262"/>
      <c r="R20" s="666"/>
      <c r="S20" s="667"/>
      <c r="T20" s="666"/>
      <c r="U20" s="667"/>
      <c r="V20" s="666"/>
      <c r="W20" s="667"/>
      <c r="X20" s="1264"/>
      <c r="Y20" s="3382"/>
      <c r="Z20" s="1263"/>
      <c r="AA20" s="1263">
        <v>1</v>
      </c>
      <c r="AB20" s="1263">
        <v>1</v>
      </c>
      <c r="AC20" s="1263">
        <v>1</v>
      </c>
    </row>
    <row r="21" spans="1:29" ht="41.4">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2"/>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82"/>
      <c r="Q22" s="1262"/>
      <c r="R22" s="666"/>
      <c r="S22" s="667"/>
      <c r="T22" s="666"/>
      <c r="U22" s="667"/>
      <c r="V22" s="666"/>
      <c r="W22" s="667"/>
      <c r="X22" s="1264"/>
      <c r="Y22" s="3382"/>
      <c r="Z22" s="1263"/>
      <c r="AA22" s="1263">
        <v>1</v>
      </c>
      <c r="AB22" s="1263">
        <v>1</v>
      </c>
      <c r="AC22" s="1263">
        <v>1</v>
      </c>
    </row>
    <row r="23" spans="1:29" ht="82.8">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2"/>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82"/>
      <c r="Q24" s="1262"/>
      <c r="R24" s="666"/>
      <c r="S24" s="667"/>
      <c r="T24" s="666"/>
      <c r="U24" s="667"/>
      <c r="V24" s="666"/>
      <c r="W24" s="667"/>
      <c r="X24" s="1264"/>
      <c r="Y24" s="338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2"/>
      <c r="Q25" s="1262">
        <f>B25</f>
        <v>111</v>
      </c>
      <c r="R25" s="666" t="s">
        <v>14</v>
      </c>
      <c r="S25" s="667">
        <f>F25</f>
        <v>100</v>
      </c>
      <c r="T25" s="666" t="s">
        <v>14</v>
      </c>
      <c r="U25" s="667">
        <f>H25</f>
        <v>100</v>
      </c>
      <c r="V25" s="666" t="s">
        <v>14</v>
      </c>
      <c r="W25" s="667">
        <f>J25</f>
        <v>100</v>
      </c>
      <c r="X25" s="1264"/>
      <c r="Y25" s="338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2"/>
      <c r="Q26" s="1262">
        <f t="shared" ref="Q26:Q40" si="11">B26</f>
        <v>111</v>
      </c>
      <c r="R26" s="666" t="s">
        <v>14</v>
      </c>
      <c r="S26" s="667">
        <f>F26</f>
        <v>100</v>
      </c>
      <c r="T26" s="666" t="s">
        <v>14</v>
      </c>
      <c r="U26" s="667">
        <f>H26</f>
        <v>100</v>
      </c>
      <c r="V26" s="666" t="s">
        <v>14</v>
      </c>
      <c r="W26" s="667">
        <f>J26</f>
        <v>100</v>
      </c>
      <c r="X26" s="1264"/>
      <c r="Y26" s="338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2"/>
      <c r="Q27" s="530">
        <f t="shared" si="11"/>
        <v>111</v>
      </c>
      <c r="R27" s="663" t="s">
        <v>14</v>
      </c>
      <c r="S27" s="664">
        <f>F27</f>
        <v>100</v>
      </c>
      <c r="T27" s="663" t="s">
        <v>14</v>
      </c>
      <c r="U27" s="664">
        <f>H27</f>
        <v>100</v>
      </c>
      <c r="V27" s="663" t="s">
        <v>14</v>
      </c>
      <c r="W27" s="664">
        <f>J27</f>
        <v>100</v>
      </c>
      <c r="X27" s="665"/>
      <c r="Y27" s="3382"/>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2"/>
      <c r="Q28" s="1262">
        <f t="shared" si="11"/>
        <v>111</v>
      </c>
      <c r="R28" s="666" t="s">
        <v>14</v>
      </c>
      <c r="S28" s="667">
        <f t="shared" ref="S28:S40" si="12">F28</f>
        <v>100</v>
      </c>
      <c r="T28" s="666" t="s">
        <v>14</v>
      </c>
      <c r="U28" s="667">
        <f t="shared" ref="U28:U40" si="13">H28</f>
        <v>100</v>
      </c>
      <c r="V28" s="666" t="s">
        <v>14</v>
      </c>
      <c r="W28" s="667">
        <f t="shared" ref="W28:W40" si="14">J28</f>
        <v>100</v>
      </c>
      <c r="X28" s="1264"/>
      <c r="Y28" s="3382"/>
      <c r="Z28" s="1263">
        <f t="shared" ref="Z28:Z40" si="15">Q28</f>
        <v>111</v>
      </c>
      <c r="AA28" s="1263">
        <f t="shared" si="3"/>
        <v>1</v>
      </c>
      <c r="AB28" s="1263">
        <f t="shared" si="4"/>
        <v>1</v>
      </c>
      <c r="AC28" s="1263">
        <f t="shared" si="5"/>
        <v>1</v>
      </c>
    </row>
    <row r="29" spans="1:29" ht="30">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386"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6"/>
      <c r="Q30" s="531"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6"/>
      <c r="Q34" s="530"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6" t="s">
        <v>1695</v>
      </c>
      <c r="Q35" s="1262" t="str">
        <f t="shared" si="11"/>
        <v>市政基础设施</v>
      </c>
      <c r="R35" s="666" t="s">
        <v>14</v>
      </c>
      <c r="S35" s="667">
        <f t="shared" si="12"/>
        <v>100</v>
      </c>
      <c r="T35" s="666" t="s">
        <v>14</v>
      </c>
      <c r="U35" s="667">
        <f t="shared" si="13"/>
        <v>100</v>
      </c>
      <c r="V35" s="666" t="s">
        <v>14</v>
      </c>
      <c r="W35" s="667">
        <f t="shared" si="14"/>
        <v>100</v>
      </c>
      <c r="X35" s="1264"/>
      <c r="Y35" s="3386"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6"/>
      <c r="Q38" s="531">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7"/>
      <c r="Q40" s="1262">
        <f t="shared" si="11"/>
        <v>111</v>
      </c>
      <c r="R40" s="666" t="s">
        <v>14</v>
      </c>
      <c r="S40" s="667">
        <f t="shared" si="12"/>
        <v>100</v>
      </c>
      <c r="T40" s="666" t="s">
        <v>14</v>
      </c>
      <c r="U40" s="667">
        <f t="shared" si="13"/>
        <v>100</v>
      </c>
      <c r="V40" s="666" t="s">
        <v>14</v>
      </c>
      <c r="W40" s="667">
        <f t="shared" si="14"/>
        <v>100</v>
      </c>
      <c r="X40" s="1264"/>
      <c r="Y40" s="3387"/>
      <c r="Z40" s="1263">
        <f t="shared" si="15"/>
        <v>111</v>
      </c>
      <c r="AA40" s="1263">
        <f t="shared" si="3"/>
        <v>1</v>
      </c>
      <c r="AB40" s="1263">
        <f t="shared" si="4"/>
        <v>1</v>
      </c>
      <c r="AC40" s="1263">
        <f t="shared" si="5"/>
        <v>1</v>
      </c>
    </row>
    <row r="41" spans="1:29" ht="14.4">
      <c r="A41" s="416" t="s">
        <v>1707</v>
      </c>
      <c r="B41" s="417"/>
      <c r="C41" s="1080" t="s">
        <v>0</v>
      </c>
      <c r="D41" s="418"/>
      <c r="E41" s="419"/>
      <c r="F41" s="420"/>
      <c r="G41" s="421"/>
      <c r="H41" s="422"/>
      <c r="I41" s="419"/>
      <c r="J41" s="422"/>
      <c r="K41" s="673"/>
      <c r="L41" s="872"/>
      <c r="M41" s="860"/>
      <c r="N41" s="860"/>
      <c r="O41" s="860"/>
      <c r="P41" s="3374" t="str">
        <f>A41</f>
        <v>成交单价（元/平方米）</v>
      </c>
      <c r="Q41" s="3374"/>
      <c r="R41" s="3375">
        <f>E41</f>
        <v>0</v>
      </c>
      <c r="S41" s="3375"/>
      <c r="T41" s="3375">
        <f>G41</f>
        <v>0</v>
      </c>
      <c r="U41" s="3375"/>
      <c r="V41" s="3375">
        <f>I41</f>
        <v>0</v>
      </c>
      <c r="W41" s="3375"/>
      <c r="X41" s="385"/>
      <c r="Y41" s="672"/>
      <c r="Z41" s="385"/>
      <c r="AA41" s="385"/>
      <c r="AB41" s="385"/>
      <c r="AC41" s="385"/>
    </row>
    <row r="42" spans="1:29" ht="1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72"/>
      <c r="M43" s="860"/>
      <c r="N43" s="860"/>
      <c r="O43" s="860"/>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1797</v>
      </c>
      <c r="B51" s="385"/>
      <c r="C51" s="658"/>
      <c r="D51" s="658"/>
      <c r="E51" s="658"/>
      <c r="F51" s="659"/>
      <c r="G51" s="659"/>
      <c r="H51" s="658"/>
      <c r="I51" s="658"/>
      <c r="J51" s="658"/>
      <c r="K51" s="886"/>
      <c r="L51" s="887"/>
      <c r="M51" s="885"/>
      <c r="N51" s="885"/>
      <c r="O51" s="885"/>
      <c r="P51" s="438"/>
      <c r="Q51" s="439"/>
    </row>
    <row r="52" spans="1:17" s="442" customFormat="1" ht="14.4">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1718</v>
      </c>
      <c r="B57" s="460" t="s">
        <v>1684</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1687</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1693</v>
      </c>
      <c r="B88" s="460" t="s">
        <v>1735</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6" si="3">D8/F8</f>
        <v>1</v>
      </c>
      <c r="AB8" s="50">
        <f t="shared" ref="AB8:AB36" si="4">D8/H8</f>
        <v>1</v>
      </c>
      <c r="AC8" s="50">
        <f t="shared" ref="AC8:AC36" si="5">D8/J8</f>
        <v>1</v>
      </c>
    </row>
    <row r="9" spans="1:29" s="102" customFormat="1" ht="14.4">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8.8">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82"/>
      <c r="Q15" s="1262"/>
      <c r="R15" s="666"/>
      <c r="S15" s="667"/>
      <c r="T15" s="666"/>
      <c r="U15" s="667"/>
      <c r="V15" s="666"/>
      <c r="W15" s="667"/>
      <c r="X15" s="1264"/>
      <c r="Y15" s="3382"/>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2"/>
      <c r="Q17" s="1262"/>
      <c r="R17" s="666"/>
      <c r="S17" s="667"/>
      <c r="T17" s="666"/>
      <c r="U17" s="667"/>
      <c r="V17" s="666"/>
      <c r="W17" s="667"/>
      <c r="X17" s="1264"/>
      <c r="Y17" s="3382"/>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82"/>
      <c r="Q19" s="1262"/>
      <c r="R19" s="666"/>
      <c r="S19" s="667"/>
      <c r="T19" s="666"/>
      <c r="U19" s="667"/>
      <c r="V19" s="666"/>
      <c r="W19" s="667"/>
      <c r="X19" s="1264"/>
      <c r="Y19" s="3382"/>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2"/>
      <c r="Q21" s="1262"/>
      <c r="R21" s="666"/>
      <c r="S21" s="667"/>
      <c r="T21" s="666"/>
      <c r="U21" s="667"/>
      <c r="V21" s="666"/>
      <c r="W21" s="667"/>
      <c r="X21" s="1264"/>
      <c r="Y21" s="3382"/>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2">
        <f t="shared" ref="Q24:Q36"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30">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86"/>
      <c r="Q27" s="531"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6"/>
      <c r="Q31" s="530"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1695</v>
      </c>
      <c r="Q32" s="1262" t="str">
        <f t="shared" si="11"/>
        <v>车位类型</v>
      </c>
      <c r="R32" s="666" t="s">
        <v>14</v>
      </c>
      <c r="S32" s="667">
        <f t="shared" si="12"/>
        <v>100</v>
      </c>
      <c r="T32" s="666" t="s">
        <v>14</v>
      </c>
      <c r="U32" s="667">
        <f t="shared" si="13"/>
        <v>100</v>
      </c>
      <c r="V32" s="666" t="s">
        <v>14</v>
      </c>
      <c r="W32" s="667">
        <f t="shared" si="14"/>
        <v>100</v>
      </c>
      <c r="X32" s="1264"/>
      <c r="Y32" s="3386"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4.4">
      <c r="A37" s="416" t="s">
        <v>1843</v>
      </c>
      <c r="B37" s="1820" t="s">
        <v>3349</v>
      </c>
      <c r="C37" s="1080" t="s">
        <v>0</v>
      </c>
      <c r="D37" s="418"/>
      <c r="E37" s="419"/>
      <c r="F37" s="420"/>
      <c r="G37" s="421"/>
      <c r="H37" s="422"/>
      <c r="I37" s="419"/>
      <c r="J37" s="422"/>
      <c r="K37" s="544"/>
      <c r="L37" s="2494"/>
      <c r="M37" s="2487"/>
      <c r="N37" s="2487"/>
      <c r="O37" s="2487"/>
      <c r="P37" s="3374" t="str">
        <f>A37</f>
        <v>成交单价</v>
      </c>
      <c r="Q37" s="3374"/>
      <c r="R37" s="3375">
        <f>E37</f>
        <v>0</v>
      </c>
      <c r="S37" s="3375"/>
      <c r="T37" s="3375">
        <f>G37</f>
        <v>0</v>
      </c>
      <c r="U37" s="3375"/>
      <c r="V37" s="3375">
        <f>I37</f>
        <v>0</v>
      </c>
      <c r="W37" s="3375"/>
      <c r="X37" s="385"/>
      <c r="Y37" s="672"/>
      <c r="Z37" s="385"/>
      <c r="AA37" s="385"/>
      <c r="AB37" s="385"/>
      <c r="AC37" s="385"/>
    </row>
    <row r="38" spans="1:29" ht="1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 thickBot="1">
      <c r="A39" s="427" t="s">
        <v>1845</v>
      </c>
      <c r="B39" s="428"/>
      <c r="C39" s="351" t="e">
        <f>R39</f>
        <v>#DIV/0!</v>
      </c>
      <c r="D39" s="351"/>
      <c r="E39" s="351"/>
      <c r="F39" s="351"/>
      <c r="G39" s="351"/>
      <c r="H39" s="351"/>
      <c r="I39" s="351"/>
      <c r="J39" s="351"/>
      <c r="K39" s="545"/>
      <c r="L39" s="2494"/>
      <c r="M39" s="2487"/>
      <c r="N39" s="2487"/>
      <c r="O39" s="2487"/>
      <c r="P39" s="3376" t="str">
        <f>A39</f>
        <v>估价对象XX用房的比较价值（楼面单价，元/平方米）</v>
      </c>
      <c r="Q39" s="3377"/>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2"/>
      <c r="Q15" s="1262"/>
      <c r="R15" s="666"/>
      <c r="S15" s="667"/>
      <c r="T15" s="666"/>
      <c r="U15" s="667"/>
      <c r="V15" s="666"/>
      <c r="W15" s="667"/>
      <c r="X15" s="1264"/>
      <c r="Y15" s="3382"/>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2"/>
      <c r="Q17" s="1262"/>
      <c r="R17" s="666"/>
      <c r="S17" s="667"/>
      <c r="T17" s="666"/>
      <c r="U17" s="667"/>
      <c r="V17" s="666"/>
      <c r="W17" s="667"/>
      <c r="X17" s="1264"/>
      <c r="Y17" s="3382"/>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82"/>
      <c r="Q19" s="1262"/>
      <c r="R19" s="666"/>
      <c r="S19" s="667"/>
      <c r="T19" s="666"/>
      <c r="U19" s="667"/>
      <c r="V19" s="666"/>
      <c r="W19" s="667"/>
      <c r="X19" s="1264"/>
      <c r="Y19" s="3382"/>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2"/>
      <c r="Q21" s="1262"/>
      <c r="R21" s="666"/>
      <c r="S21" s="667"/>
      <c r="T21" s="666"/>
      <c r="U21" s="667"/>
      <c r="V21" s="666"/>
      <c r="W21" s="667"/>
      <c r="X21" s="1264"/>
      <c r="Y21" s="3382"/>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2">
        <f t="shared" ref="Q24:Q34"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6"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30">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86"/>
      <c r="Q31" s="530"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1695</v>
      </c>
      <c r="Q32" s="1262">
        <f t="shared" si="11"/>
        <v>111</v>
      </c>
      <c r="R32" s="666" t="s">
        <v>14</v>
      </c>
      <c r="S32" s="667">
        <f t="shared" si="12"/>
        <v>100</v>
      </c>
      <c r="T32" s="666" t="s">
        <v>14</v>
      </c>
      <c r="U32" s="667">
        <f t="shared" si="13"/>
        <v>100</v>
      </c>
      <c r="V32" s="666" t="s">
        <v>14</v>
      </c>
      <c r="W32" s="667">
        <f t="shared" si="14"/>
        <v>100</v>
      </c>
      <c r="X32" s="1264"/>
      <c r="Y32" s="3386"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4.4">
      <c r="A35" s="416" t="s">
        <v>1707</v>
      </c>
      <c r="B35" s="417"/>
      <c r="C35" s="1080" t="s">
        <v>0</v>
      </c>
      <c r="D35" s="418"/>
      <c r="E35" s="419"/>
      <c r="F35" s="420"/>
      <c r="G35" s="421"/>
      <c r="H35" s="422"/>
      <c r="I35" s="419"/>
      <c r="J35" s="422"/>
      <c r="K35" s="673"/>
      <c r="L35" s="2494"/>
      <c r="M35" s="2487"/>
      <c r="N35" s="2487"/>
      <c r="O35" s="2487"/>
      <c r="P35" s="3374" t="str">
        <f>A35</f>
        <v>成交单价（元/平方米）</v>
      </c>
      <c r="Q35" s="3374"/>
      <c r="R35" s="3375">
        <f>E35</f>
        <v>0</v>
      </c>
      <c r="S35" s="3375"/>
      <c r="T35" s="3375">
        <f>G35</f>
        <v>0</v>
      </c>
      <c r="U35" s="3375"/>
      <c r="V35" s="3375">
        <f>I35</f>
        <v>0</v>
      </c>
      <c r="W35" s="3375"/>
      <c r="X35" s="385"/>
      <c r="Y35" s="672"/>
      <c r="Z35" s="385"/>
      <c r="AA35" s="385"/>
      <c r="AB35" s="385"/>
      <c r="AC35" s="385"/>
    </row>
    <row r="36" spans="1:30" ht="1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94"/>
      <c r="M37" s="2487"/>
      <c r="N37" s="2487"/>
      <c r="O37" s="2487"/>
      <c r="P37" s="3376" t="str">
        <f>A37</f>
        <v>估价对象XX用房的比较价值（楼面单价，元/平方米）</v>
      </c>
      <c r="Q37" s="3377"/>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74"/>
      <c r="Q12" s="530" t="str">
        <f t="shared" si="6"/>
        <v>配建</v>
      </c>
      <c r="R12" s="663" t="s">
        <v>14</v>
      </c>
      <c r="S12" s="664">
        <f t="shared" si="0"/>
        <v>100</v>
      </c>
      <c r="T12" s="663" t="s">
        <v>14</v>
      </c>
      <c r="U12" s="664">
        <f t="shared" si="1"/>
        <v>100</v>
      </c>
      <c r="V12" s="663" t="s">
        <v>14</v>
      </c>
      <c r="W12" s="664">
        <f t="shared" si="2"/>
        <v>100</v>
      </c>
      <c r="X12" s="665"/>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81" t="s">
        <v>1690</v>
      </c>
      <c r="Q15" s="1262" t="str">
        <f t="shared" si="6"/>
        <v>居住社区成熟度</v>
      </c>
      <c r="R15" s="666" t="s">
        <v>14</v>
      </c>
      <c r="S15" s="667">
        <f t="shared" si="0"/>
        <v>100</v>
      </c>
      <c r="T15" s="666" t="s">
        <v>14</v>
      </c>
      <c r="U15" s="667">
        <f t="shared" si="1"/>
        <v>100</v>
      </c>
      <c r="V15" s="666" t="s">
        <v>14</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82"/>
      <c r="Q17" s="1262" t="str">
        <f>B17</f>
        <v>商业繁华度</v>
      </c>
      <c r="R17" s="666" t="s">
        <v>14</v>
      </c>
      <c r="S17" s="667">
        <f>F17</f>
        <v>100</v>
      </c>
      <c r="T17" s="666" t="s">
        <v>14</v>
      </c>
      <c r="U17" s="667">
        <f>H17</f>
        <v>100</v>
      </c>
      <c r="V17" s="666" t="s">
        <v>14</v>
      </c>
      <c r="W17" s="667">
        <f>J17</f>
        <v>100</v>
      </c>
      <c r="X17" s="1264"/>
      <c r="Y17" s="338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82"/>
      <c r="Q19" s="1262" t="str">
        <f>B19</f>
        <v>办公集聚程度</v>
      </c>
      <c r="R19" s="666" t="s">
        <v>14</v>
      </c>
      <c r="S19" s="667">
        <f>F19</f>
        <v>100</v>
      </c>
      <c r="T19" s="666" t="s">
        <v>14</v>
      </c>
      <c r="U19" s="667">
        <f>H19</f>
        <v>100</v>
      </c>
      <c r="V19" s="666" t="s">
        <v>14</v>
      </c>
      <c r="W19" s="667">
        <f>J19</f>
        <v>100</v>
      </c>
      <c r="X19" s="1264"/>
      <c r="Y19" s="338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82"/>
      <c r="Q20" s="1262"/>
      <c r="R20" s="666"/>
      <c r="S20" s="667"/>
      <c r="T20" s="666"/>
      <c r="U20" s="667"/>
      <c r="V20" s="666"/>
      <c r="W20" s="667"/>
      <c r="X20" s="1264"/>
      <c r="Y20" s="3382"/>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82"/>
      <c r="Q21" s="1262" t="str">
        <f>B21</f>
        <v>交通便捷度</v>
      </c>
      <c r="R21" s="666" t="s">
        <v>14</v>
      </c>
      <c r="S21" s="667">
        <f>F21</f>
        <v>100</v>
      </c>
      <c r="T21" s="666" t="s">
        <v>14</v>
      </c>
      <c r="U21" s="667">
        <f>H21</f>
        <v>100</v>
      </c>
      <c r="V21" s="666" t="s">
        <v>14</v>
      </c>
      <c r="W21" s="667">
        <f>J21</f>
        <v>100</v>
      </c>
      <c r="X21" s="1264"/>
      <c r="Y21" s="3382"/>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ht="28.8">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82"/>
      <c r="Q23" s="1262" t="str">
        <f t="shared" ref="Q23:Q37" si="8">B23</f>
        <v>区域土地利用方向</v>
      </c>
      <c r="R23" s="666" t="s">
        <v>14</v>
      </c>
      <c r="S23" s="667">
        <f>F23</f>
        <v>100</v>
      </c>
      <c r="T23" s="666" t="s">
        <v>14</v>
      </c>
      <c r="U23" s="667">
        <f>H23</f>
        <v>100</v>
      </c>
      <c r="V23" s="666" t="s">
        <v>14</v>
      </c>
      <c r="W23" s="667">
        <f>J23</f>
        <v>100</v>
      </c>
      <c r="X23" s="1264"/>
      <c r="Y23" s="338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82"/>
      <c r="Q24" s="1262"/>
      <c r="R24" s="666"/>
      <c r="S24" s="667"/>
      <c r="T24" s="666"/>
      <c r="U24" s="667"/>
      <c r="V24" s="666"/>
      <c r="W24" s="667"/>
      <c r="X24" s="1264"/>
      <c r="Y24" s="3382"/>
      <c r="Z24" s="1263"/>
      <c r="AA24" s="1263"/>
      <c r="AB24" s="1263"/>
      <c r="AC24" s="1263"/>
    </row>
    <row r="25" spans="1:29" ht="28.8">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82"/>
      <c r="Q25" s="1262" t="str">
        <f t="shared" si="8"/>
        <v>自然及人文环境状况</v>
      </c>
      <c r="R25" s="666" t="s">
        <v>14</v>
      </c>
      <c r="S25" s="667">
        <f>F25</f>
        <v>100</v>
      </c>
      <c r="T25" s="666" t="s">
        <v>14</v>
      </c>
      <c r="U25" s="667">
        <f>H25</f>
        <v>100</v>
      </c>
      <c r="V25" s="666" t="s">
        <v>14</v>
      </c>
      <c r="W25" s="667">
        <f>J25</f>
        <v>100</v>
      </c>
      <c r="X25" s="1264"/>
      <c r="Y25" s="338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82"/>
      <c r="Q26" s="1262"/>
      <c r="R26" s="666"/>
      <c r="S26" s="667"/>
      <c r="T26" s="666"/>
      <c r="U26" s="667"/>
      <c r="V26" s="666"/>
      <c r="W26" s="667"/>
      <c r="X26" s="1264"/>
      <c r="Y26" s="3382"/>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82"/>
      <c r="Q27" s="530" t="str">
        <f t="shared" si="8"/>
        <v>公共配套设施</v>
      </c>
      <c r="R27" s="663" t="s">
        <v>14</v>
      </c>
      <c r="S27" s="664">
        <f>F27</f>
        <v>100</v>
      </c>
      <c r="T27" s="663" t="s">
        <v>14</v>
      </c>
      <c r="U27" s="664">
        <f>H27</f>
        <v>100</v>
      </c>
      <c r="V27" s="663" t="s">
        <v>14</v>
      </c>
      <c r="W27" s="664">
        <f>J27</f>
        <v>100</v>
      </c>
      <c r="X27" s="665"/>
      <c r="Y27" s="338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82"/>
      <c r="Q28" s="530"/>
      <c r="R28" s="663"/>
      <c r="S28" s="664"/>
      <c r="T28" s="663"/>
      <c r="U28" s="664"/>
      <c r="V28" s="663"/>
      <c r="W28" s="664"/>
      <c r="X28" s="665"/>
      <c r="Y28" s="3382"/>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82"/>
      <c r="Q29" s="530" t="str">
        <f t="shared" ref="Q29" si="9">B29</f>
        <v>基础设施水平</v>
      </c>
      <c r="R29" s="663" t="s">
        <v>14</v>
      </c>
      <c r="S29" s="664">
        <f>F29</f>
        <v>100</v>
      </c>
      <c r="T29" s="663" t="s">
        <v>14</v>
      </c>
      <c r="U29" s="664">
        <f>H29</f>
        <v>100</v>
      </c>
      <c r="V29" s="663" t="s">
        <v>14</v>
      </c>
      <c r="W29" s="664">
        <f>J29</f>
        <v>100</v>
      </c>
      <c r="X29" s="665"/>
      <c r="Y29" s="338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82"/>
      <c r="Q30" s="530"/>
      <c r="R30" s="663"/>
      <c r="S30" s="664"/>
      <c r="T30" s="663"/>
      <c r="U30" s="664"/>
      <c r="V30" s="663"/>
      <c r="W30" s="664"/>
      <c r="X30" s="665"/>
      <c r="Y30" s="3382"/>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8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2"/>
      <c r="Z31" s="1263" t="str">
        <f t="shared" ref="Z31:Z45" si="13">Q31</f>
        <v>临街状况</v>
      </c>
      <c r="AA31" s="1263">
        <f t="shared" si="3"/>
        <v>1</v>
      </c>
      <c r="AB31" s="1263">
        <f t="shared" si="4"/>
        <v>1</v>
      </c>
      <c r="AC31" s="1263">
        <f t="shared" si="5"/>
        <v>1</v>
      </c>
    </row>
    <row r="32" spans="1:29" ht="28.8">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82"/>
      <c r="Q32" s="1262" t="str">
        <f t="shared" si="8"/>
        <v>毗邻道路的类型与等级</v>
      </c>
      <c r="R32" s="666" t="s">
        <v>14</v>
      </c>
      <c r="S32" s="667">
        <f t="shared" si="10"/>
        <v>100</v>
      </c>
      <c r="T32" s="666" t="s">
        <v>14</v>
      </c>
      <c r="U32" s="667">
        <f t="shared" si="11"/>
        <v>100</v>
      </c>
      <c r="V32" s="666" t="s">
        <v>14</v>
      </c>
      <c r="W32" s="667">
        <f t="shared" si="12"/>
        <v>100</v>
      </c>
      <c r="X32" s="1264"/>
      <c r="Y32" s="338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2"/>
      <c r="Q33" s="1262"/>
      <c r="R33" s="666"/>
      <c r="S33" s="667"/>
      <c r="T33" s="666"/>
      <c r="U33" s="667"/>
      <c r="V33" s="666"/>
      <c r="W33" s="667"/>
      <c r="X33" s="1264"/>
      <c r="Y33" s="3382"/>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82"/>
      <c r="Q34" s="1262" t="str">
        <f t="shared" si="8"/>
        <v>土地级别</v>
      </c>
      <c r="R34" s="666" t="s">
        <v>14</v>
      </c>
      <c r="S34" s="667">
        <f t="shared" si="10"/>
        <v>100</v>
      </c>
      <c r="T34" s="666" t="s">
        <v>14</v>
      </c>
      <c r="U34" s="667">
        <f t="shared" si="11"/>
        <v>100</v>
      </c>
      <c r="V34" s="666" t="s">
        <v>14</v>
      </c>
      <c r="W34" s="667">
        <f t="shared" si="12"/>
        <v>100</v>
      </c>
      <c r="X34" s="1264"/>
      <c r="Y34" s="3382"/>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82"/>
      <c r="Q35" s="1262">
        <f t="shared" si="8"/>
        <v>111</v>
      </c>
      <c r="R35" s="666" t="s">
        <v>14</v>
      </c>
      <c r="S35" s="667">
        <f t="shared" si="10"/>
        <v>100</v>
      </c>
      <c r="T35" s="666" t="s">
        <v>14</v>
      </c>
      <c r="U35" s="667">
        <f t="shared" si="11"/>
        <v>100</v>
      </c>
      <c r="V35" s="666" t="s">
        <v>14</v>
      </c>
      <c r="W35" s="667">
        <f t="shared" si="12"/>
        <v>100</v>
      </c>
      <c r="X35" s="1264"/>
      <c r="Y35" s="3382"/>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386" t="s">
        <v>1695</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6">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86"/>
      <c r="Q38" s="1262" t="str">
        <f>B38</f>
        <v>宗地面积</v>
      </c>
      <c r="R38" s="666" t="s">
        <v>14</v>
      </c>
      <c r="S38" s="667" t="e">
        <f t="shared" si="10"/>
        <v>#N/A</v>
      </c>
      <c r="T38" s="666" t="s">
        <v>14</v>
      </c>
      <c r="U38" s="667" t="e">
        <f t="shared" si="11"/>
        <v>#N/A</v>
      </c>
      <c r="V38" s="666" t="s">
        <v>14</v>
      </c>
      <c r="W38" s="667" t="e">
        <f t="shared" si="12"/>
        <v>#N/A</v>
      </c>
      <c r="X38" s="1264"/>
      <c r="Y38" s="3386"/>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6" t="s">
        <v>1695</v>
      </c>
      <c r="Q42" s="1262" t="str">
        <f t="shared" si="14"/>
        <v>工程地质条件</v>
      </c>
      <c r="R42" s="666" t="s">
        <v>14</v>
      </c>
      <c r="S42" s="667">
        <f t="shared" si="10"/>
        <v>100</v>
      </c>
      <c r="T42" s="666" t="s">
        <v>14</v>
      </c>
      <c r="U42" s="667">
        <f t="shared" si="11"/>
        <v>100</v>
      </c>
      <c r="V42" s="666" t="s">
        <v>14</v>
      </c>
      <c r="W42" s="667">
        <f t="shared" si="12"/>
        <v>100</v>
      </c>
      <c r="X42" s="1264"/>
      <c r="Y42" s="3386"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8" customFormat="1" ht="15.6"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4.4">
      <c r="A46" s="416" t="s">
        <v>1843</v>
      </c>
      <c r="B46" s="1829" t="s">
        <v>1878</v>
      </c>
      <c r="C46" s="601" t="s">
        <v>0</v>
      </c>
      <c r="D46" s="418"/>
      <c r="E46" s="419"/>
      <c r="F46" s="420"/>
      <c r="G46" s="421"/>
      <c r="H46" s="422"/>
      <c r="I46" s="419"/>
      <c r="J46" s="422"/>
      <c r="K46" s="673"/>
      <c r="L46" s="2494"/>
      <c r="M46" s="2487"/>
      <c r="N46" s="2487"/>
      <c r="O46" s="2487"/>
      <c r="P46" s="3374" t="str">
        <f>A46</f>
        <v>成交单价</v>
      </c>
      <c r="Q46" s="3374"/>
      <c r="R46" s="3375">
        <f>E46</f>
        <v>0</v>
      </c>
      <c r="S46" s="3375"/>
      <c r="T46" s="3375">
        <f>G46</f>
        <v>0</v>
      </c>
      <c r="U46" s="3375"/>
      <c r="V46" s="3375">
        <f>I46</f>
        <v>0</v>
      </c>
      <c r="W46" s="3375"/>
      <c r="X46" s="385"/>
      <c r="Y46" s="672"/>
      <c r="Z46" s="385"/>
      <c r="AA46" s="385"/>
      <c r="AB46" s="385"/>
      <c r="AC46" s="385"/>
    </row>
    <row r="47" spans="1:29" ht="1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374" t="str">
        <f>A47</f>
        <v>比较价值（元/平方米）</v>
      </c>
      <c r="Q47" s="3374"/>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94"/>
      <c r="M48" s="2487"/>
      <c r="N48" s="2487"/>
      <c r="O48" s="2487"/>
      <c r="P48" s="3376" t="str">
        <f>A48</f>
        <v>估价对象XX用房的比较价值（楼面单价，元/平方米）</v>
      </c>
      <c r="Q48" s="3377"/>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2"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110.83</v>
      </c>
      <c r="F56" s="832" t="e">
        <f t="shared" ref="F56:F64" si="15">ROUND(B56*E56/10000,0)</f>
        <v>#DIV/0!</v>
      </c>
      <c r="G56" s="3388"/>
      <c r="H56" s="337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4"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1902</v>
      </c>
      <c r="B65" s="615" t="s">
        <v>22</v>
      </c>
      <c r="C65" s="615" t="s">
        <v>23</v>
      </c>
      <c r="D65" s="615" t="s">
        <v>392</v>
      </c>
      <c r="E65" s="615">
        <f>IF(B46="楼面地价",SUM(E56:E64),'数据-汇总表'!D3)</f>
        <v>110.83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2.2"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4.4">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 thickBot="1">
      <c r="A6" s="350"/>
      <c r="B6" s="351"/>
      <c r="C6" s="3462" t="s">
        <v>1918</v>
      </c>
      <c r="D6" s="3463"/>
      <c r="E6" s="3464" t="s">
        <v>1918</v>
      </c>
      <c r="F6" s="3465"/>
      <c r="G6" s="3462" t="s">
        <v>1918</v>
      </c>
      <c r="H6" s="3463"/>
      <c r="I6" s="3462" t="s">
        <v>1918</v>
      </c>
      <c r="J6" s="3463"/>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69">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96.6">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28.8">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82"/>
      <c r="Q19" s="1262" t="str">
        <f t="shared" ref="Q19:Q33" si="8">B19</f>
        <v>区域土地利用方向</v>
      </c>
      <c r="R19" s="666" t="s">
        <v>14</v>
      </c>
      <c r="S19" s="667">
        <f>F19</f>
        <v>100</v>
      </c>
      <c r="T19" s="666" t="s">
        <v>14</v>
      </c>
      <c r="U19" s="667">
        <f>H19</f>
        <v>100</v>
      </c>
      <c r="V19" s="666" t="s">
        <v>14</v>
      </c>
      <c r="W19" s="667">
        <f>J19</f>
        <v>100</v>
      </c>
      <c r="X19" s="1264"/>
      <c r="Y19" s="338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82"/>
      <c r="Q20" s="1262"/>
      <c r="R20" s="666"/>
      <c r="S20" s="667"/>
      <c r="T20" s="666"/>
      <c r="U20" s="667"/>
      <c r="V20" s="666"/>
      <c r="W20" s="667"/>
      <c r="X20" s="1264"/>
      <c r="Y20" s="3382"/>
      <c r="Z20" s="1263"/>
      <c r="AA20" s="1263"/>
      <c r="AB20" s="1263"/>
      <c r="AC20" s="1263"/>
    </row>
    <row r="21" spans="1:29" ht="82.8">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82"/>
      <c r="Q21" s="1262" t="str">
        <f t="shared" si="8"/>
        <v>环境状况</v>
      </c>
      <c r="R21" s="666" t="s">
        <v>14</v>
      </c>
      <c r="S21" s="667">
        <f>F21</f>
        <v>100</v>
      </c>
      <c r="T21" s="666" t="s">
        <v>14</v>
      </c>
      <c r="U21" s="667">
        <f>H21</f>
        <v>100</v>
      </c>
      <c r="V21" s="666" t="s">
        <v>14</v>
      </c>
      <c r="W21" s="667">
        <f>J21</f>
        <v>100</v>
      </c>
      <c r="X21" s="1264"/>
      <c r="Y21" s="338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s="102" customFormat="1" ht="41.4">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82"/>
      <c r="Q23" s="530" t="str">
        <f t="shared" si="8"/>
        <v>公共配套设施</v>
      </c>
      <c r="R23" s="663" t="s">
        <v>14</v>
      </c>
      <c r="S23" s="664">
        <f>F23</f>
        <v>100</v>
      </c>
      <c r="T23" s="663" t="s">
        <v>14</v>
      </c>
      <c r="U23" s="664">
        <f>H23</f>
        <v>100</v>
      </c>
      <c r="V23" s="663" t="s">
        <v>14</v>
      </c>
      <c r="W23" s="664">
        <f>J23</f>
        <v>100</v>
      </c>
      <c r="X23" s="665"/>
      <c r="Y23" s="338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82"/>
      <c r="Q24" s="530"/>
      <c r="R24" s="663"/>
      <c r="S24" s="664"/>
      <c r="T24" s="663"/>
      <c r="U24" s="664"/>
      <c r="V24" s="663"/>
      <c r="W24" s="664"/>
      <c r="X24" s="665"/>
      <c r="Y24" s="3382"/>
      <c r="Z24" s="50"/>
      <c r="AA24" s="50">
        <v>1</v>
      </c>
      <c r="AB24" s="50">
        <v>1</v>
      </c>
      <c r="AC24" s="50">
        <v>1</v>
      </c>
    </row>
    <row r="25" spans="1:29" s="102" customFormat="1" ht="41.4">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82"/>
      <c r="Q25" s="530" t="str">
        <f t="shared" ref="Q25" si="9">B25</f>
        <v>基础设施水平</v>
      </c>
      <c r="R25" s="663" t="s">
        <v>14</v>
      </c>
      <c r="S25" s="664">
        <f>F25</f>
        <v>100</v>
      </c>
      <c r="T25" s="663" t="s">
        <v>14</v>
      </c>
      <c r="U25" s="664">
        <f>H25</f>
        <v>100</v>
      </c>
      <c r="V25" s="663" t="s">
        <v>14</v>
      </c>
      <c r="W25" s="664">
        <f>J25</f>
        <v>100</v>
      </c>
      <c r="X25" s="665"/>
      <c r="Y25" s="338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82"/>
      <c r="Q26" s="530"/>
      <c r="R26" s="663"/>
      <c r="S26" s="664"/>
      <c r="T26" s="663"/>
      <c r="U26" s="664"/>
      <c r="V26" s="663"/>
      <c r="W26" s="664"/>
      <c r="X26" s="665"/>
      <c r="Y26" s="3382"/>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8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2"/>
      <c r="Z27" s="1263" t="str">
        <f t="shared" ref="Z27:Z40" si="13">Q27</f>
        <v>临街状况</v>
      </c>
      <c r="AA27" s="1263">
        <f t="shared" si="3"/>
        <v>1</v>
      </c>
      <c r="AB27" s="1263">
        <f t="shared" si="4"/>
        <v>1</v>
      </c>
      <c r="AC27" s="1263">
        <f t="shared" si="5"/>
        <v>1</v>
      </c>
    </row>
    <row r="28" spans="1:29" ht="28.8">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82"/>
      <c r="Q28" s="1262" t="str">
        <f t="shared" si="8"/>
        <v>毗邻道路的类型与等级</v>
      </c>
      <c r="R28" s="666" t="s">
        <v>14</v>
      </c>
      <c r="S28" s="667">
        <f t="shared" si="10"/>
        <v>100</v>
      </c>
      <c r="T28" s="666" t="s">
        <v>14</v>
      </c>
      <c r="U28" s="667">
        <f t="shared" si="11"/>
        <v>100</v>
      </c>
      <c r="V28" s="666" t="s">
        <v>14</v>
      </c>
      <c r="W28" s="667">
        <f t="shared" si="12"/>
        <v>100</v>
      </c>
      <c r="X28" s="1264"/>
      <c r="Y28" s="338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2"/>
      <c r="Q29" s="1262"/>
      <c r="R29" s="666"/>
      <c r="S29" s="667"/>
      <c r="T29" s="666"/>
      <c r="U29" s="667"/>
      <c r="V29" s="666"/>
      <c r="W29" s="667"/>
      <c r="X29" s="1264"/>
      <c r="Y29" s="3382"/>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82"/>
      <c r="Q30" s="1262" t="str">
        <f t="shared" si="8"/>
        <v>土地级别</v>
      </c>
      <c r="R30" s="666" t="s">
        <v>14</v>
      </c>
      <c r="S30" s="667">
        <f t="shared" si="10"/>
        <v>100</v>
      </c>
      <c r="T30" s="666" t="s">
        <v>14</v>
      </c>
      <c r="U30" s="667">
        <f t="shared" si="11"/>
        <v>100</v>
      </c>
      <c r="V30" s="666" t="s">
        <v>14</v>
      </c>
      <c r="W30" s="667">
        <f t="shared" si="12"/>
        <v>100</v>
      </c>
      <c r="X30" s="1264"/>
      <c r="Y30" s="3382"/>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2">
        <f t="shared" si="8"/>
        <v>111</v>
      </c>
      <c r="R31" s="666" t="s">
        <v>14</v>
      </c>
      <c r="S31" s="667">
        <f t="shared" si="10"/>
        <v>100</v>
      </c>
      <c r="T31" s="666" t="s">
        <v>14</v>
      </c>
      <c r="U31" s="667">
        <f t="shared" si="11"/>
        <v>100</v>
      </c>
      <c r="V31" s="666" t="s">
        <v>14</v>
      </c>
      <c r="W31" s="667">
        <f t="shared" si="12"/>
        <v>100</v>
      </c>
      <c r="X31" s="1264"/>
      <c r="Y31" s="3382"/>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386" t="s">
        <v>1695</v>
      </c>
      <c r="Z32" s="1263">
        <f t="shared" si="13"/>
        <v>111</v>
      </c>
      <c r="AA32" s="1263">
        <f t="shared" si="3"/>
        <v>1</v>
      </c>
      <c r="AB32" s="1263">
        <f t="shared" si="4"/>
        <v>1</v>
      </c>
      <c r="AC32" s="1263">
        <f t="shared" si="5"/>
        <v>1</v>
      </c>
    </row>
    <row r="33" spans="1:31" s="408" customFormat="1" ht="15.6"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86"/>
      <c r="Q34" s="1262" t="str">
        <f>B34</f>
        <v>宗地面积</v>
      </c>
      <c r="R34" s="666" t="s">
        <v>14</v>
      </c>
      <c r="S34" s="667" t="e">
        <f t="shared" si="10"/>
        <v>#N/A</v>
      </c>
      <c r="T34" s="666" t="s">
        <v>14</v>
      </c>
      <c r="U34" s="667" t="e">
        <f t="shared" si="11"/>
        <v>#N/A</v>
      </c>
      <c r="V34" s="666" t="s">
        <v>14</v>
      </c>
      <c r="W34" s="667" t="e">
        <f t="shared" si="12"/>
        <v>#N/A</v>
      </c>
      <c r="X34" s="1264"/>
      <c r="Y34" s="3386"/>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6"/>
      <c r="Q36" s="1262" t="str">
        <f t="shared" si="14"/>
        <v>宗地开发程度</v>
      </c>
      <c r="R36" s="663" t="s">
        <v>14</v>
      </c>
      <c r="S36" s="664">
        <f t="shared" si="10"/>
        <v>100</v>
      </c>
      <c r="T36" s="663" t="s">
        <v>14</v>
      </c>
      <c r="U36" s="664">
        <f t="shared" si="11"/>
        <v>100</v>
      </c>
      <c r="V36" s="663" t="s">
        <v>14</v>
      </c>
      <c r="W36" s="664">
        <f t="shared" si="12"/>
        <v>100</v>
      </c>
      <c r="X36" s="665"/>
      <c r="Y36" s="3386"/>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6" t="s">
        <v>1695</v>
      </c>
      <c r="Q37" s="1262" t="str">
        <f t="shared" si="14"/>
        <v>工程地质条件</v>
      </c>
      <c r="R37" s="666" t="s">
        <v>14</v>
      </c>
      <c r="S37" s="667">
        <f t="shared" si="10"/>
        <v>100</v>
      </c>
      <c r="T37" s="666" t="s">
        <v>14</v>
      </c>
      <c r="U37" s="667">
        <f t="shared" si="11"/>
        <v>100</v>
      </c>
      <c r="V37" s="666" t="s">
        <v>14</v>
      </c>
      <c r="W37" s="667">
        <f t="shared" si="12"/>
        <v>100</v>
      </c>
      <c r="X37" s="1264"/>
      <c r="Y37" s="3386"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8" customFormat="1" ht="15.6"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4.4">
      <c r="A41" s="416" t="s">
        <v>1843</v>
      </c>
      <c r="B41" s="1829" t="s">
        <v>1921</v>
      </c>
      <c r="C41" s="601" t="s">
        <v>0</v>
      </c>
      <c r="D41" s="418"/>
      <c r="E41" s="419"/>
      <c r="F41" s="420"/>
      <c r="G41" s="421"/>
      <c r="H41" s="422"/>
      <c r="I41" s="419"/>
      <c r="J41" s="422"/>
      <c r="K41" s="673"/>
      <c r="L41" s="2494"/>
      <c r="M41" s="2487"/>
      <c r="N41" s="2487"/>
      <c r="O41" s="2487"/>
      <c r="P41" s="3374" t="str">
        <f>A41</f>
        <v>成交单价</v>
      </c>
      <c r="Q41" s="3374"/>
      <c r="R41" s="3375">
        <f>E41</f>
        <v>0</v>
      </c>
      <c r="S41" s="3375"/>
      <c r="T41" s="3375">
        <f>G41</f>
        <v>0</v>
      </c>
      <c r="U41" s="3375"/>
      <c r="V41" s="3375">
        <f>I41</f>
        <v>0</v>
      </c>
      <c r="W41" s="3375"/>
      <c r="X41" s="385"/>
      <c r="Y41" s="672"/>
      <c r="Z41" s="385"/>
      <c r="AA41" s="385"/>
      <c r="AB41" s="385"/>
      <c r="AC41" s="385"/>
    </row>
    <row r="42" spans="1:31" ht="1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374" t="str">
        <f>A42</f>
        <v>比较价值（元/平方米）</v>
      </c>
      <c r="Q42" s="3374"/>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1793</v>
      </c>
      <c r="B43" s="428"/>
      <c r="C43" s="429" t="e">
        <f>R43</f>
        <v>#DIV/0!</v>
      </c>
      <c r="D43" s="429"/>
      <c r="E43" s="429"/>
      <c r="F43" s="429"/>
      <c r="G43" s="429"/>
      <c r="H43" s="429"/>
      <c r="I43" s="429"/>
      <c r="J43" s="429"/>
      <c r="K43" s="674"/>
      <c r="L43" s="2494"/>
      <c r="M43" s="2487"/>
      <c r="N43" s="2487"/>
      <c r="O43" s="2487"/>
      <c r="P43" s="3376" t="str">
        <f>A43</f>
        <v>估价对象XX用房的比较价值（楼面单价，元/平方米）</v>
      </c>
      <c r="Q43" s="3377"/>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3" t="s">
        <v>1880</v>
      </c>
      <c r="B50" s="604" t="s">
        <v>1881</v>
      </c>
      <c r="C50" s="1830" t="s">
        <v>1882</v>
      </c>
      <c r="D50" s="1831" t="s">
        <v>1883</v>
      </c>
      <c r="E50" s="605" t="s">
        <v>1884</v>
      </c>
      <c r="F50" s="606" t="s">
        <v>1885</v>
      </c>
      <c r="G50" s="3392"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110.83</v>
      </c>
      <c r="F51" s="610" t="e">
        <f t="shared" ref="F51:F60" si="15">ROUND(B51*E51/10000,0)</f>
        <v>#DIV/0!</v>
      </c>
      <c r="G51" s="3388"/>
      <c r="H51" s="337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4"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2.2"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4"/>
      <c r="G1" s="2544"/>
      <c r="H1" s="2544"/>
      <c r="I1" s="2544"/>
      <c r="J1" s="2544"/>
      <c r="K1" s="2544"/>
      <c r="L1" s="2544"/>
      <c r="M1" s="2544"/>
      <c r="N1" s="2544"/>
      <c r="O1" s="2544"/>
      <c r="P1" s="2544"/>
    </row>
    <row r="2" spans="1:16" ht="15.6">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6">
      <c r="A3" s="1983" t="s">
        <v>2075</v>
      </c>
      <c r="B3" s="2387" t="e">
        <f ca="1">ROUND(B2*10000/E2,0)</f>
        <v>#DIV/0!</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6">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6">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6"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8"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24.6"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24">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6"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ht="24">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3.8">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4.4"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9.6">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4">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4">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40.200000000000003"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2607</v>
      </c>
      <c r="B91" s="3079">
        <f>1+E93</f>
        <v>1</v>
      </c>
      <c r="C91" s="3072"/>
      <c r="D91" s="3073"/>
      <c r="E91" s="1674"/>
      <c r="F91" s="1674"/>
      <c r="G91" s="3074"/>
      <c r="H91" s="3075"/>
      <c r="I91" s="3076"/>
      <c r="J91" s="3077"/>
      <c r="K91" s="3077"/>
      <c r="L91" s="3077"/>
      <c r="M91" s="3077"/>
      <c r="N91" s="3077"/>
    </row>
    <row r="92" spans="1:37" ht="25.2">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24">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36.6"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500" t="s">
        <v>2602</v>
      </c>
      <c r="B20" s="3495" t="s">
        <v>2623</v>
      </c>
      <c r="C20" s="2842" t="s">
        <v>2434</v>
      </c>
      <c r="D20" s="2843"/>
      <c r="E20" s="2844">
        <v>1</v>
      </c>
      <c r="F20" s="2845" t="s">
        <v>2435</v>
      </c>
      <c r="G20" s="2845"/>
    </row>
    <row r="21" spans="1:13" ht="19.5" customHeight="1">
      <c r="A21" s="3501"/>
      <c r="B21" s="3494"/>
      <c r="C21" s="2846" t="s">
        <v>2436</v>
      </c>
      <c r="D21" s="2847"/>
      <c r="E21" s="2848">
        <v>1</v>
      </c>
      <c r="F21" s="2845" t="s">
        <v>2437</v>
      </c>
      <c r="G21" s="2845"/>
    </row>
    <row r="22" spans="1:13" ht="19.5" customHeight="1">
      <c r="A22" s="3501"/>
      <c r="B22" s="3494"/>
      <c r="C22" s="2846" t="s">
        <v>2438</v>
      </c>
      <c r="D22" s="2847"/>
      <c r="E22" s="2848">
        <v>0.9</v>
      </c>
      <c r="F22" s="2845" t="s">
        <v>2439</v>
      </c>
      <c r="G22" s="2845"/>
    </row>
    <row r="23" spans="1:13" ht="19.5" customHeight="1">
      <c r="A23" s="3501"/>
      <c r="B23" s="3494"/>
      <c r="C23" s="2846" t="s">
        <v>2440</v>
      </c>
      <c r="D23" s="2847"/>
      <c r="E23" s="2848">
        <v>0.9</v>
      </c>
      <c r="F23" s="2845" t="s">
        <v>2441</v>
      </c>
      <c r="G23" s="2845"/>
    </row>
    <row r="24" spans="1:13" ht="19.5" customHeight="1">
      <c r="A24" s="3501"/>
      <c r="B24" s="3494"/>
      <c r="C24" s="2846" t="s">
        <v>2442</v>
      </c>
      <c r="D24" s="2847"/>
      <c r="E24" s="2848">
        <v>0.8</v>
      </c>
      <c r="F24" s="2845" t="s">
        <v>2443</v>
      </c>
      <c r="G24" s="2845"/>
    </row>
    <row r="25" spans="1:13" ht="19.5" customHeight="1" thickBot="1">
      <c r="A25" s="3502"/>
      <c r="B25" s="3496"/>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7" t="s">
        <v>2626</v>
      </c>
      <c r="B27" s="3495" t="s">
        <v>2607</v>
      </c>
      <c r="C27" s="2842" t="s">
        <v>2447</v>
      </c>
      <c r="D27" s="2843"/>
      <c r="E27" s="2844">
        <v>1</v>
      </c>
      <c r="F27" s="2845" t="s">
        <v>2448</v>
      </c>
      <c r="G27" s="2845"/>
    </row>
    <row r="28" spans="1:13" ht="19.5" customHeight="1">
      <c r="A28" s="3498"/>
      <c r="B28" s="3494"/>
      <c r="C28" s="2846" t="s">
        <v>2449</v>
      </c>
      <c r="D28" s="2847"/>
      <c r="E28" s="2848">
        <v>1</v>
      </c>
      <c r="F28" s="2845" t="s">
        <v>2450</v>
      </c>
      <c r="G28" s="2845"/>
    </row>
    <row r="29" spans="1:13" ht="19.5" customHeight="1">
      <c r="A29" s="3498"/>
      <c r="B29" s="3494"/>
      <c r="C29" s="2846" t="s">
        <v>2451</v>
      </c>
      <c r="D29" s="2847"/>
      <c r="E29" s="2848">
        <v>0.8</v>
      </c>
      <c r="F29" s="2845" t="s">
        <v>2452</v>
      </c>
      <c r="G29" s="2845"/>
    </row>
    <row r="30" spans="1:13" ht="19.5" customHeight="1">
      <c r="A30" s="3498"/>
      <c r="B30" s="3494"/>
      <c r="C30" s="2846" t="s">
        <v>2453</v>
      </c>
      <c r="D30" s="2847"/>
      <c r="E30" s="2848">
        <v>0.8</v>
      </c>
      <c r="F30" s="2845" t="s">
        <v>2454</v>
      </c>
      <c r="G30" s="2845"/>
    </row>
    <row r="31" spans="1:13" ht="19.5" customHeight="1">
      <c r="A31" s="3498"/>
      <c r="B31" s="3494"/>
      <c r="C31" s="2846" t="s">
        <v>2455</v>
      </c>
      <c r="D31" s="2847"/>
      <c r="E31" s="2848">
        <v>0.8</v>
      </c>
      <c r="F31" s="2845" t="s">
        <v>2456</v>
      </c>
      <c r="G31" s="2845"/>
    </row>
    <row r="32" spans="1:13" ht="19.5" customHeight="1">
      <c r="A32" s="3498"/>
      <c r="B32" s="3494"/>
      <c r="C32" s="2846" t="s">
        <v>2457</v>
      </c>
      <c r="D32" s="2847"/>
      <c r="E32" s="2848">
        <v>0.7</v>
      </c>
      <c r="F32" s="2845" t="s">
        <v>2458</v>
      </c>
      <c r="G32" s="2845"/>
    </row>
    <row r="33" spans="1:7" ht="19.5" customHeight="1">
      <c r="A33" s="3498"/>
      <c r="B33" s="3494"/>
      <c r="C33" s="2846" t="s">
        <v>2459</v>
      </c>
      <c r="D33" s="2847"/>
      <c r="E33" s="2848">
        <v>0.8</v>
      </c>
      <c r="F33" s="2845" t="s">
        <v>2460</v>
      </c>
      <c r="G33" s="2845"/>
    </row>
    <row r="34" spans="1:7" ht="19.5" customHeight="1">
      <c r="A34" s="3498"/>
      <c r="B34" s="3494"/>
      <c r="C34" s="2846" t="s">
        <v>2461</v>
      </c>
      <c r="D34" s="2847"/>
      <c r="E34" s="2848">
        <v>0.6</v>
      </c>
      <c r="F34" s="2845" t="s">
        <v>2462</v>
      </c>
      <c r="G34" s="2845"/>
    </row>
    <row r="35" spans="1:7" ht="19.5" customHeight="1">
      <c r="A35" s="3498"/>
      <c r="B35" s="3494"/>
      <c r="C35" s="2846" t="s">
        <v>2463</v>
      </c>
      <c r="D35" s="2847"/>
      <c r="E35" s="2848">
        <v>0.2</v>
      </c>
      <c r="F35" s="2845" t="s">
        <v>2464</v>
      </c>
      <c r="G35" s="2845"/>
    </row>
    <row r="36" spans="1:7" ht="19.5" customHeight="1">
      <c r="A36" s="3498"/>
      <c r="B36" s="3494"/>
      <c r="C36" s="2846" t="s">
        <v>2465</v>
      </c>
      <c r="D36" s="2847"/>
      <c r="E36" s="2848">
        <v>0.2</v>
      </c>
      <c r="F36" s="2845" t="s">
        <v>2466</v>
      </c>
      <c r="G36" s="2845"/>
    </row>
    <row r="37" spans="1:7" ht="19.5" customHeight="1">
      <c r="A37" s="3498"/>
      <c r="B37" s="3492" t="s">
        <v>2627</v>
      </c>
      <c r="C37" s="2846" t="s">
        <v>2467</v>
      </c>
      <c r="D37" s="2847"/>
      <c r="E37" s="2848">
        <v>0.6</v>
      </c>
      <c r="F37" s="2845" t="s">
        <v>2468</v>
      </c>
      <c r="G37" s="2845"/>
    </row>
    <row r="38" spans="1:7" ht="19.5" customHeight="1">
      <c r="A38" s="3498"/>
      <c r="B38" s="3494"/>
      <c r="C38" s="2846" t="s">
        <v>2469</v>
      </c>
      <c r="D38" s="2847"/>
      <c r="E38" s="2848">
        <v>0.6</v>
      </c>
      <c r="F38" s="2845" t="s">
        <v>2470</v>
      </c>
      <c r="G38" s="2845"/>
    </row>
    <row r="39" spans="1:7" ht="19.5" customHeight="1" thickBot="1">
      <c r="A39" s="3499"/>
      <c r="B39" s="3496"/>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500" t="s">
        <v>2605</v>
      </c>
      <c r="B41" s="3495" t="s">
        <v>2629</v>
      </c>
      <c r="C41" s="2842" t="s">
        <v>2474</v>
      </c>
      <c r="D41" s="2843"/>
      <c r="E41" s="2844">
        <v>1</v>
      </c>
      <c r="F41" s="2845" t="s">
        <v>2475</v>
      </c>
      <c r="G41" s="2845"/>
    </row>
    <row r="42" spans="1:7" ht="19.5" customHeight="1">
      <c r="A42" s="3501"/>
      <c r="B42" s="3494"/>
      <c r="C42" s="2846" t="s">
        <v>2476</v>
      </c>
      <c r="D42" s="2847"/>
      <c r="E42" s="2848">
        <v>1</v>
      </c>
      <c r="F42" s="2845" t="s">
        <v>2477</v>
      </c>
      <c r="G42" s="2845"/>
    </row>
    <row r="43" spans="1:7" ht="19.5" customHeight="1">
      <c r="A43" s="3501"/>
      <c r="B43" s="3493"/>
      <c r="C43" s="2846" t="s">
        <v>2478</v>
      </c>
      <c r="D43" s="2847"/>
      <c r="E43" s="2848">
        <v>1.5</v>
      </c>
      <c r="F43" s="2845" t="s">
        <v>2479</v>
      </c>
      <c r="G43" s="2845"/>
    </row>
    <row r="44" spans="1:7" ht="19.5" customHeight="1">
      <c r="A44" s="3501"/>
      <c r="B44" s="2857" t="s">
        <v>2630</v>
      </c>
      <c r="C44" s="2846" t="s">
        <v>2631</v>
      </c>
      <c r="D44" s="2847"/>
      <c r="E44" s="2848">
        <v>2</v>
      </c>
      <c r="F44" s="2845" t="s">
        <v>2480</v>
      </c>
      <c r="G44" s="2845"/>
    </row>
    <row r="45" spans="1:7" ht="19.5" customHeight="1">
      <c r="A45" s="3501"/>
      <c r="B45" s="3492" t="s">
        <v>2632</v>
      </c>
      <c r="C45" s="2846" t="s">
        <v>2481</v>
      </c>
      <c r="D45" s="2847"/>
      <c r="E45" s="2848">
        <v>1</v>
      </c>
      <c r="F45" s="2845" t="s">
        <v>2482</v>
      </c>
      <c r="G45" s="2845"/>
    </row>
    <row r="46" spans="1:7" ht="19.5" customHeight="1">
      <c r="A46" s="3501"/>
      <c r="B46" s="3494"/>
      <c r="C46" s="2846" t="s">
        <v>2483</v>
      </c>
      <c r="D46" s="2847"/>
      <c r="E46" s="2848">
        <v>1</v>
      </c>
      <c r="F46" s="2845" t="s">
        <v>2484</v>
      </c>
      <c r="G46" s="2845"/>
    </row>
    <row r="47" spans="1:7" ht="19.5" customHeight="1">
      <c r="A47" s="3501"/>
      <c r="B47" s="3494"/>
      <c r="C47" s="2846" t="s">
        <v>2485</v>
      </c>
      <c r="D47" s="2847"/>
      <c r="E47" s="2848">
        <v>1</v>
      </c>
      <c r="F47" s="2845" t="s">
        <v>2486</v>
      </c>
      <c r="G47" s="2845"/>
    </row>
    <row r="48" spans="1:7" ht="19.5" customHeight="1">
      <c r="A48" s="3501"/>
      <c r="B48" s="3494"/>
      <c r="C48" s="2846" t="s">
        <v>2487</v>
      </c>
      <c r="D48" s="2847"/>
      <c r="E48" s="2848">
        <v>1</v>
      </c>
      <c r="F48" s="2845" t="s">
        <v>2488</v>
      </c>
      <c r="G48" s="2845"/>
    </row>
    <row r="49" spans="1:7" ht="19.5" customHeight="1">
      <c r="A49" s="3501"/>
      <c r="B49" s="3494"/>
      <c r="C49" s="2846" t="s">
        <v>2489</v>
      </c>
      <c r="D49" s="2847"/>
      <c r="E49" s="2848">
        <v>1</v>
      </c>
      <c r="F49" s="2845" t="s">
        <v>2490</v>
      </c>
      <c r="G49" s="2845"/>
    </row>
    <row r="50" spans="1:7" ht="19.5" customHeight="1">
      <c r="A50" s="3501"/>
      <c r="B50" s="3494"/>
      <c r="C50" s="2846" t="s">
        <v>2491</v>
      </c>
      <c r="D50" s="2847"/>
      <c r="E50" s="2848">
        <v>1</v>
      </c>
      <c r="F50" s="2845" t="s">
        <v>2492</v>
      </c>
      <c r="G50" s="2845"/>
    </row>
    <row r="51" spans="1:7" ht="19.5" customHeight="1" thickBot="1">
      <c r="A51" s="3502"/>
      <c r="B51" s="3496"/>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4.4">
      <c r="A72" s="2857"/>
      <c r="B72" s="2857"/>
      <c r="C72" s="2857" t="s">
        <v>2645</v>
      </c>
      <c r="D72" s="2857"/>
      <c r="E72" s="2857" t="s">
        <v>2616</v>
      </c>
      <c r="F72" s="2857" t="s">
        <v>2616</v>
      </c>
    </row>
    <row r="73" spans="1:7" ht="14.4">
      <c r="A73" s="2857">
        <v>1</v>
      </c>
      <c r="B73" s="3492" t="s">
        <v>2646</v>
      </c>
      <c r="C73" s="2831" t="s">
        <v>2647</v>
      </c>
      <c r="D73" s="2831" t="s">
        <v>2648</v>
      </c>
      <c r="E73" s="2857">
        <v>0.2</v>
      </c>
      <c r="F73" s="2857">
        <v>25</v>
      </c>
    </row>
    <row r="74" spans="1:7" ht="24">
      <c r="A74" s="2857">
        <v>2</v>
      </c>
      <c r="B74" s="3494"/>
      <c r="C74" s="2831" t="s">
        <v>2649</v>
      </c>
      <c r="D74" s="2831" t="s">
        <v>2650</v>
      </c>
      <c r="E74" s="2857">
        <v>0.2</v>
      </c>
      <c r="F74" s="2857">
        <v>25</v>
      </c>
    </row>
    <row r="75" spans="1:7" ht="24">
      <c r="A75" s="2857">
        <v>3</v>
      </c>
      <c r="B75" s="3494"/>
      <c r="C75" s="2831" t="s">
        <v>2651</v>
      </c>
      <c r="D75" s="2831" t="s">
        <v>2652</v>
      </c>
      <c r="E75" s="2857">
        <v>0.2</v>
      </c>
      <c r="F75" s="2857">
        <v>25</v>
      </c>
    </row>
    <row r="76" spans="1:7" ht="14.4">
      <c r="A76" s="2857">
        <v>4</v>
      </c>
      <c r="B76" s="3494"/>
      <c r="C76" s="2831" t="s">
        <v>2653</v>
      </c>
      <c r="D76" s="2831" t="s">
        <v>2654</v>
      </c>
      <c r="E76" s="2857">
        <v>0.15</v>
      </c>
      <c r="F76" s="2857">
        <v>20</v>
      </c>
    </row>
    <row r="77" spans="1:7" ht="24">
      <c r="A77" s="2857">
        <v>5</v>
      </c>
      <c r="B77" s="3494"/>
      <c r="C77" s="2831" t="s">
        <v>2655</v>
      </c>
      <c r="D77" s="2831" t="s">
        <v>2656</v>
      </c>
      <c r="E77" s="2857">
        <v>0.15</v>
      </c>
      <c r="F77" s="2857">
        <v>20</v>
      </c>
    </row>
    <row r="78" spans="1:7" ht="24">
      <c r="A78" s="2857">
        <v>6</v>
      </c>
      <c r="B78" s="3494"/>
      <c r="C78" s="2831" t="s">
        <v>2657</v>
      </c>
      <c r="D78" s="2831" t="s">
        <v>2658</v>
      </c>
      <c r="E78" s="2857">
        <v>0.15</v>
      </c>
      <c r="F78" s="2857">
        <v>20</v>
      </c>
    </row>
    <row r="79" spans="1:7" ht="24">
      <c r="A79" s="2857">
        <v>7</v>
      </c>
      <c r="B79" s="3494"/>
      <c r="C79" s="2831" t="s">
        <v>2659</v>
      </c>
      <c r="D79" s="2831" t="s">
        <v>2660</v>
      </c>
      <c r="E79" s="2857">
        <v>0.15</v>
      </c>
      <c r="F79" s="2857">
        <v>20</v>
      </c>
    </row>
    <row r="80" spans="1:7" ht="24">
      <c r="A80" s="2857">
        <v>8</v>
      </c>
      <c r="B80" s="3494"/>
      <c r="C80" s="2831" t="s">
        <v>2661</v>
      </c>
      <c r="D80" s="2831" t="s">
        <v>2662</v>
      </c>
      <c r="E80" s="2857">
        <v>0.1</v>
      </c>
      <c r="F80" s="2857">
        <v>15</v>
      </c>
    </row>
    <row r="81" spans="1:6" ht="24">
      <c r="A81" s="2857">
        <v>9</v>
      </c>
      <c r="B81" s="3494"/>
      <c r="C81" s="2831" t="s">
        <v>2663</v>
      </c>
      <c r="D81" s="2831" t="s">
        <v>2664</v>
      </c>
      <c r="E81" s="2857">
        <v>0.1</v>
      </c>
      <c r="F81" s="2857">
        <v>15</v>
      </c>
    </row>
    <row r="82" spans="1:6" ht="24">
      <c r="A82" s="2857">
        <v>10</v>
      </c>
      <c r="B82" s="3494"/>
      <c r="C82" s="2831" t="s">
        <v>2665</v>
      </c>
      <c r="D82" s="2831" t="s">
        <v>2666</v>
      </c>
      <c r="E82" s="2857">
        <v>0.1</v>
      </c>
      <c r="F82" s="2857">
        <v>15</v>
      </c>
    </row>
    <row r="83" spans="1:6" ht="24">
      <c r="A83" s="2857">
        <v>11</v>
      </c>
      <c r="B83" s="3494"/>
      <c r="C83" s="2831" t="s">
        <v>2667</v>
      </c>
      <c r="D83" s="2831" t="s">
        <v>2668</v>
      </c>
      <c r="E83" s="2857">
        <v>0.1</v>
      </c>
      <c r="F83" s="2857">
        <v>15</v>
      </c>
    </row>
    <row r="84" spans="1:6" ht="24">
      <c r="A84" s="2857">
        <v>12</v>
      </c>
      <c r="B84" s="3494"/>
      <c r="C84" s="2831" t="s">
        <v>2669</v>
      </c>
      <c r="D84" s="2831" t="s">
        <v>2670</v>
      </c>
      <c r="E84" s="2857">
        <v>0.1</v>
      </c>
      <c r="F84" s="2857">
        <v>15</v>
      </c>
    </row>
    <row r="85" spans="1:6" ht="24">
      <c r="A85" s="2857">
        <v>13</v>
      </c>
      <c r="B85" s="3494"/>
      <c r="C85" s="2831" t="s">
        <v>2671</v>
      </c>
      <c r="D85" s="2831" t="s">
        <v>2672</v>
      </c>
      <c r="E85" s="2857">
        <v>0.1</v>
      </c>
      <c r="F85" s="2857">
        <v>15</v>
      </c>
    </row>
    <row r="86" spans="1:6" ht="24">
      <c r="A86" s="2857">
        <v>14</v>
      </c>
      <c r="B86" s="3494"/>
      <c r="C86" s="2831" t="s">
        <v>2673</v>
      </c>
      <c r="D86" s="2831" t="s">
        <v>2674</v>
      </c>
      <c r="E86" s="2857">
        <v>0.1</v>
      </c>
      <c r="F86" s="2857">
        <v>15</v>
      </c>
    </row>
    <row r="87" spans="1:6" ht="24">
      <c r="A87" s="2857">
        <v>15</v>
      </c>
      <c r="B87" s="3494"/>
      <c r="C87" s="2831" t="s">
        <v>2675</v>
      </c>
      <c r="D87" s="2831" t="s">
        <v>2676</v>
      </c>
      <c r="E87" s="2857">
        <v>0.1</v>
      </c>
      <c r="F87" s="2857">
        <v>15</v>
      </c>
    </row>
    <row r="88" spans="1:6" ht="24">
      <c r="A88" s="2857">
        <v>16</v>
      </c>
      <c r="B88" s="3494"/>
      <c r="C88" s="2831" t="s">
        <v>2677</v>
      </c>
      <c r="D88" s="2831" t="s">
        <v>2678</v>
      </c>
      <c r="E88" s="2857">
        <v>0.1</v>
      </c>
      <c r="F88" s="2857">
        <v>15</v>
      </c>
    </row>
    <row r="89" spans="1:6" ht="24">
      <c r="A89" s="2857">
        <v>17</v>
      </c>
      <c r="B89" s="3493"/>
      <c r="C89" s="2831" t="s">
        <v>2679</v>
      </c>
      <c r="D89" s="2831" t="s">
        <v>2680</v>
      </c>
      <c r="E89" s="2857">
        <v>0.1</v>
      </c>
      <c r="F89" s="2857">
        <v>15</v>
      </c>
    </row>
    <row r="90" spans="1:6" ht="14.4">
      <c r="A90" s="2857">
        <v>18</v>
      </c>
      <c r="B90" s="3492" t="s">
        <v>2681</v>
      </c>
      <c r="C90" s="2831" t="s">
        <v>2682</v>
      </c>
      <c r="D90" s="2831" t="s">
        <v>2683</v>
      </c>
      <c r="E90" s="2857">
        <v>0.2</v>
      </c>
      <c r="F90" s="2857">
        <v>25</v>
      </c>
    </row>
    <row r="91" spans="1:6" ht="24">
      <c r="A91" s="2857">
        <v>19</v>
      </c>
      <c r="B91" s="3494"/>
      <c r="C91" s="2831" t="s">
        <v>2684</v>
      </c>
      <c r="D91" s="2831" t="s">
        <v>2685</v>
      </c>
      <c r="E91" s="2857">
        <v>0.2</v>
      </c>
      <c r="F91" s="2857">
        <v>25</v>
      </c>
    </row>
    <row r="92" spans="1:6" ht="14.4">
      <c r="A92" s="2857">
        <v>20</v>
      </c>
      <c r="B92" s="3494"/>
      <c r="C92" s="2831" t="s">
        <v>2686</v>
      </c>
      <c r="D92" s="2831" t="s">
        <v>2687</v>
      </c>
      <c r="E92" s="2857">
        <v>0.15</v>
      </c>
      <c r="F92" s="2857">
        <v>20</v>
      </c>
    </row>
    <row r="93" spans="1:6" ht="24">
      <c r="A93" s="2857">
        <v>21</v>
      </c>
      <c r="B93" s="3494"/>
      <c r="C93" s="2831" t="s">
        <v>2688</v>
      </c>
      <c r="D93" s="2831" t="s">
        <v>2689</v>
      </c>
      <c r="E93" s="2857">
        <v>0.15</v>
      </c>
      <c r="F93" s="2857">
        <v>20</v>
      </c>
    </row>
    <row r="94" spans="1:6" ht="24">
      <c r="A94" s="2857">
        <v>22</v>
      </c>
      <c r="B94" s="3494"/>
      <c r="C94" s="2831" t="s">
        <v>2690</v>
      </c>
      <c r="D94" s="2831" t="s">
        <v>2691</v>
      </c>
      <c r="E94" s="2857">
        <v>0.15</v>
      </c>
      <c r="F94" s="2857">
        <v>20</v>
      </c>
    </row>
    <row r="95" spans="1:6" ht="36">
      <c r="A95" s="2857">
        <v>23</v>
      </c>
      <c r="B95" s="3494"/>
      <c r="C95" s="2831" t="s">
        <v>2692</v>
      </c>
      <c r="D95" s="2831" t="s">
        <v>2693</v>
      </c>
      <c r="E95" s="2857">
        <v>0.15</v>
      </c>
      <c r="F95" s="2857">
        <v>20</v>
      </c>
    </row>
    <row r="96" spans="1:6" ht="24">
      <c r="A96" s="2857">
        <v>24</v>
      </c>
      <c r="B96" s="3494"/>
      <c r="C96" s="2831" t="s">
        <v>2694</v>
      </c>
      <c r="D96" s="2831" t="s">
        <v>2695</v>
      </c>
      <c r="E96" s="2857">
        <v>0.1</v>
      </c>
      <c r="F96" s="2857">
        <v>15</v>
      </c>
    </row>
    <row r="97" spans="1:6" ht="24">
      <c r="A97" s="2857">
        <v>25</v>
      </c>
      <c r="B97" s="3494"/>
      <c r="C97" s="2831" t="s">
        <v>2696</v>
      </c>
      <c r="D97" s="2831" t="s">
        <v>2697</v>
      </c>
      <c r="E97" s="2857">
        <v>0.1</v>
      </c>
      <c r="F97" s="2857">
        <v>15</v>
      </c>
    </row>
    <row r="98" spans="1:6" ht="24">
      <c r="A98" s="2857">
        <v>26</v>
      </c>
      <c r="B98" s="3494"/>
      <c r="C98" s="2831" t="s">
        <v>2698</v>
      </c>
      <c r="D98" s="2831" t="s">
        <v>2699</v>
      </c>
      <c r="E98" s="2857">
        <v>0.1</v>
      </c>
      <c r="F98" s="2857">
        <v>15</v>
      </c>
    </row>
    <row r="99" spans="1:6" ht="24">
      <c r="A99" s="2857">
        <v>27</v>
      </c>
      <c r="B99" s="3494"/>
      <c r="C99" s="2831" t="s">
        <v>2700</v>
      </c>
      <c r="D99" s="2831" t="s">
        <v>2701</v>
      </c>
      <c r="E99" s="2857">
        <v>0.1</v>
      </c>
      <c r="F99" s="2857">
        <v>15</v>
      </c>
    </row>
    <row r="100" spans="1:6" ht="24">
      <c r="A100" s="2857">
        <v>28</v>
      </c>
      <c r="B100" s="3494"/>
      <c r="C100" s="2831" t="s">
        <v>2702</v>
      </c>
      <c r="D100" s="2831" t="s">
        <v>2703</v>
      </c>
      <c r="E100" s="2857">
        <v>0.1</v>
      </c>
      <c r="F100" s="2857">
        <v>15</v>
      </c>
    </row>
    <row r="101" spans="1:6" ht="24">
      <c r="A101" s="2857">
        <v>29</v>
      </c>
      <c r="B101" s="3494"/>
      <c r="C101" s="2831" t="s">
        <v>2704</v>
      </c>
      <c r="D101" s="2831" t="s">
        <v>2705</v>
      </c>
      <c r="E101" s="2857">
        <v>0.1</v>
      </c>
      <c r="F101" s="2857">
        <v>15</v>
      </c>
    </row>
    <row r="102" spans="1:6" ht="24">
      <c r="A102" s="2857">
        <v>30</v>
      </c>
      <c r="B102" s="3494"/>
      <c r="C102" s="2831" t="s">
        <v>2706</v>
      </c>
      <c r="D102" s="2831" t="s">
        <v>2707</v>
      </c>
      <c r="E102" s="2857">
        <v>0.1</v>
      </c>
      <c r="F102" s="2857">
        <v>15</v>
      </c>
    </row>
    <row r="103" spans="1:6" ht="24">
      <c r="A103" s="2857">
        <v>31</v>
      </c>
      <c r="B103" s="3494"/>
      <c r="C103" s="2831" t="s">
        <v>2708</v>
      </c>
      <c r="D103" s="2831" t="s">
        <v>2709</v>
      </c>
      <c r="E103" s="2857">
        <v>0.1</v>
      </c>
      <c r="F103" s="2857">
        <v>15</v>
      </c>
    </row>
    <row r="104" spans="1:6" ht="24">
      <c r="A104" s="2857">
        <v>32</v>
      </c>
      <c r="B104" s="3494"/>
      <c r="C104" s="2831" t="s">
        <v>2710</v>
      </c>
      <c r="D104" s="2831" t="s">
        <v>2711</v>
      </c>
      <c r="E104" s="2857">
        <v>0.1</v>
      </c>
      <c r="F104" s="2857">
        <v>15</v>
      </c>
    </row>
    <row r="105" spans="1:6" ht="24">
      <c r="A105" s="2857">
        <v>33</v>
      </c>
      <c r="B105" s="3494"/>
      <c r="C105" s="2831" t="s">
        <v>2712</v>
      </c>
      <c r="D105" s="2831" t="s">
        <v>2713</v>
      </c>
      <c r="E105" s="2857">
        <v>0.1</v>
      </c>
      <c r="F105" s="2857">
        <v>15</v>
      </c>
    </row>
    <row r="106" spans="1:6" ht="24">
      <c r="A106" s="2857">
        <v>34</v>
      </c>
      <c r="B106" s="3493"/>
      <c r="C106" s="2831" t="s">
        <v>2714</v>
      </c>
      <c r="D106" s="2831" t="s">
        <v>2715</v>
      </c>
      <c r="E106" s="2857">
        <v>0.1</v>
      </c>
      <c r="F106" s="2857">
        <v>15</v>
      </c>
    </row>
    <row r="107" spans="1:6" ht="36">
      <c r="A107" s="2857">
        <v>35</v>
      </c>
      <c r="B107" s="3492" t="s">
        <v>2716</v>
      </c>
      <c r="C107" s="2857" t="s">
        <v>2717</v>
      </c>
      <c r="D107" s="2831" t="s">
        <v>2718</v>
      </c>
      <c r="E107" s="2857">
        <v>0.15</v>
      </c>
      <c r="F107" s="2857">
        <v>20</v>
      </c>
    </row>
    <row r="108" spans="1:6" ht="24">
      <c r="A108" s="2857">
        <v>36</v>
      </c>
      <c r="B108" s="3494"/>
      <c r="C108" s="2857" t="s">
        <v>2719</v>
      </c>
      <c r="D108" s="2831" t="s">
        <v>2720</v>
      </c>
      <c r="E108" s="2857">
        <v>0.15</v>
      </c>
      <c r="F108" s="2857">
        <v>20</v>
      </c>
    </row>
    <row r="109" spans="1:6" ht="24">
      <c r="A109" s="2857">
        <v>37</v>
      </c>
      <c r="B109" s="3494"/>
      <c r="C109" s="2857" t="s">
        <v>2721</v>
      </c>
      <c r="D109" s="2831" t="s">
        <v>2722</v>
      </c>
      <c r="E109" s="2857">
        <v>0.15</v>
      </c>
      <c r="F109" s="2857">
        <v>20</v>
      </c>
    </row>
    <row r="110" spans="1:6" ht="24">
      <c r="A110" s="2857">
        <v>38</v>
      </c>
      <c r="B110" s="3494"/>
      <c r="C110" s="2857" t="s">
        <v>2723</v>
      </c>
      <c r="D110" s="2831" t="s">
        <v>2724</v>
      </c>
      <c r="E110" s="2857">
        <v>0.1</v>
      </c>
      <c r="F110" s="2857">
        <v>15</v>
      </c>
    </row>
    <row r="111" spans="1:6" ht="24">
      <c r="A111" s="2857">
        <v>39</v>
      </c>
      <c r="B111" s="3494"/>
      <c r="C111" s="2857" t="s">
        <v>2725</v>
      </c>
      <c r="D111" s="2831" t="s">
        <v>2726</v>
      </c>
      <c r="E111" s="2857">
        <v>0.1</v>
      </c>
      <c r="F111" s="2857">
        <v>15</v>
      </c>
    </row>
    <row r="112" spans="1:6" ht="24">
      <c r="A112" s="2857">
        <v>40</v>
      </c>
      <c r="B112" s="3493"/>
      <c r="C112" s="2857" t="s">
        <v>2727</v>
      </c>
      <c r="D112" s="2831" t="s">
        <v>2728</v>
      </c>
      <c r="E112" s="2857">
        <v>0.1</v>
      </c>
      <c r="F112" s="2857">
        <v>15</v>
      </c>
    </row>
    <row r="113" spans="1:6" ht="24">
      <c r="A113" s="2857">
        <v>41</v>
      </c>
      <c r="B113" s="3491" t="s">
        <v>2729</v>
      </c>
      <c r="C113" s="2857" t="s">
        <v>2730</v>
      </c>
      <c r="D113" s="2831" t="s">
        <v>2731</v>
      </c>
      <c r="E113" s="2857">
        <v>0.1</v>
      </c>
      <c r="F113" s="2857">
        <v>15</v>
      </c>
    </row>
    <row r="114" spans="1:6" ht="24">
      <c r="A114" s="2857">
        <v>42</v>
      </c>
      <c r="B114" s="3491"/>
      <c r="C114" s="2857" t="s">
        <v>2732</v>
      </c>
      <c r="D114" s="2831" t="s">
        <v>2733</v>
      </c>
      <c r="E114" s="2857">
        <v>0.1</v>
      </c>
      <c r="F114" s="2857">
        <v>15</v>
      </c>
    </row>
    <row r="115" spans="1:6" ht="24">
      <c r="A115" s="2857">
        <v>43</v>
      </c>
      <c r="B115" s="3491"/>
      <c r="C115" s="2857" t="s">
        <v>2734</v>
      </c>
      <c r="D115" s="2831" t="s">
        <v>2735</v>
      </c>
      <c r="E115" s="2857">
        <v>0.1</v>
      </c>
      <c r="F115" s="2857">
        <v>15</v>
      </c>
    </row>
    <row r="116" spans="1:6" ht="24">
      <c r="A116" s="2857">
        <v>44</v>
      </c>
      <c r="B116" s="3492" t="s">
        <v>2736</v>
      </c>
      <c r="C116" s="2857" t="s">
        <v>2737</v>
      </c>
      <c r="D116" s="2831" t="s">
        <v>2738</v>
      </c>
      <c r="E116" s="2857">
        <v>0.1</v>
      </c>
      <c r="F116" s="2857">
        <v>15</v>
      </c>
    </row>
    <row r="117" spans="1:6" ht="24">
      <c r="A117" s="2857">
        <v>45</v>
      </c>
      <c r="B117" s="3493"/>
      <c r="C117" s="2831" t="s">
        <v>2739</v>
      </c>
      <c r="D117" s="2831" t="s">
        <v>2740</v>
      </c>
      <c r="E117" s="2857">
        <v>0.1</v>
      </c>
      <c r="F117" s="2857">
        <v>15</v>
      </c>
    </row>
    <row r="118" spans="1:6" ht="24">
      <c r="A118" s="2857">
        <v>46</v>
      </c>
      <c r="B118" s="3492" t="s">
        <v>2741</v>
      </c>
      <c r="C118" s="2857" t="s">
        <v>2742</v>
      </c>
      <c r="D118" s="2831" t="s">
        <v>2743</v>
      </c>
      <c r="E118" s="2857">
        <v>0.1</v>
      </c>
      <c r="F118" s="2857">
        <v>15</v>
      </c>
    </row>
    <row r="119" spans="1:6" ht="24">
      <c r="A119" s="2857">
        <v>47</v>
      </c>
      <c r="B119" s="3493"/>
      <c r="C119" s="2857" t="s">
        <v>2744</v>
      </c>
      <c r="D119" s="2831" t="s">
        <v>2745</v>
      </c>
      <c r="E119" s="2857">
        <v>0.1</v>
      </c>
      <c r="F119" s="2857">
        <v>15</v>
      </c>
    </row>
    <row r="120" spans="1:6" ht="24">
      <c r="A120" s="2857">
        <v>48</v>
      </c>
      <c r="B120" s="3492" t="s">
        <v>2746</v>
      </c>
      <c r="C120" s="2857" t="s">
        <v>2747</v>
      </c>
      <c r="D120" s="2831" t="s">
        <v>2748</v>
      </c>
      <c r="E120" s="2857">
        <v>0.1</v>
      </c>
      <c r="F120" s="2857">
        <v>15</v>
      </c>
    </row>
    <row r="121" spans="1:6" ht="24">
      <c r="A121" s="2857">
        <v>49</v>
      </c>
      <c r="B121" s="3493"/>
      <c r="C121" s="2857" t="s">
        <v>2749</v>
      </c>
      <c r="D121" s="2831" t="s">
        <v>2750</v>
      </c>
      <c r="E121" s="2857">
        <v>0.1</v>
      </c>
      <c r="F121" s="2857">
        <v>15</v>
      </c>
    </row>
    <row r="122" spans="1:6" ht="24">
      <c r="A122" s="2857">
        <v>50</v>
      </c>
      <c r="B122" s="3491" t="s">
        <v>2751</v>
      </c>
      <c r="C122" s="2857" t="s">
        <v>2752</v>
      </c>
      <c r="D122" s="2831" t="s">
        <v>2753</v>
      </c>
      <c r="E122" s="2857">
        <v>0.1</v>
      </c>
      <c r="F122" s="2857">
        <v>15</v>
      </c>
    </row>
    <row r="123" spans="1:6" ht="24">
      <c r="A123" s="2857">
        <v>51</v>
      </c>
      <c r="B123" s="3491"/>
      <c r="C123" s="2857" t="s">
        <v>2754</v>
      </c>
      <c r="D123" s="2831" t="s">
        <v>2755</v>
      </c>
      <c r="E123" s="2857">
        <v>0.1</v>
      </c>
      <c r="F123" s="2857">
        <v>15</v>
      </c>
    </row>
    <row r="124" spans="1:6" ht="24">
      <c r="A124" s="2857">
        <v>52</v>
      </c>
      <c r="B124" s="3491" t="s">
        <v>2756</v>
      </c>
      <c r="C124" s="2857" t="s">
        <v>2757</v>
      </c>
      <c r="D124" s="2831" t="s">
        <v>2758</v>
      </c>
      <c r="E124" s="2857">
        <v>0.1</v>
      </c>
      <c r="F124" s="2857">
        <v>15</v>
      </c>
    </row>
    <row r="125" spans="1:6" ht="24">
      <c r="A125" s="2857">
        <v>53</v>
      </c>
      <c r="B125" s="3491"/>
      <c r="C125" s="2857" t="s">
        <v>2759</v>
      </c>
      <c r="D125" s="2831" t="s">
        <v>2760</v>
      </c>
      <c r="E125" s="2857">
        <v>0.1</v>
      </c>
      <c r="F125" s="2857">
        <v>15</v>
      </c>
    </row>
    <row r="126" spans="1:6" ht="24">
      <c r="A126" s="2857">
        <v>54</v>
      </c>
      <c r="B126" s="2857" t="s">
        <v>2761</v>
      </c>
      <c r="C126" s="2857" t="s">
        <v>2762</v>
      </c>
      <c r="D126" s="2831" t="s">
        <v>2763</v>
      </c>
      <c r="E126" s="2857">
        <v>0.1</v>
      </c>
      <c r="F126" s="2857">
        <v>15</v>
      </c>
    </row>
    <row r="127" spans="1:6" ht="24">
      <c r="A127" s="2857">
        <v>55</v>
      </c>
      <c r="B127" s="3491" t="s">
        <v>2764</v>
      </c>
      <c r="C127" s="2857" t="s">
        <v>2765</v>
      </c>
      <c r="D127" s="2831" t="s">
        <v>2766</v>
      </c>
      <c r="E127" s="2857">
        <v>0.1</v>
      </c>
      <c r="F127" s="2857">
        <v>15</v>
      </c>
    </row>
    <row r="128" spans="1:6" ht="24">
      <c r="A128" s="2857">
        <v>56</v>
      </c>
      <c r="B128" s="3491"/>
      <c r="C128" s="2857" t="s">
        <v>2767</v>
      </c>
      <c r="D128" s="2831" t="s">
        <v>2768</v>
      </c>
      <c r="E128" s="2857">
        <v>0.1</v>
      </c>
      <c r="F128" s="2857">
        <v>15</v>
      </c>
    </row>
    <row r="129" spans="1:6" ht="24">
      <c r="A129" s="2857">
        <v>57</v>
      </c>
      <c r="B129" s="3491"/>
      <c r="C129" s="2857" t="s">
        <v>2769</v>
      </c>
      <c r="D129" s="2831" t="s">
        <v>2770</v>
      </c>
      <c r="E129" s="2857">
        <v>0.1</v>
      </c>
      <c r="F129" s="2857">
        <v>15</v>
      </c>
    </row>
    <row r="130" spans="1:6" ht="24">
      <c r="A130" s="2857">
        <v>58</v>
      </c>
      <c r="B130" s="3491" t="s">
        <v>2771</v>
      </c>
      <c r="C130" s="2857" t="s">
        <v>2772</v>
      </c>
      <c r="D130" s="2831" t="s">
        <v>2773</v>
      </c>
      <c r="E130" s="2857">
        <v>0.1</v>
      </c>
      <c r="F130" s="2857">
        <v>15</v>
      </c>
    </row>
    <row r="131" spans="1:6" ht="24">
      <c r="A131" s="2857">
        <v>59</v>
      </c>
      <c r="B131" s="3491"/>
      <c r="C131" s="2857" t="s">
        <v>2774</v>
      </c>
      <c r="D131" s="2831" t="s">
        <v>2775</v>
      </c>
      <c r="E131" s="2857">
        <v>0.1</v>
      </c>
      <c r="F131" s="2857">
        <v>15</v>
      </c>
    </row>
    <row r="132" spans="1:6" ht="24">
      <c r="A132" s="2857">
        <v>60</v>
      </c>
      <c r="B132" s="3492" t="s">
        <v>2776</v>
      </c>
      <c r="C132" s="2857" t="s">
        <v>2777</v>
      </c>
      <c r="D132" s="2831" t="s">
        <v>2778</v>
      </c>
      <c r="E132" s="2857">
        <v>0.1</v>
      </c>
      <c r="F132" s="2857">
        <v>15</v>
      </c>
    </row>
    <row r="133" spans="1:6" ht="24">
      <c r="A133" s="2857">
        <v>61</v>
      </c>
      <c r="B133" s="3493"/>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24">
      <c r="A135" s="2857">
        <v>63</v>
      </c>
      <c r="B135" s="3491" t="s">
        <v>2784</v>
      </c>
      <c r="C135" s="2857" t="s">
        <v>2785</v>
      </c>
      <c r="D135" s="2831" t="s">
        <v>2786</v>
      </c>
      <c r="E135" s="2857">
        <v>0.1</v>
      </c>
      <c r="F135" s="2857">
        <v>15</v>
      </c>
    </row>
    <row r="136" spans="1:6" ht="24">
      <c r="A136" s="2857">
        <v>64</v>
      </c>
      <c r="B136" s="3491"/>
      <c r="C136" s="2857" t="s">
        <v>2787</v>
      </c>
      <c r="D136" s="2831" t="s">
        <v>2788</v>
      </c>
      <c r="E136" s="2857">
        <v>0.1</v>
      </c>
      <c r="F136" s="2857">
        <v>15</v>
      </c>
    </row>
    <row r="137" spans="1:6" ht="24">
      <c r="A137" s="2857">
        <v>65</v>
      </c>
      <c r="B137" s="2857" t="s">
        <v>2789</v>
      </c>
      <c r="C137" s="2857" t="s">
        <v>2790</v>
      </c>
      <c r="D137" s="2831" t="s">
        <v>2791</v>
      </c>
      <c r="E137" s="2857">
        <v>0.1</v>
      </c>
      <c r="F137" s="2857">
        <v>15</v>
      </c>
    </row>
    <row r="138" spans="1:6" ht="14.4">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916</v>
      </c>
      <c r="C4" s="3188"/>
      <c r="D4" s="3188"/>
      <c r="E4" s="1390"/>
    </row>
    <row r="5" spans="1:5" ht="16.2" thickTop="1">
      <c r="B5" s="3186" t="s">
        <v>908</v>
      </c>
      <c r="C5" s="1391" t="s">
        <v>909</v>
      </c>
      <c r="D5" s="796">
        <f ca="1">结果表!H101</f>
        <v>411</v>
      </c>
    </row>
    <row r="6" spans="1:5" ht="15.6">
      <c r="B6" s="3186"/>
      <c r="C6" s="1391" t="s">
        <v>910</v>
      </c>
      <c r="D6" s="796" t="str">
        <f ca="1">NUMBERSTRING(INT(D5*10000),2)&amp;"元整"</f>
        <v>肆佰壹拾壹万元整</v>
      </c>
    </row>
    <row r="7" spans="1:5" ht="15.6">
      <c r="B7" s="3191"/>
      <c r="C7" s="1392" t="s">
        <v>911</v>
      </c>
      <c r="D7" s="797">
        <f ca="1">结果表!H102</f>
        <v>37074</v>
      </c>
    </row>
    <row r="8" spans="1:5" ht="15.6">
      <c r="B8" s="3192" t="str">
        <f>结果表!E103</f>
        <v>2.估价师知悉的法定优先受偿款</v>
      </c>
      <c r="C8" s="1393" t="s">
        <v>912</v>
      </c>
      <c r="D8" s="797">
        <f>结果表!H103</f>
        <v>0</v>
      </c>
    </row>
    <row r="9" spans="1:5" ht="15.6">
      <c r="B9" s="3194"/>
      <c r="C9" s="1391" t="s">
        <v>910</v>
      </c>
      <c r="D9" s="796" t="str">
        <f>NUMBERSTRING(INT(D8*10000),2)&amp;"元整"</f>
        <v>零元整</v>
      </c>
    </row>
    <row r="10" spans="1:5" ht="15.6">
      <c r="B10" s="1394" t="s">
        <v>915</v>
      </c>
      <c r="C10" s="1395" t="s">
        <v>913</v>
      </c>
      <c r="D10" s="798">
        <f>结果表!H104</f>
        <v>0</v>
      </c>
    </row>
    <row r="11" spans="1:5" ht="15.6">
      <c r="B11" s="1394" t="s">
        <v>917</v>
      </c>
      <c r="C11" s="1395" t="s">
        <v>918</v>
      </c>
      <c r="D11" s="798">
        <f>结果表!H105</f>
        <v>0</v>
      </c>
    </row>
    <row r="12" spans="1:5" ht="15.6">
      <c r="B12" s="1394" t="s">
        <v>919</v>
      </c>
      <c r="C12" s="1395" t="s">
        <v>918</v>
      </c>
      <c r="D12" s="798">
        <f>结果表!H106</f>
        <v>0</v>
      </c>
    </row>
    <row r="13" spans="1:5" ht="15.6">
      <c r="B13" s="3185" t="str">
        <f>结果表!E107</f>
        <v>3.房地产抵押价值</v>
      </c>
      <c r="C13" s="1396" t="s">
        <v>909</v>
      </c>
      <c r="D13" s="799">
        <f ca="1">结果表!H107</f>
        <v>411</v>
      </c>
    </row>
    <row r="14" spans="1:5" ht="15.6">
      <c r="B14" s="3186"/>
      <c r="C14" s="1391" t="s">
        <v>910</v>
      </c>
      <c r="D14" s="796" t="str">
        <f ca="1">NUMBERSTRING(INT(D13*10000),2)&amp;"元整"</f>
        <v>肆佰壹拾壹万元整</v>
      </c>
    </row>
    <row r="15" spans="1:5" ht="15.6">
      <c r="B15" s="3191"/>
      <c r="C15" s="1392" t="s">
        <v>920</v>
      </c>
      <c r="D15" s="805">
        <f ca="1">结果表!H108</f>
        <v>37074</v>
      </c>
    </row>
    <row r="16" spans="1:5" ht="15.6">
      <c r="B16" s="3192" t="str">
        <f>结果表!E109</f>
        <v>——</v>
      </c>
      <c r="C16" s="1396" t="s">
        <v>921</v>
      </c>
      <c r="D16" s="1397" t="str">
        <f>结果表!H109</f>
        <v>——</v>
      </c>
    </row>
    <row r="17" spans="1:5" ht="15.6">
      <c r="B17" s="3193"/>
      <c r="C17" s="1391" t="s">
        <v>922</v>
      </c>
      <c r="D17" s="796" t="e">
        <f>NUMBERSTRING(INT(D16*10000),2)&amp;"元整"</f>
        <v>#VALUE!</v>
      </c>
    </row>
    <row r="18" spans="1:5" ht="15.6">
      <c r="B18" s="3194"/>
      <c r="C18" s="1392" t="s">
        <v>911</v>
      </c>
      <c r="D18" s="805" t="str">
        <f>结果表!H110</f>
        <v>——</v>
      </c>
    </row>
    <row r="19" spans="1:5" ht="15.6">
      <c r="B19" s="3185" t="str">
        <f>结果表!E111</f>
        <v>——</v>
      </c>
      <c r="C19" s="1396" t="s">
        <v>909</v>
      </c>
      <c r="D19" s="797" t="str">
        <f>结果表!H111</f>
        <v>——</v>
      </c>
    </row>
    <row r="20" spans="1:5" ht="15.6">
      <c r="B20" s="3186"/>
      <c r="C20" s="1391" t="s">
        <v>922</v>
      </c>
      <c r="D20" s="796" t="e">
        <f>NUMBERSTRING(INT(D19*10000),2)&amp;"元整"</f>
        <v>#VALUE!</v>
      </c>
    </row>
    <row r="21" spans="1:5" ht="16.2" thickBot="1">
      <c r="B21" s="3187"/>
      <c r="C21" s="1398" t="s">
        <v>920</v>
      </c>
      <c r="D21" s="806" t="str">
        <f>结果表!H112</f>
        <v>——</v>
      </c>
    </row>
    <row r="22" spans="1:5" ht="14.4" thickTop="1">
      <c r="B22" s="1399" t="s">
        <v>923</v>
      </c>
    </row>
    <row r="24" spans="1:5" ht="17.399999999999999">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28843</v>
      </c>
      <c r="C2" s="2" t="s">
        <v>106</v>
      </c>
      <c r="D2" s="191"/>
      <c r="E2" s="191"/>
      <c r="F2" s="191"/>
      <c r="G2" s="191"/>
    </row>
    <row r="3" spans="1:7" s="192" customFormat="1" ht="18" customHeight="1" thickBot="1">
      <c r="A3" s="195" t="s">
        <v>58</v>
      </c>
      <c r="B3" s="196">
        <f ca="1">ROUND(B2*10000/'数据-汇总表'!E3,0)</f>
        <v>2602454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110.83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110.83</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11</v>
      </c>
      <c r="D45" s="227">
        <f>C47</f>
        <v>4.0000000000000001E-3</v>
      </c>
      <c r="E45" s="228" t="s">
        <v>102</v>
      </c>
      <c r="F45" s="238"/>
      <c r="G45" s="239" t="s">
        <v>434</v>
      </c>
    </row>
    <row r="46" spans="1:7" s="206" customFormat="1" ht="13.5" customHeight="1">
      <c r="A46" s="733" t="s">
        <v>349</v>
      </c>
      <c r="B46" s="240" t="s">
        <v>427</v>
      </c>
      <c r="C46" s="241">
        <f>ROUND((C33+C39)*F27,0)</f>
        <v>11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76</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60</v>
      </c>
      <c r="D51" s="224"/>
      <c r="E51" s="224"/>
      <c r="F51" s="256"/>
      <c r="G51" s="226" t="s">
        <v>37</v>
      </c>
    </row>
    <row r="52" spans="1:7" s="200" customFormat="1" ht="16.8" thickBot="1">
      <c r="A52" s="257" t="s">
        <v>38</v>
      </c>
      <c r="B52" s="258"/>
      <c r="C52" s="259">
        <f ca="1">C31+C51</f>
        <v>28843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3" t="s">
        <v>3176</v>
      </c>
      <c r="B1" s="3503"/>
    </row>
    <row r="2" spans="1:7" ht="15" thickBot="1">
      <c r="A2" s="2968"/>
      <c r="B2" s="2968"/>
    </row>
    <row r="3" spans="1:7" ht="15" thickBot="1">
      <c r="A3" s="2968"/>
      <c r="B3" s="2968"/>
      <c r="C3" s="2969" t="s">
        <v>2806</v>
      </c>
      <c r="D3" s="2969" t="s">
        <v>2862</v>
      </c>
      <c r="E3" s="2969" t="s">
        <v>2808</v>
      </c>
      <c r="F3" s="2969" t="s">
        <v>2863</v>
      </c>
      <c r="G3" s="2969" t="s">
        <v>2626</v>
      </c>
    </row>
    <row r="4" spans="1:7" ht="1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3.2">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3376</v>
      </c>
    </row>
    <row r="27" spans="1:44">
      <c r="I27" s="1404" t="s">
        <v>2820</v>
      </c>
    </row>
    <row r="29" spans="1:44" s="2008" customFormat="1" ht="13.2">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3.2">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1.4"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1.4"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1.4"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1.4"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1.4"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1.4"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927</v>
      </c>
      <c r="B2" s="3203" t="s">
        <v>928</v>
      </c>
      <c r="C2" s="3203" t="s">
        <v>929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924</v>
      </c>
      <c r="E3" s="800" t="s">
        <v>930</v>
      </c>
      <c r="F3" s="800" t="s">
        <v>924</v>
      </c>
      <c r="G3" s="800" t="s">
        <v>925</v>
      </c>
      <c r="H3" s="800" t="s">
        <v>924</v>
      </c>
      <c r="I3" s="800" t="s">
        <v>925</v>
      </c>
    </row>
    <row r="4" spans="1:9" ht="15">
      <c r="A4" s="1402" t="str">
        <f>项目基本情况!S2</f>
        <v>北京市房地产</v>
      </c>
      <c r="B4" s="800">
        <f>项目基本情况!C17</f>
        <v>110.83</v>
      </c>
      <c r="C4" s="800">
        <f>项目基本情况!C18</f>
        <v>0</v>
      </c>
      <c r="D4" s="800">
        <f ca="1">结果表!D118</f>
        <v>345</v>
      </c>
      <c r="E4" s="800">
        <f ca="1">结果表!E118</f>
        <v>31105</v>
      </c>
      <c r="F4" s="800">
        <f ca="1">结果表!F118</f>
        <v>66</v>
      </c>
      <c r="G4" s="800">
        <f ca="1">结果表!G118</f>
        <v>5969</v>
      </c>
      <c r="H4" s="800">
        <f ca="1">结果表!H118</f>
        <v>411</v>
      </c>
      <c r="I4" s="800">
        <f ca="1">结果表!I118</f>
        <v>37074</v>
      </c>
    </row>
    <row r="5" spans="1:9" ht="30" customHeight="1">
      <c r="A5" s="3198" t="s">
        <v>926</v>
      </c>
      <c r="B5" s="3198"/>
      <c r="C5" s="3198"/>
      <c r="D5" s="3198" t="str">
        <f ca="1">结果表!D119</f>
        <v>叁佰肆拾伍万元整</v>
      </c>
      <c r="E5" s="3198"/>
      <c r="F5" s="3198" t="str">
        <f ca="1">结果表!F119</f>
        <v>陆拾陆万元整</v>
      </c>
      <c r="G5" s="3198"/>
      <c r="H5" s="3198" t="str">
        <f ca="1">结果表!H119</f>
        <v>肆佰壹拾壹万元整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926</v>
      </c>
      <c r="B7" s="3198"/>
      <c r="C7" s="3198"/>
      <c r="D7" s="3199" t="str">
        <f>结果表!D121</f>
        <v>零元整</v>
      </c>
      <c r="E7" s="3200"/>
      <c r="F7" s="3200"/>
      <c r="G7" s="3200"/>
      <c r="H7" s="3200"/>
      <c r="I7" s="3201"/>
    </row>
    <row r="8" spans="1:9" ht="15.6">
      <c r="A8" s="3197" t="str">
        <f>结果表!A122</f>
        <v>房地产抵押价值</v>
      </c>
      <c r="B8" s="3197"/>
      <c r="C8" s="3197"/>
      <c r="D8" s="3197">
        <f ca="1">结果表!D122</f>
        <v>411</v>
      </c>
      <c r="E8" s="3197"/>
      <c r="F8" s="3197"/>
      <c r="G8" s="3197"/>
      <c r="H8" s="3197"/>
      <c r="I8" s="3197"/>
    </row>
    <row r="9" spans="1:9" ht="15">
      <c r="A9" s="3198" t="s">
        <v>926</v>
      </c>
      <c r="B9" s="3198"/>
      <c r="C9" s="3198"/>
      <c r="D9" s="3198" t="str">
        <f ca="1">结果表!D123</f>
        <v>肆佰壹拾壹万元整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926</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926</v>
      </c>
      <c r="B13" s="3195"/>
      <c r="C13" s="3195"/>
      <c r="D13" s="3195" t="e">
        <f>结果表!D127</f>
        <v>#VALUE!</v>
      </c>
      <c r="E13" s="3195"/>
      <c r="F13" s="3195"/>
      <c r="G13" s="3195"/>
      <c r="H13" s="3195"/>
      <c r="I13" s="3195"/>
    </row>
    <row r="14" spans="1:9" ht="14.4" thickTop="1">
      <c r="A14" s="3196" t="s">
        <v>931</v>
      </c>
      <c r="B14" s="3196"/>
      <c r="C14" s="3196"/>
      <c r="D14" s="3196"/>
      <c r="E14" s="3196"/>
      <c r="F14" s="3196"/>
      <c r="G14" s="3196"/>
      <c r="H14" s="3196"/>
      <c r="I14" s="3196"/>
    </row>
    <row r="16" spans="1:9" ht="17.399999999999999">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948</v>
      </c>
      <c r="B1" s="3210"/>
      <c r="C1" s="3210"/>
      <c r="D1" s="3210"/>
    </row>
    <row r="2" spans="1:4" ht="17.399999999999999">
      <c r="A2" s="3211" t="s">
        <v>932</v>
      </c>
      <c r="B2" s="3211"/>
      <c r="C2" s="3211"/>
      <c r="D2" s="3211"/>
    </row>
    <row r="3" spans="1:4" ht="17.399999999999999">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7.399999999999999">
      <c r="A6" s="3211" t="s">
        <v>938</v>
      </c>
      <c r="B6" s="3211"/>
      <c r="C6" s="3211"/>
      <c r="D6" s="3211"/>
    </row>
    <row r="7" spans="1:4" ht="17.399999999999999">
      <c r="A7" s="1406" t="s">
        <v>933</v>
      </c>
      <c r="B7" s="1408" t="s">
        <v>939</v>
      </c>
      <c r="C7" s="1406" t="s">
        <v>935</v>
      </c>
      <c r="D7" s="1406" t="s">
        <v>936</v>
      </c>
    </row>
    <row r="8" spans="1:4" ht="56.25" customHeight="1">
      <c r="A8" s="1412" t="s">
        <v>390</v>
      </c>
      <c r="B8" s="1412" t="s">
        <v>0</v>
      </c>
      <c r="C8" s="1409"/>
      <c r="D8" s="1410" t="s">
        <v>937</v>
      </c>
    </row>
    <row r="10" spans="1:4" ht="17.399999999999999">
      <c r="A10" s="1413" t="s">
        <v>940</v>
      </c>
    </row>
    <row r="11" spans="1:4" ht="30" customHeight="1">
      <c r="A11" s="3212" t="s">
        <v>941</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942</v>
      </c>
      <c r="B16" s="3206"/>
      <c r="C16" s="3206"/>
      <c r="D16" s="3206"/>
    </row>
    <row r="17" spans="1:4" ht="144" customHeight="1">
      <c r="A17" s="3206" t="s">
        <v>943</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944</v>
      </c>
      <c r="B22" s="3208"/>
      <c r="C22" s="3208"/>
      <c r="D22" s="3208"/>
    </row>
    <row r="23" spans="1:4">
      <c r="A23" s="1414"/>
      <c r="B23" s="459"/>
      <c r="C23" s="459"/>
      <c r="D23" s="459"/>
    </row>
    <row r="24" spans="1:4">
      <c r="A24" s="1414"/>
      <c r="B24" s="459"/>
      <c r="C24" s="459"/>
      <c r="D24" s="459"/>
    </row>
    <row r="25" spans="1:4" ht="17.399999999999999">
      <c r="A25" s="1415" t="s">
        <v>945</v>
      </c>
    </row>
    <row r="26" spans="1:4" ht="17.399999999999999">
      <c r="A26" s="1386"/>
    </row>
    <row r="27" spans="1:4" ht="17.399999999999999">
      <c r="A27" s="1386" t="s">
        <v>946</v>
      </c>
    </row>
    <row r="30" spans="1:4" ht="17.399999999999999">
      <c r="D30" s="1415" t="s">
        <v>947</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4.4">
      <c r="A15" s="3218" t="s">
        <v>955</v>
      </c>
      <c r="B15" s="3213" t="s">
        <v>109</v>
      </c>
      <c r="C15" s="3214"/>
    </row>
    <row r="16" spans="1:7" ht="14.4">
      <c r="A16" s="3219"/>
      <c r="B16" s="3213" t="s">
        <v>42</v>
      </c>
      <c r="C16" s="3214"/>
    </row>
    <row r="17" spans="1:3" ht="14.4">
      <c r="A17" s="3219"/>
      <c r="B17" s="3216" t="s">
        <v>956</v>
      </c>
      <c r="C17" s="1428" t="s">
        <v>955</v>
      </c>
    </row>
    <row r="18" spans="1:3" ht="14.4">
      <c r="A18" s="3219"/>
      <c r="B18" s="3216"/>
      <c r="C18" s="1428" t="s">
        <v>957</v>
      </c>
    </row>
    <row r="19" spans="1:3" ht="14.4">
      <c r="A19" s="3219"/>
      <c r="B19" s="3216"/>
      <c r="C19" s="1428" t="s">
        <v>958</v>
      </c>
    </row>
    <row r="20" spans="1:3" ht="14.4">
      <c r="A20" s="3220"/>
      <c r="B20" s="3215" t="s">
        <v>959</v>
      </c>
      <c r="C20" s="3214"/>
    </row>
    <row r="21" spans="1:3" ht="14.4">
      <c r="A21" s="1429" t="s">
        <v>960</v>
      </c>
      <c r="B21" s="1430"/>
      <c r="C21" s="1431"/>
    </row>
    <row r="22" spans="1:3" ht="14.4">
      <c r="A22" s="3217" t="s">
        <v>961</v>
      </c>
      <c r="B22" s="3215" t="s">
        <v>962</v>
      </c>
      <c r="C22" s="3214"/>
    </row>
    <row r="23" spans="1:3" ht="14.4">
      <c r="A23" s="3217"/>
      <c r="B23" s="3215" t="s">
        <v>963</v>
      </c>
      <c r="C23" s="3214"/>
    </row>
    <row r="24" spans="1:3" ht="14.4">
      <c r="A24" s="3217"/>
      <c r="B24" s="3215" t="s">
        <v>964</v>
      </c>
      <c r="C24" s="3214"/>
    </row>
    <row r="25" spans="1:3" ht="14.4">
      <c r="A25" s="3217"/>
      <c r="B25" s="3216" t="s">
        <v>965</v>
      </c>
      <c r="C25" s="1428" t="s">
        <v>966</v>
      </c>
    </row>
    <row r="26" spans="1:3" ht="14.4">
      <c r="A26" s="3217"/>
      <c r="B26" s="3216"/>
      <c r="C26" s="1428" t="s">
        <v>967</v>
      </c>
    </row>
    <row r="27" spans="1:3" ht="14.4">
      <c r="A27" s="3217"/>
      <c r="B27" s="3216"/>
      <c r="C27" s="1428" t="s">
        <v>968</v>
      </c>
    </row>
    <row r="28" spans="1:3" ht="14.4">
      <c r="A28" s="3217"/>
      <c r="B28" s="3216"/>
      <c r="C28" s="1428" t="s">
        <v>969</v>
      </c>
    </row>
    <row r="29" spans="1:3" ht="14.4">
      <c r="A29" s="3217"/>
      <c r="B29" s="3216"/>
      <c r="C29" s="1428" t="s">
        <v>970</v>
      </c>
    </row>
    <row r="30" spans="1:3" ht="14.4">
      <c r="A30" s="3217"/>
      <c r="B30" s="3216"/>
      <c r="C30" s="1428" t="s">
        <v>971</v>
      </c>
    </row>
    <row r="31" spans="1:3" ht="14.4">
      <c r="A31" s="3217"/>
      <c r="B31" s="3216"/>
      <c r="C31" s="1428" t="s">
        <v>972</v>
      </c>
    </row>
    <row r="32" spans="1:3" ht="14.4">
      <c r="A32" s="3217"/>
      <c r="B32" s="3216"/>
      <c r="C32" s="1428" t="s">
        <v>973</v>
      </c>
    </row>
    <row r="33" spans="1:3" ht="14.4">
      <c r="A33" s="3217"/>
      <c r="B33" s="3216"/>
      <c r="C33" s="1428" t="s">
        <v>974</v>
      </c>
    </row>
    <row r="34" spans="1:3">
      <c r="A34" s="1432" t="s">
        <v>49</v>
      </c>
    </row>
    <row r="37" spans="1:3">
      <c r="A37" s="1432" t="s">
        <v>975</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45796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2025-05-19T07:44:03Z</dcterms:modified>
</cp:coreProperties>
</file>